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workbookPr codeName="ThisWorkbook"/>
  <mc:AlternateContent xmlns:mc="http://schemas.openxmlformats.org/markup-compatibility/2006">
    <mc:Choice Requires="x15">
      <x15ac:absPath xmlns:x15ac="http://schemas.microsoft.com/office/spreadsheetml/2010/11/ac" url="C:\Users\rmoreno\Downloads\"/>
    </mc:Choice>
  </mc:AlternateContent>
  <xr:revisionPtr revIDLastSave="0" documentId="13_ncr:1_{B980584B-848C-4AA6-80AB-0995B73CD19B}" xr6:coauthVersionLast="46" xr6:coauthVersionMax="47" xr10:uidLastSave="{00000000-0000-0000-0000-000000000000}"/>
  <workbookProtection workbookAlgorithmName="SHA-512" workbookHashValue="/EphAC0ha8sF2a2O6QRu+7FWV0azk3174QVyX1lTvB9nUu/rcOa8E4jZW7rNRRpAh2QM6nkAYa5WsN8UGT9dHA==" workbookSaltValue="zfcB72Y1TipzvSAJfXgcOQ==" workbookSpinCount="100000" lockStructure="1"/>
  <bookViews>
    <workbookView xWindow="-120" yWindow="-120" windowWidth="20730" windowHeight="11160" tabRatio="647" firstSheet="5" activeTab="5" xr2:uid="{00000000-000D-0000-FFFF-FFFF00000000}"/>
  </bookViews>
  <sheets>
    <sheet name="Datos Generales" sheetId="38" state="hidden" r:id="rId1"/>
    <sheet name="Anexo 1 Matriz Inf Gestión-GD" sheetId="34" state="hidden" r:id="rId2"/>
    <sheet name="Hoja1" sheetId="41" state="hidden" r:id="rId3"/>
    <sheet name="Anexo2 Protocolo Inf Gestión GD" sheetId="47" state="hidden" r:id="rId4"/>
    <sheet name="Anexo 5.1 INGRESOS (2)" sheetId="49" state="hidden" r:id="rId5"/>
    <sheet name="Anexo 1 Matriz Inf Gestión-Rev" sheetId="55" r:id="rId6"/>
    <sheet name="Anexo 5.1 INGRESOS VF" sheetId="53" state="hidden" r:id="rId7"/>
    <sheet name="PROTOCOLO INGRESOS (2)" sheetId="50" state="hidden" r:id="rId8"/>
    <sheet name="Anexo 5.2. informe Gastos" sheetId="37" state="hidden" r:id="rId9"/>
    <sheet name="rezagos 2020 - amarillo" sheetId="51" state="hidden" r:id="rId10"/>
    <sheet name="Anexo 5.2-A.Gastos" sheetId="48" state="hidden" r:id="rId11"/>
    <sheet name="Anexo 5.2.A_REV" sheetId="54" state="hidden" r:id="rId12"/>
    <sheet name="Protocolo Gastos" sheetId="46" state="hidden" r:id="rId13"/>
    <sheet name="Hoja3" sheetId="52" state="hidden"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s>
  <definedNames>
    <definedName name="_xlnm._FilterDatabase" localSheetId="1" hidden="1">'Anexo 1 Matriz Inf Gestión-GD'!$A$7:$AR$295</definedName>
    <definedName name="_xlnm._FilterDatabase" localSheetId="5" hidden="1">'Anexo 1 Matriz Inf Gestión-Rev'!$A$7:$BB$299</definedName>
    <definedName name="_xlnm._FilterDatabase" localSheetId="4" hidden="1">'Anexo 5.1 INGRESOS (2)'!$A$6:$Y$504</definedName>
    <definedName name="_xlnm._FilterDatabase" localSheetId="6" hidden="1">'Anexo 5.1 INGRESOS VF'!$A$6:$Y$532</definedName>
    <definedName name="_xlnm._FilterDatabase" localSheetId="11" hidden="1">'Anexo 5.2.A_REV'!$A$3:$DH$164</definedName>
    <definedName name="_xlnm.Print_Area" localSheetId="1">'Anexo 1 Matriz Inf Gestión-GD'!$A$3:$AL$295</definedName>
    <definedName name="_xlnm.Print_Area" localSheetId="5">'Anexo 1 Matriz Inf Gestión-Rev'!$A$3:$AW$297</definedName>
    <definedName name="_xlnm.Print_Area" localSheetId="4">'Anexo 5.1 INGRESOS (2)'!#REF!</definedName>
    <definedName name="_xlnm.Print_Area" localSheetId="6">'Anexo 5.1 INGRESOS VF'!#REF!</definedName>
    <definedName name="_xlnm.Print_Area" localSheetId="8">'Anexo 5.2. informe Gastos'!#REF!</definedName>
    <definedName name="_xlnm.Print_Area" localSheetId="10">'Anexo 5.2-A.Gastos'!#REF!</definedName>
    <definedName name="_xlnm.Print_Area" localSheetId="3">'Anexo2 Protocolo Inf Gestión GD'!$A$1:$B$35</definedName>
    <definedName name="INGRESOS">'[1]Datos Generales'!$H$5:$H$37</definedName>
    <definedName name="Lista_CAR" localSheetId="5">'[2]Datos Generales'!$H$5:$H$37</definedName>
    <definedName name="Lista_CAR" localSheetId="4">'[3]Datos Generales'!$H$5:$H$37</definedName>
    <definedName name="Lista_CAR" localSheetId="6">'[3]Datos Generales'!$H$5:$H$37</definedName>
    <definedName name="Lista_CAR" localSheetId="11">'[4]Datos Generales'!$H$5:$H$37</definedName>
    <definedName name="Lista_CAR" localSheetId="3">'[5]Datos Generales'!$H$5:$H$36</definedName>
    <definedName name="Lista_CAR" localSheetId="12">'[5]Datos Generales'!$H$5:$H$36</definedName>
    <definedName name="Lista_CAR" localSheetId="7">'[6]Datos Generales'!$H$5:$H$37</definedName>
    <definedName name="Lista_CAR">'Datos Generales'!$H$5:$H$37</definedName>
    <definedName name="REPORTE" comment="SI SE REPORTA" localSheetId="5">[7]Formulas!$F$33:$F$34</definedName>
    <definedName name="REPORTE" comment="SI SE REPORTA" localSheetId="4">[3]Formulas!$F$33:$F$34</definedName>
    <definedName name="REPORTE" comment="SI SE REPORTA" localSheetId="6">[3]Formulas!$F$33:$F$34</definedName>
    <definedName name="REPORTE" comment="SI SE REPORTA" localSheetId="11">[4]Formulas!$F$33:$F$34</definedName>
    <definedName name="REPORTE" comment="SI SE REPORTA" localSheetId="3">[5]Formulas!$F$33:$F$34</definedName>
    <definedName name="REPORTE" comment="SI SE REPORTA" localSheetId="12">[5]Formulas!$F$33:$F$34</definedName>
    <definedName name="REPORTE" comment="SI SE REPORTA" localSheetId="7">[6]Formulas!$F$33:$F$34</definedName>
    <definedName name="REPORTE" comment="SI SE REPORTA">#REF!</definedName>
    <definedName name="SI" comment="OPCION SI O NO" localSheetId="5">[7]Formulas!$D$33:$D$34</definedName>
    <definedName name="SI" comment="OPCION SI O NO" localSheetId="4">[3]Formulas!$D$33:$D$34</definedName>
    <definedName name="SI" comment="OPCION SI O NO" localSheetId="6">[3]Formulas!$D$33:$D$34</definedName>
    <definedName name="SI" comment="OPCION SI O NO" localSheetId="11">[4]Formulas!$D$33:$D$34</definedName>
    <definedName name="SI" comment="OPCION SI O NO" localSheetId="3">[5]Formulas!$D$33:$D$34</definedName>
    <definedName name="SI" comment="OPCION SI O NO" localSheetId="12">[5]Formulas!$D$33:$D$34</definedName>
    <definedName name="SI" comment="OPCION SI O NO" localSheetId="7">[6]Formulas!$D$33:$D$34</definedName>
    <definedName name="SI" comment="OPCION SI O NO">#REF!</definedName>
    <definedName name="Vigencias">'Datos Generales'!$H$39:$H$46</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L298" i="55" l="1"/>
  <c r="AH298" i="55"/>
  <c r="AE298" i="55"/>
  <c r="AU295" i="55" l="1"/>
  <c r="AV295" i="55" s="1"/>
  <c r="AS295" i="55"/>
  <c r="AN295" i="55"/>
  <c r="AM295" i="55"/>
  <c r="AI295" i="55"/>
  <c r="Z295" i="55"/>
  <c r="AA295" i="55" s="1"/>
  <c r="AA294" i="55" s="1"/>
  <c r="AA293" i="55" s="1"/>
  <c r="N295" i="55"/>
  <c r="N294" i="55" s="1"/>
  <c r="N293" i="55" s="1"/>
  <c r="M295" i="55"/>
  <c r="M294" i="55" s="1"/>
  <c r="M293" i="55" s="1"/>
  <c r="L295" i="55"/>
  <c r="L294" i="55" s="1"/>
  <c r="L293" i="55" s="1"/>
  <c r="AT294" i="55"/>
  <c r="AR294" i="55"/>
  <c r="AS294" i="55" s="1"/>
  <c r="AQ294" i="55"/>
  <c r="AP294" i="55"/>
  <c r="AP293" i="55" s="1"/>
  <c r="AO294" i="55"/>
  <c r="AO293" i="55" s="1"/>
  <c r="AL294" i="55"/>
  <c r="AL293" i="55" s="1"/>
  <c r="AK294" i="55"/>
  <c r="AK293" i="55" s="1"/>
  <c r="AJ294" i="55"/>
  <c r="AH294" i="55"/>
  <c r="AH293" i="55" s="1"/>
  <c r="AG294" i="55"/>
  <c r="AN294" i="55" s="1"/>
  <c r="AF294" i="55"/>
  <c r="AE294" i="55"/>
  <c r="Z294" i="55"/>
  <c r="AR293" i="55"/>
  <c r="AS293" i="55" s="1"/>
  <c r="AQ293" i="55"/>
  <c r="AJ293" i="55"/>
  <c r="AF293" i="55"/>
  <c r="AE293" i="55"/>
  <c r="AE296" i="55" s="1"/>
  <c r="Z293" i="55"/>
  <c r="AU292" i="55"/>
  <c r="AV292" i="55" s="1"/>
  <c r="AS292" i="55"/>
  <c r="AN292" i="55"/>
  <c r="AM292" i="55"/>
  <c r="AI292" i="55"/>
  <c r="Z292" i="55"/>
  <c r="AA292" i="55" s="1"/>
  <c r="M292" i="55"/>
  <c r="L292" i="55"/>
  <c r="AU291" i="55"/>
  <c r="AV291" i="55" s="1"/>
  <c r="AS291" i="55"/>
  <c r="AN291" i="55"/>
  <c r="AM291" i="55"/>
  <c r="AI291" i="55"/>
  <c r="Z291" i="55"/>
  <c r="AA291" i="55" s="1"/>
  <c r="N291" i="55"/>
  <c r="M291" i="55"/>
  <c r="L291" i="55"/>
  <c r="AS290" i="55"/>
  <c r="AP290" i="55"/>
  <c r="AU290" i="55" s="1"/>
  <c r="AU289" i="55" s="1"/>
  <c r="AV289" i="55" s="1"/>
  <c r="AO290" i="55"/>
  <c r="AO289" i="55" s="1"/>
  <c r="AN290" i="55"/>
  <c r="AM290" i="55"/>
  <c r="AI290" i="55"/>
  <c r="AF290" i="55"/>
  <c r="AF289" i="55" s="1"/>
  <c r="Z290" i="55"/>
  <c r="AA290" i="55" s="1"/>
  <c r="N290" i="55"/>
  <c r="M290" i="55"/>
  <c r="M289" i="55" s="1"/>
  <c r="L290" i="55"/>
  <c r="AT289" i="55"/>
  <c r="AR289" i="55"/>
  <c r="AQ289" i="55"/>
  <c r="AS289" i="55" s="1"/>
  <c r="AP289" i="55"/>
  <c r="AL289" i="55"/>
  <c r="AM289" i="55" s="1"/>
  <c r="AK289" i="55"/>
  <c r="AJ289" i="55"/>
  <c r="AH289" i="55"/>
  <c r="AI289" i="55" s="1"/>
  <c r="AG289" i="55"/>
  <c r="Z289" i="55"/>
  <c r="N289" i="55"/>
  <c r="AU288" i="55"/>
  <c r="AS288" i="55"/>
  <c r="AN288" i="55"/>
  <c r="AN287" i="55" s="1"/>
  <c r="AM288" i="55"/>
  <c r="AI288" i="55"/>
  <c r="AA288" i="55"/>
  <c r="AA287" i="55" s="1"/>
  <c r="Z288" i="55"/>
  <c r="M288" i="55"/>
  <c r="M287" i="55" s="1"/>
  <c r="M286" i="55" s="1"/>
  <c r="L288" i="55"/>
  <c r="AT287" i="55"/>
  <c r="AT286" i="55" s="1"/>
  <c r="AR287" i="55"/>
  <c r="AR286" i="55" s="1"/>
  <c r="AQ287" i="55"/>
  <c r="AP287" i="55"/>
  <c r="AP286" i="55" s="1"/>
  <c r="AO287" i="55"/>
  <c r="AL287" i="55"/>
  <c r="AK287" i="55"/>
  <c r="AJ287" i="55"/>
  <c r="AJ286" i="55" s="1"/>
  <c r="AH287" i="55"/>
  <c r="AG287" i="55"/>
  <c r="AG286" i="55" s="1"/>
  <c r="AF287" i="55"/>
  <c r="Z287" i="55"/>
  <c r="N287" i="55"/>
  <c r="N286" i="55" s="1"/>
  <c r="Z286" i="55"/>
  <c r="AU285" i="55"/>
  <c r="AS285" i="55"/>
  <c r="AN285" i="55"/>
  <c r="AM285" i="55"/>
  <c r="AI285" i="55"/>
  <c r="AA285" i="55"/>
  <c r="AA284" i="55" s="1"/>
  <c r="Z285" i="55"/>
  <c r="N285" i="55"/>
  <c r="N284" i="55" s="1"/>
  <c r="M285" i="55"/>
  <c r="M284" i="55" s="1"/>
  <c r="L285" i="55"/>
  <c r="L284" i="55" s="1"/>
  <c r="AT284" i="55"/>
  <c r="AR284" i="55"/>
  <c r="AQ284" i="55"/>
  <c r="AP284" i="55"/>
  <c r="AO284" i="55"/>
  <c r="AN284" i="55"/>
  <c r="AL284" i="55"/>
  <c r="AM284" i="55" s="1"/>
  <c r="AK284" i="55"/>
  <c r="AJ284" i="55"/>
  <c r="AH284" i="55"/>
  <c r="AI284" i="55" s="1"/>
  <c r="AG284" i="55"/>
  <c r="AF284" i="55"/>
  <c r="Z284" i="55"/>
  <c r="AV283" i="55"/>
  <c r="AU283" i="55"/>
  <c r="AU282" i="55" s="1"/>
  <c r="AS283" i="55"/>
  <c r="AN283" i="55"/>
  <c r="AN282" i="55" s="1"/>
  <c r="AM283" i="55"/>
  <c r="AI283" i="55"/>
  <c r="Z283" i="55"/>
  <c r="AA283" i="55" s="1"/>
  <c r="AA282" i="55" s="1"/>
  <c r="N283" i="55"/>
  <c r="N282" i="55" s="1"/>
  <c r="M283" i="55"/>
  <c r="M282" i="55" s="1"/>
  <c r="L283" i="55"/>
  <c r="L282" i="55" s="1"/>
  <c r="AT282" i="55"/>
  <c r="AR282" i="55"/>
  <c r="AQ282" i="55"/>
  <c r="AQ278" i="55" s="1"/>
  <c r="AP282" i="55"/>
  <c r="AO282" i="55"/>
  <c r="AL282" i="55"/>
  <c r="AK282" i="55"/>
  <c r="AJ282" i="55"/>
  <c r="AH282" i="55"/>
  <c r="AG282" i="55"/>
  <c r="AF282" i="55"/>
  <c r="Z282" i="55"/>
  <c r="AU281" i="55"/>
  <c r="AT281" i="55"/>
  <c r="AS281" i="55"/>
  <c r="AN281" i="55"/>
  <c r="AM281" i="55"/>
  <c r="AI281" i="55"/>
  <c r="AA281" i="55"/>
  <c r="Z281" i="55"/>
  <c r="N281" i="55"/>
  <c r="M281" i="55"/>
  <c r="L281" i="55"/>
  <c r="L279" i="55" s="1"/>
  <c r="AT280" i="55"/>
  <c r="AS280" i="55"/>
  <c r="AP280" i="55"/>
  <c r="AO280" i="55"/>
  <c r="AN280" i="55"/>
  <c r="AN279" i="55" s="1"/>
  <c r="AM280" i="55"/>
  <c r="AI280" i="55"/>
  <c r="AF280" i="55"/>
  <c r="Z280" i="55"/>
  <c r="AA280" i="55" s="1"/>
  <c r="N280" i="55"/>
  <c r="M280" i="55"/>
  <c r="L280" i="55"/>
  <c r="AR279" i="55"/>
  <c r="AQ279" i="55"/>
  <c r="AO279" i="55"/>
  <c r="AO278" i="55" s="1"/>
  <c r="AL279" i="55"/>
  <c r="AM279" i="55" s="1"/>
  <c r="AK279" i="55"/>
  <c r="AK278" i="55" s="1"/>
  <c r="AJ279" i="55"/>
  <c r="AH279" i="55"/>
  <c r="AI279" i="55" s="1"/>
  <c r="AG279" i="55"/>
  <c r="AF279" i="55"/>
  <c r="Z279" i="55"/>
  <c r="N279" i="55"/>
  <c r="N278" i="55" s="1"/>
  <c r="Z278" i="55"/>
  <c r="AU277" i="55"/>
  <c r="AV277" i="55" s="1"/>
  <c r="AS277" i="55"/>
  <c r="AN277" i="55"/>
  <c r="AM277" i="55"/>
  <c r="AI277" i="55"/>
  <c r="Z277" i="55"/>
  <c r="AA277" i="55" s="1"/>
  <c r="N277" i="55"/>
  <c r="M277" i="55"/>
  <c r="L277" i="55"/>
  <c r="AU276" i="55"/>
  <c r="AT276" i="55"/>
  <c r="AS276" i="55"/>
  <c r="AN276" i="55"/>
  <c r="AM276" i="55"/>
  <c r="AI276" i="55"/>
  <c r="Z276" i="55"/>
  <c r="AA276" i="55" s="1"/>
  <c r="N276" i="55"/>
  <c r="M276" i="55"/>
  <c r="L276" i="55"/>
  <c r="AU275" i="55"/>
  <c r="AT275" i="55"/>
  <c r="AS275" i="55"/>
  <c r="AN275" i="55"/>
  <c r="AM275" i="55"/>
  <c r="AI275" i="55"/>
  <c r="Z275" i="55"/>
  <c r="AA275" i="55" s="1"/>
  <c r="N275" i="55"/>
  <c r="M275" i="55"/>
  <c r="L275" i="55"/>
  <c r="AU274" i="55"/>
  <c r="AT274" i="55"/>
  <c r="AS274" i="55"/>
  <c r="AN274" i="55"/>
  <c r="AM274" i="55"/>
  <c r="AI274" i="55"/>
  <c r="Z274" i="55"/>
  <c r="AA274" i="55" s="1"/>
  <c r="M274" i="55"/>
  <c r="L274" i="55"/>
  <c r="AU273" i="55"/>
  <c r="AT273" i="55"/>
  <c r="AS273" i="55"/>
  <c r="AN273" i="55"/>
  <c r="AM273" i="55"/>
  <c r="AI273" i="55"/>
  <c r="Z273" i="55"/>
  <c r="AA273" i="55" s="1"/>
  <c r="N273" i="55"/>
  <c r="M273" i="55"/>
  <c r="L273" i="55"/>
  <c r="AU272" i="55"/>
  <c r="AT272" i="55"/>
  <c r="AS272" i="55"/>
  <c r="AN272" i="55"/>
  <c r="AM272" i="55"/>
  <c r="AI272" i="55"/>
  <c r="AA272" i="55"/>
  <c r="Z272" i="55"/>
  <c r="N272" i="55"/>
  <c r="M272" i="55"/>
  <c r="L272" i="55"/>
  <c r="L271" i="55" s="1"/>
  <c r="L270" i="55" s="1"/>
  <c r="AR271" i="55"/>
  <c r="AQ271" i="55"/>
  <c r="AS271" i="55" s="1"/>
  <c r="AP271" i="55"/>
  <c r="AP270" i="55" s="1"/>
  <c r="AO271" i="55"/>
  <c r="AO270" i="55" s="1"/>
  <c r="AL271" i="55"/>
  <c r="AL270" i="55" s="1"/>
  <c r="AM270" i="55" s="1"/>
  <c r="AK271" i="55"/>
  <c r="AK270" i="55" s="1"/>
  <c r="AJ271" i="55"/>
  <c r="AH271" i="55"/>
  <c r="AH270" i="55" s="1"/>
  <c r="AI270" i="55" s="1"/>
  <c r="AG271" i="55"/>
  <c r="AG270" i="55" s="1"/>
  <c r="AF271" i="55"/>
  <c r="AF270" i="55" s="1"/>
  <c r="Z271" i="55"/>
  <c r="AR270" i="55"/>
  <c r="AJ270" i="55"/>
  <c r="Z270" i="55"/>
  <c r="AU269" i="55"/>
  <c r="AS269" i="55"/>
  <c r="AN269" i="55"/>
  <c r="AN268" i="55" s="1"/>
  <c r="AM269" i="55"/>
  <c r="AI269" i="55"/>
  <c r="Z269" i="55"/>
  <c r="AA269" i="55" s="1"/>
  <c r="AA268" i="55" s="1"/>
  <c r="N269" i="55"/>
  <c r="N268" i="55" s="1"/>
  <c r="M269" i="55"/>
  <c r="L269" i="55"/>
  <c r="AT268" i="55"/>
  <c r="AR268" i="55"/>
  <c r="AS268" i="55" s="1"/>
  <c r="AQ268" i="55"/>
  <c r="AP268" i="55"/>
  <c r="AO268" i="55"/>
  <c r="AL268" i="55"/>
  <c r="AM268" i="55" s="1"/>
  <c r="AK268" i="55"/>
  <c r="AJ268" i="55"/>
  <c r="AH268" i="55"/>
  <c r="AI268" i="55" s="1"/>
  <c r="AG268" i="55"/>
  <c r="AF268" i="55"/>
  <c r="Z268" i="55"/>
  <c r="M268" i="55"/>
  <c r="AU267" i="55"/>
  <c r="AS267" i="55"/>
  <c r="AN267" i="55"/>
  <c r="AM267" i="55"/>
  <c r="AI267" i="55"/>
  <c r="AA267" i="55"/>
  <c r="AA266" i="55" s="1"/>
  <c r="Z267" i="55"/>
  <c r="N267" i="55"/>
  <c r="M267" i="55"/>
  <c r="M266" i="55" s="1"/>
  <c r="L267" i="55"/>
  <c r="L266" i="55" s="1"/>
  <c r="AT266" i="55"/>
  <c r="AR266" i="55"/>
  <c r="AQ266" i="55"/>
  <c r="AP266" i="55"/>
  <c r="AO266" i="55"/>
  <c r="AN266" i="55"/>
  <c r="AL266" i="55"/>
  <c r="AM266" i="55" s="1"/>
  <c r="AK266" i="55"/>
  <c r="AJ266" i="55"/>
  <c r="AH266" i="55"/>
  <c r="AI266" i="55" s="1"/>
  <c r="AG266" i="55"/>
  <c r="AF266" i="55"/>
  <c r="Z266" i="55"/>
  <c r="N266" i="55"/>
  <c r="AU265" i="55"/>
  <c r="AV265" i="55" s="1"/>
  <c r="AT265" i="55"/>
  <c r="AS265" i="55"/>
  <c r="AN265" i="55"/>
  <c r="AM265" i="55"/>
  <c r="AI265" i="55"/>
  <c r="Z265" i="55"/>
  <c r="AA265" i="55" s="1"/>
  <c r="N265" i="55"/>
  <c r="M265" i="55"/>
  <c r="L265" i="55"/>
  <c r="AU264" i="55"/>
  <c r="AT264" i="55"/>
  <c r="AS264" i="55"/>
  <c r="AN264" i="55"/>
  <c r="AM264" i="55"/>
  <c r="AI264" i="55"/>
  <c r="Z264" i="55"/>
  <c r="AA264" i="55" s="1"/>
  <c r="N264" i="55"/>
  <c r="M264" i="55"/>
  <c r="AU263" i="55"/>
  <c r="AT263" i="55"/>
  <c r="AS263" i="55"/>
  <c r="AN263" i="55"/>
  <c r="AM263" i="55"/>
  <c r="AI263" i="55"/>
  <c r="Z263" i="55"/>
  <c r="AA263" i="55" s="1"/>
  <c r="N263" i="55"/>
  <c r="M263" i="55"/>
  <c r="L263" i="55"/>
  <c r="AU262" i="55"/>
  <c r="AT262" i="55"/>
  <c r="AS262" i="55"/>
  <c r="AN262" i="55"/>
  <c r="AM262" i="55"/>
  <c r="AI262" i="55"/>
  <c r="Z262" i="55"/>
  <c r="AA262" i="55" s="1"/>
  <c r="N262" i="55"/>
  <c r="M262" i="55"/>
  <c r="L262" i="55"/>
  <c r="AR261" i="55"/>
  <c r="AS261" i="55" s="1"/>
  <c r="AQ261" i="55"/>
  <c r="AP261" i="55"/>
  <c r="AO261" i="55"/>
  <c r="AO260" i="55" s="1"/>
  <c r="AM261" i="55"/>
  <c r="AL261" i="55"/>
  <c r="AK261" i="55"/>
  <c r="AJ261" i="55"/>
  <c r="AI261" i="55"/>
  <c r="AH261" i="55"/>
  <c r="AG261" i="55"/>
  <c r="AF261" i="55"/>
  <c r="Z261" i="55"/>
  <c r="Z260" i="55"/>
  <c r="AU259" i="55"/>
  <c r="AS259" i="55"/>
  <c r="AN259" i="55"/>
  <c r="AM259" i="55"/>
  <c r="AI259" i="55"/>
  <c r="Z259" i="55"/>
  <c r="AA259" i="55" s="1"/>
  <c r="N259" i="55"/>
  <c r="M259" i="55"/>
  <c r="L259" i="55"/>
  <c r="AV258" i="55"/>
  <c r="AU258" i="55"/>
  <c r="AS258" i="55"/>
  <c r="AN258" i="55"/>
  <c r="AM258" i="55"/>
  <c r="AI258" i="55"/>
  <c r="Z258" i="55"/>
  <c r="AA258" i="55" s="1"/>
  <c r="N258" i="55"/>
  <c r="M258" i="55"/>
  <c r="L258" i="55"/>
  <c r="AT257" i="55"/>
  <c r="AR257" i="55"/>
  <c r="AS257" i="55" s="1"/>
  <c r="AQ257" i="55"/>
  <c r="AP257" i="55"/>
  <c r="AO257" i="55"/>
  <c r="AN257" i="55"/>
  <c r="AL257" i="55"/>
  <c r="AM257" i="55" s="1"/>
  <c r="AK257" i="55"/>
  <c r="AJ257" i="55"/>
  <c r="AH257" i="55"/>
  <c r="AI257" i="55" s="1"/>
  <c r="AG257" i="55"/>
  <c r="AF257" i="55"/>
  <c r="Z257" i="55"/>
  <c r="AU256" i="55"/>
  <c r="AS256" i="55"/>
  <c r="AN256" i="55"/>
  <c r="AM256" i="55"/>
  <c r="AI256" i="55"/>
  <c r="Z256" i="55"/>
  <c r="AA256" i="55" s="1"/>
  <c r="N256" i="55"/>
  <c r="M256" i="55"/>
  <c r="L256" i="55"/>
  <c r="AU255" i="55"/>
  <c r="AV255" i="55" s="1"/>
  <c r="AT255" i="55"/>
  <c r="AS255" i="55"/>
  <c r="AN255" i="55"/>
  <c r="AM255" i="55"/>
  <c r="AI255" i="55"/>
  <c r="AA255" i="55"/>
  <c r="Z255" i="55"/>
  <c r="N255" i="55"/>
  <c r="M255" i="55"/>
  <c r="L255" i="55"/>
  <c r="AU254" i="55"/>
  <c r="AT254" i="55"/>
  <c r="AS254" i="55"/>
  <c r="AN254" i="55"/>
  <c r="AN251" i="55" s="1"/>
  <c r="AN250" i="55" s="1"/>
  <c r="AM254" i="55"/>
  <c r="AI254" i="55"/>
  <c r="Z254" i="55"/>
  <c r="AA254" i="55" s="1"/>
  <c r="N254" i="55"/>
  <c r="M254" i="55"/>
  <c r="L254" i="55"/>
  <c r="AU253" i="55"/>
  <c r="AV253" i="55" s="1"/>
  <c r="AT253" i="55"/>
  <c r="AS253" i="55"/>
  <c r="AN253" i="55"/>
  <c r="AM253" i="55"/>
  <c r="AI253" i="55"/>
  <c r="AA253" i="55"/>
  <c r="Z253" i="55"/>
  <c r="N253" i="55"/>
  <c r="N251" i="55" s="1"/>
  <c r="M253" i="55"/>
  <c r="L253" i="55"/>
  <c r="AU252" i="55"/>
  <c r="AT252" i="55"/>
  <c r="AT251" i="55" s="1"/>
  <c r="AT250" i="55" s="1"/>
  <c r="AS252" i="55"/>
  <c r="AN252" i="55"/>
  <c r="AM252" i="55"/>
  <c r="AI252" i="55"/>
  <c r="Z252" i="55"/>
  <c r="AA252" i="55" s="1"/>
  <c r="N252" i="55"/>
  <c r="M252" i="55"/>
  <c r="M251" i="55" s="1"/>
  <c r="L252" i="55"/>
  <c r="AR251" i="55"/>
  <c r="AQ251" i="55"/>
  <c r="AQ250" i="55" s="1"/>
  <c r="AP251" i="55"/>
  <c r="AP250" i="55" s="1"/>
  <c r="AO251" i="55"/>
  <c r="AL251" i="55"/>
  <c r="AM251" i="55" s="1"/>
  <c r="AK251" i="55"/>
  <c r="AJ251" i="55"/>
  <c r="AH251" i="55"/>
  <c r="AG251" i="55"/>
  <c r="AF251" i="55"/>
  <c r="Z251" i="55"/>
  <c r="AF250" i="55"/>
  <c r="Z250" i="55"/>
  <c r="AU249" i="55"/>
  <c r="AV249" i="55" s="1"/>
  <c r="AS249" i="55"/>
  <c r="AN249" i="55"/>
  <c r="AM249" i="55"/>
  <c r="AI249" i="55"/>
  <c r="Z249" i="55"/>
  <c r="AA249" i="55" s="1"/>
  <c r="M249" i="55"/>
  <c r="L249" i="55"/>
  <c r="AU248" i="55"/>
  <c r="AV248" i="55" s="1"/>
  <c r="AT248" i="55"/>
  <c r="AS248" i="55"/>
  <c r="AN248" i="55"/>
  <c r="AM248" i="55"/>
  <c r="AI248" i="55"/>
  <c r="Z248" i="55"/>
  <c r="AA248" i="55" s="1"/>
  <c r="N248" i="55"/>
  <c r="M248" i="55"/>
  <c r="L248" i="55"/>
  <c r="AU247" i="55"/>
  <c r="AT247" i="55"/>
  <c r="AT246" i="55" s="1"/>
  <c r="AT245" i="55" s="1"/>
  <c r="AS247" i="55"/>
  <c r="AN247" i="55"/>
  <c r="AM247" i="55"/>
  <c r="AI247" i="55"/>
  <c r="Z247" i="55"/>
  <c r="AA247" i="55" s="1"/>
  <c r="N247" i="55"/>
  <c r="M247" i="55"/>
  <c r="L247" i="55"/>
  <c r="AR246" i="55"/>
  <c r="AQ246" i="55"/>
  <c r="AQ245" i="55" s="1"/>
  <c r="AP246" i="55"/>
  <c r="AP245" i="55" s="1"/>
  <c r="AO246" i="55"/>
  <c r="AL246" i="55"/>
  <c r="AK246" i="55"/>
  <c r="AJ246" i="55"/>
  <c r="AH246" i="55"/>
  <c r="AG246" i="55"/>
  <c r="AG245" i="55" s="1"/>
  <c r="AF246" i="55"/>
  <c r="Z246" i="55"/>
  <c r="L246" i="55"/>
  <c r="L245" i="55" s="1"/>
  <c r="AO245" i="55"/>
  <c r="AK245" i="55"/>
  <c r="AJ245" i="55"/>
  <c r="AF245" i="55"/>
  <c r="Z245" i="55"/>
  <c r="AU244" i="55"/>
  <c r="AT244" i="55"/>
  <c r="AS244" i="55"/>
  <c r="AN244" i="55"/>
  <c r="AM244" i="55"/>
  <c r="AI244" i="55"/>
  <c r="Z244" i="55"/>
  <c r="AA244" i="55" s="1"/>
  <c r="N244" i="55"/>
  <c r="M244" i="55"/>
  <c r="L244" i="55"/>
  <c r="AU243" i="55"/>
  <c r="AT243" i="55"/>
  <c r="AV243" i="55" s="1"/>
  <c r="AS243" i="55"/>
  <c r="AN243" i="55"/>
  <c r="AM243" i="55"/>
  <c r="AI243" i="55"/>
  <c r="Z243" i="55"/>
  <c r="AA243" i="55" s="1"/>
  <c r="N243" i="55"/>
  <c r="M243" i="55"/>
  <c r="L243" i="55"/>
  <c r="AU242" i="55"/>
  <c r="AU240" i="55" s="1"/>
  <c r="AU239" i="55" s="1"/>
  <c r="AT242" i="55"/>
  <c r="AS242" i="55"/>
  <c r="AN242" i="55"/>
  <c r="AM242" i="55"/>
  <c r="AI242" i="55"/>
  <c r="AA242" i="55"/>
  <c r="Z242" i="55"/>
  <c r="N242" i="55"/>
  <c r="M242" i="55"/>
  <c r="L242" i="55"/>
  <c r="AU241" i="55"/>
  <c r="AT241" i="55"/>
  <c r="AS241" i="55"/>
  <c r="AN241" i="55"/>
  <c r="AN240" i="55" s="1"/>
  <c r="AN239" i="55" s="1"/>
  <c r="AM241" i="55"/>
  <c r="AI241" i="55"/>
  <c r="Z241" i="55"/>
  <c r="AA241" i="55" s="1"/>
  <c r="N241" i="55"/>
  <c r="N240" i="55" s="1"/>
  <c r="N239" i="55" s="1"/>
  <c r="M241" i="55"/>
  <c r="L241" i="55"/>
  <c r="AS240" i="55"/>
  <c r="AR240" i="55"/>
  <c r="AQ240" i="55"/>
  <c r="AQ239" i="55" s="1"/>
  <c r="AP240" i="55"/>
  <c r="AP239" i="55" s="1"/>
  <c r="AO240" i="55"/>
  <c r="AO239" i="55" s="1"/>
  <c r="AL240" i="55"/>
  <c r="AK240" i="55"/>
  <c r="AK239" i="55" s="1"/>
  <c r="AJ240" i="55"/>
  <c r="AJ239" i="55" s="1"/>
  <c r="AH240" i="55"/>
  <c r="AG240" i="55"/>
  <c r="AG239" i="55" s="1"/>
  <c r="AF240" i="55"/>
  <c r="Z240" i="55"/>
  <c r="AR239" i="55"/>
  <c r="AF239" i="55"/>
  <c r="Z239" i="55"/>
  <c r="AU238" i="55"/>
  <c r="AV238" i="55" s="1"/>
  <c r="AS238" i="55"/>
  <c r="AN238" i="55"/>
  <c r="AM238" i="55"/>
  <c r="AI238" i="55"/>
  <c r="Z238" i="55"/>
  <c r="AA238" i="55" s="1"/>
  <c r="N238" i="55"/>
  <c r="M238" i="55"/>
  <c r="L238" i="55"/>
  <c r="AV237" i="55"/>
  <c r="AU237" i="55"/>
  <c r="AS237" i="55"/>
  <c r="AN237" i="55"/>
  <c r="AM237" i="55"/>
  <c r="AI237" i="55"/>
  <c r="Z237" i="55"/>
  <c r="AA237" i="55" s="1"/>
  <c r="N237" i="55"/>
  <c r="M237" i="55"/>
  <c r="L237" i="55"/>
  <c r="AU236" i="55"/>
  <c r="AV236" i="55" s="1"/>
  <c r="AS236" i="55"/>
  <c r="AN236" i="55"/>
  <c r="AM236" i="55"/>
  <c r="AI236" i="55"/>
  <c r="Z236" i="55"/>
  <c r="AA236" i="55" s="1"/>
  <c r="N236" i="55"/>
  <c r="M236" i="55"/>
  <c r="L236" i="55"/>
  <c r="AU235" i="55"/>
  <c r="AS235" i="55"/>
  <c r="AN235" i="55"/>
  <c r="AM235" i="55"/>
  <c r="AI235" i="55"/>
  <c r="Z235" i="55"/>
  <c r="AA235" i="55" s="1"/>
  <c r="N235" i="55"/>
  <c r="M235" i="55"/>
  <c r="L235" i="55"/>
  <c r="AT234" i="55"/>
  <c r="AR234" i="55"/>
  <c r="AQ234" i="55"/>
  <c r="AP234" i="55"/>
  <c r="AP229" i="55" s="1"/>
  <c r="AO234" i="55"/>
  <c r="AL234" i="55"/>
  <c r="AK234" i="55"/>
  <c r="AJ234" i="55"/>
  <c r="AJ229" i="55" s="1"/>
  <c r="AH234" i="55"/>
  <c r="AG234" i="55"/>
  <c r="AF234" i="55"/>
  <c r="Z234" i="55"/>
  <c r="AU233" i="55"/>
  <c r="AT233" i="55"/>
  <c r="AV233" i="55" s="1"/>
  <c r="AS233" i="55"/>
  <c r="AN233" i="55"/>
  <c r="AM233" i="55"/>
  <c r="AI233" i="55"/>
  <c r="Z233" i="55"/>
  <c r="AA233" i="55" s="1"/>
  <c r="N233" i="55"/>
  <c r="M233" i="55"/>
  <c r="L233" i="55"/>
  <c r="AU232" i="55"/>
  <c r="AV232" i="55" s="1"/>
  <c r="AT232" i="55"/>
  <c r="AS232" i="55"/>
  <c r="AN232" i="55"/>
  <c r="AM232" i="55"/>
  <c r="AI232" i="55"/>
  <c r="Z232" i="55"/>
  <c r="AA232" i="55" s="1"/>
  <c r="N232" i="55"/>
  <c r="M232" i="55"/>
  <c r="L232" i="55"/>
  <c r="AU231" i="55"/>
  <c r="AT231" i="55"/>
  <c r="AS231" i="55"/>
  <c r="AN231" i="55"/>
  <c r="AM231" i="55"/>
  <c r="AI231" i="55"/>
  <c r="Z231" i="55"/>
  <c r="AA231" i="55" s="1"/>
  <c r="M231" i="55"/>
  <c r="L231" i="55"/>
  <c r="AR230" i="55"/>
  <c r="AQ230" i="55"/>
  <c r="AP230" i="55"/>
  <c r="AO230" i="55"/>
  <c r="AL230" i="55"/>
  <c r="AM230" i="55" s="1"/>
  <c r="AK230" i="55"/>
  <c r="AJ230" i="55"/>
  <c r="AH230" i="55"/>
  <c r="AI230" i="55" s="1"/>
  <c r="AG230" i="55"/>
  <c r="AF230" i="55"/>
  <c r="AF229" i="55" s="1"/>
  <c r="Z230" i="55"/>
  <c r="N230" i="55"/>
  <c r="Z229" i="55"/>
  <c r="AU228" i="55"/>
  <c r="AU227" i="55" s="1"/>
  <c r="AV227" i="55" s="1"/>
  <c r="AS228" i="55"/>
  <c r="AN228" i="55"/>
  <c r="AM228" i="55"/>
  <c r="AI228" i="55"/>
  <c r="AA228" i="55"/>
  <c r="AA227" i="55" s="1"/>
  <c r="Z228" i="55"/>
  <c r="N228" i="55"/>
  <c r="M228" i="55"/>
  <c r="M227" i="55" s="1"/>
  <c r="L228" i="55"/>
  <c r="L227" i="55" s="1"/>
  <c r="AT227" i="55"/>
  <c r="AR227" i="55"/>
  <c r="AS227" i="55" s="1"/>
  <c r="AQ227" i="55"/>
  <c r="AP227" i="55"/>
  <c r="AO227" i="55"/>
  <c r="AN227" i="55"/>
  <c r="AL227" i="55"/>
  <c r="AL218" i="55" s="1"/>
  <c r="AM218" i="55" s="1"/>
  <c r="AK227" i="55"/>
  <c r="AJ227" i="55"/>
  <c r="AH227" i="55"/>
  <c r="AI227" i="55" s="1"/>
  <c r="AG227" i="55"/>
  <c r="AF227" i="55"/>
  <c r="Z227" i="55"/>
  <c r="N227" i="55"/>
  <c r="AU226" i="55"/>
  <c r="AV226" i="55" s="1"/>
  <c r="AS226" i="55"/>
  <c r="AN226" i="55"/>
  <c r="AM226" i="55"/>
  <c r="AI226" i="55"/>
  <c r="AD226" i="55"/>
  <c r="Z226" i="55"/>
  <c r="AA226" i="55" s="1"/>
  <c r="N226" i="55"/>
  <c r="M226" i="55"/>
  <c r="L226" i="55"/>
  <c r="AU225" i="55"/>
  <c r="AS225" i="55"/>
  <c r="AN225" i="55"/>
  <c r="AM225" i="55"/>
  <c r="AI225" i="55"/>
  <c r="Z225" i="55"/>
  <c r="AA225" i="55" s="1"/>
  <c r="M225" i="55"/>
  <c r="L225" i="55"/>
  <c r="AU224" i="55"/>
  <c r="AV224" i="55" s="1"/>
  <c r="AS224" i="55"/>
  <c r="AN224" i="55"/>
  <c r="AM224" i="55"/>
  <c r="AI224" i="55"/>
  <c r="AD224" i="55"/>
  <c r="AA224" i="55"/>
  <c r="Z224" i="55"/>
  <c r="N224" i="55"/>
  <c r="M224" i="55"/>
  <c r="L224" i="55"/>
  <c r="AU223" i="55"/>
  <c r="AV223" i="55" s="1"/>
  <c r="AS223" i="55"/>
  <c r="AN223" i="55"/>
  <c r="AM223" i="55"/>
  <c r="AI223" i="55"/>
  <c r="AD223" i="55"/>
  <c r="Z223" i="55"/>
  <c r="AA223" i="55" s="1"/>
  <c r="N223" i="55"/>
  <c r="M223" i="55"/>
  <c r="L223" i="55"/>
  <c r="AU222" i="55"/>
  <c r="AV222" i="55" s="1"/>
  <c r="AS222" i="55"/>
  <c r="AN222" i="55"/>
  <c r="AM222" i="55"/>
  <c r="AI222" i="55"/>
  <c r="AD222" i="55"/>
  <c r="Z222" i="55"/>
  <c r="AA222" i="55" s="1"/>
  <c r="N222" i="55"/>
  <c r="M222" i="55"/>
  <c r="L222" i="55"/>
  <c r="AU221" i="55"/>
  <c r="AV221" i="55" s="1"/>
  <c r="AS221" i="55"/>
  <c r="AN221" i="55"/>
  <c r="AM221" i="55"/>
  <c r="AI221" i="55"/>
  <c r="AD221" i="55"/>
  <c r="Z221" i="55"/>
  <c r="AA221" i="55" s="1"/>
  <c r="N221" i="55"/>
  <c r="M221" i="55"/>
  <c r="L221" i="55"/>
  <c r="AU220" i="55"/>
  <c r="AV220" i="55" s="1"/>
  <c r="AS220" i="55"/>
  <c r="AN220" i="55"/>
  <c r="AM220" i="55"/>
  <c r="AI220" i="55"/>
  <c r="AD220" i="55"/>
  <c r="AA220" i="55"/>
  <c r="Z220" i="55"/>
  <c r="N220" i="55"/>
  <c r="M220" i="55"/>
  <c r="L220" i="55"/>
  <c r="AT219" i="55"/>
  <c r="AR219" i="55"/>
  <c r="AQ219" i="55"/>
  <c r="AP219" i="55"/>
  <c r="AP218" i="55" s="1"/>
  <c r="AO219" i="55"/>
  <c r="AO218" i="55" s="1"/>
  <c r="AM219" i="55"/>
  <c r="AL219" i="55"/>
  <c r="AK219" i="55"/>
  <c r="AJ219" i="55"/>
  <c r="AI219" i="55"/>
  <c r="AH219" i="55"/>
  <c r="AG219" i="55"/>
  <c r="AF219" i="55"/>
  <c r="Z219" i="55"/>
  <c r="AT218" i="55"/>
  <c r="AQ218" i="55"/>
  <c r="AH218" i="55"/>
  <c r="AI218" i="55" s="1"/>
  <c r="Z218" i="55"/>
  <c r="AU217" i="55"/>
  <c r="AV217" i="55" s="1"/>
  <c r="AS217" i="55"/>
  <c r="AN217" i="55"/>
  <c r="AM217" i="55"/>
  <c r="AI217" i="55"/>
  <c r="Z217" i="55"/>
  <c r="AA217" i="55" s="1"/>
  <c r="N217" i="55"/>
  <c r="M217" i="55"/>
  <c r="L217" i="55"/>
  <c r="AU216" i="55"/>
  <c r="AV216" i="55" s="1"/>
  <c r="AS216" i="55"/>
  <c r="AN216" i="55"/>
  <c r="AM216" i="55"/>
  <c r="AI216" i="55"/>
  <c r="Z216" i="55"/>
  <c r="AA216" i="55" s="1"/>
  <c r="N216" i="55"/>
  <c r="M216" i="55"/>
  <c r="L216" i="55"/>
  <c r="AU215" i="55"/>
  <c r="AS215" i="55"/>
  <c r="AN215" i="55"/>
  <c r="AM215" i="55"/>
  <c r="AI215" i="55"/>
  <c r="Z215" i="55"/>
  <c r="AA215" i="55" s="1"/>
  <c r="N215" i="55"/>
  <c r="M215" i="55"/>
  <c r="M213" i="55" s="1"/>
  <c r="M212" i="55" s="1"/>
  <c r="L215" i="55"/>
  <c r="AV214" i="55"/>
  <c r="AU214" i="55"/>
  <c r="AS214" i="55"/>
  <c r="AN214" i="55"/>
  <c r="AM214" i="55"/>
  <c r="AI214" i="55"/>
  <c r="Z214" i="55"/>
  <c r="AA214" i="55" s="1"/>
  <c r="AA213" i="55" s="1"/>
  <c r="AA212" i="55" s="1"/>
  <c r="M214" i="55"/>
  <c r="L214" i="55"/>
  <c r="AT213" i="55"/>
  <c r="AR213" i="55"/>
  <c r="AQ213" i="55"/>
  <c r="AQ212" i="55" s="1"/>
  <c r="AP213" i="55"/>
  <c r="AO213" i="55"/>
  <c r="AO212" i="55" s="1"/>
  <c r="AL213" i="55"/>
  <c r="AK213" i="55"/>
  <c r="AJ213" i="55"/>
  <c r="AJ212" i="55" s="1"/>
  <c r="AH213" i="55"/>
  <c r="AI213" i="55" s="1"/>
  <c r="AG213" i="55"/>
  <c r="AG212" i="55" s="1"/>
  <c r="AF213" i="55"/>
  <c r="AF212" i="55" s="1"/>
  <c r="Z213" i="55"/>
  <c r="AT212" i="55"/>
  <c r="AP212" i="55"/>
  <c r="AK212" i="55"/>
  <c r="AH212" i="55"/>
  <c r="Z212" i="55"/>
  <c r="Z211" i="55"/>
  <c r="AU210" i="55"/>
  <c r="AV210" i="55" s="1"/>
  <c r="AS210" i="55"/>
  <c r="AN210" i="55"/>
  <c r="AN209" i="55" s="1"/>
  <c r="AN208" i="55" s="1"/>
  <c r="AM210" i="55"/>
  <c r="AI210" i="55"/>
  <c r="Z210" i="55"/>
  <c r="AA210" i="55" s="1"/>
  <c r="AA209" i="55" s="1"/>
  <c r="AA208" i="55" s="1"/>
  <c r="N210" i="55"/>
  <c r="N209" i="55" s="1"/>
  <c r="N208" i="55" s="1"/>
  <c r="L210" i="55"/>
  <c r="AU209" i="55"/>
  <c r="AT209" i="55"/>
  <c r="AT208" i="55" s="1"/>
  <c r="AR209" i="55"/>
  <c r="AQ209" i="55"/>
  <c r="AP209" i="55"/>
  <c r="AP208" i="55" s="1"/>
  <c r="AO209" i="55"/>
  <c r="AO208" i="55" s="1"/>
  <c r="AL209" i="55"/>
  <c r="AM209" i="55" s="1"/>
  <c r="AK209" i="55"/>
  <c r="AK208" i="55" s="1"/>
  <c r="AJ209" i="55"/>
  <c r="AJ208" i="55" s="1"/>
  <c r="AH209" i="55"/>
  <c r="AI209" i="55" s="1"/>
  <c r="AG209" i="55"/>
  <c r="AG208" i="55" s="1"/>
  <c r="AF209" i="55"/>
  <c r="AF208" i="55" s="1"/>
  <c r="Z209" i="55"/>
  <c r="M209" i="55"/>
  <c r="M208" i="55" s="1"/>
  <c r="AQ208" i="55"/>
  <c r="Z208" i="55"/>
  <c r="L208" i="55"/>
  <c r="AU207" i="55"/>
  <c r="AV207" i="55" s="1"/>
  <c r="AS207" i="55"/>
  <c r="AN207" i="55"/>
  <c r="AM207" i="55"/>
  <c r="AI207" i="55"/>
  <c r="Z207" i="55"/>
  <c r="AA207" i="55" s="1"/>
  <c r="N207" i="55"/>
  <c r="M207" i="55"/>
  <c r="L207" i="55"/>
  <c r="AU206" i="55"/>
  <c r="AV206" i="55" s="1"/>
  <c r="AS206" i="55"/>
  <c r="AN206" i="55"/>
  <c r="AM206" i="55"/>
  <c r="AI206" i="55"/>
  <c r="Z206" i="55"/>
  <c r="AA206" i="55" s="1"/>
  <c r="N206" i="55"/>
  <c r="M206" i="55"/>
  <c r="L206" i="55"/>
  <c r="L203" i="55" s="1"/>
  <c r="L202" i="55" s="1"/>
  <c r="AU205" i="55"/>
  <c r="AV205" i="55" s="1"/>
  <c r="AS205" i="55"/>
  <c r="AN205" i="55"/>
  <c r="AM205" i="55"/>
  <c r="AI205" i="55"/>
  <c r="Z205" i="55"/>
  <c r="AA205" i="55" s="1"/>
  <c r="N205" i="55"/>
  <c r="N203" i="55" s="1"/>
  <c r="N202" i="55" s="1"/>
  <c r="L205" i="55"/>
  <c r="AU204" i="55"/>
  <c r="AS204" i="55"/>
  <c r="AN204" i="55"/>
  <c r="AM204" i="55"/>
  <c r="AI204" i="55"/>
  <c r="Z204" i="55"/>
  <c r="AA204" i="55" s="1"/>
  <c r="L204" i="55"/>
  <c r="AT203" i="55"/>
  <c r="AR203" i="55"/>
  <c r="AQ203" i="55"/>
  <c r="AQ202" i="55" s="1"/>
  <c r="AP203" i="55"/>
  <c r="AP202" i="55" s="1"/>
  <c r="AO203" i="55"/>
  <c r="AL203" i="55"/>
  <c r="AM203" i="55" s="1"/>
  <c r="AK203" i="55"/>
  <c r="AK202" i="55" s="1"/>
  <c r="AJ203" i="55"/>
  <c r="AJ202" i="55" s="1"/>
  <c r="AH203" i="55"/>
  <c r="AI203" i="55" s="1"/>
  <c r="AG203" i="55"/>
  <c r="AG202" i="55" s="1"/>
  <c r="AF203" i="55"/>
  <c r="AF202" i="55" s="1"/>
  <c r="Z203" i="55"/>
  <c r="AT202" i="55"/>
  <c r="AO202" i="55"/>
  <c r="Z202" i="55"/>
  <c r="AV201" i="55"/>
  <c r="AU201" i="55"/>
  <c r="AU200" i="55" s="1"/>
  <c r="AS201" i="55"/>
  <c r="AN201" i="55"/>
  <c r="AN200" i="55" s="1"/>
  <c r="AM201" i="55"/>
  <c r="AI201" i="55"/>
  <c r="Z201" i="55"/>
  <c r="AA201" i="55" s="1"/>
  <c r="AA200" i="55" s="1"/>
  <c r="M201" i="55"/>
  <c r="L201" i="55"/>
  <c r="AT200" i="55"/>
  <c r="AR200" i="55"/>
  <c r="AQ200" i="55"/>
  <c r="AP200" i="55"/>
  <c r="AO200" i="55"/>
  <c r="AL200" i="55"/>
  <c r="AM200" i="55" s="1"/>
  <c r="AK200" i="55"/>
  <c r="AJ200" i="55"/>
  <c r="AH200" i="55"/>
  <c r="AI200" i="55" s="1"/>
  <c r="AG200" i="55"/>
  <c r="AF200" i="55"/>
  <c r="AF190" i="55" s="1"/>
  <c r="Z200" i="55"/>
  <c r="N200" i="55"/>
  <c r="M200" i="55"/>
  <c r="AU199" i="55"/>
  <c r="AV199" i="55" s="1"/>
  <c r="AS199" i="55"/>
  <c r="AN199" i="55"/>
  <c r="AM199" i="55"/>
  <c r="AI199" i="55"/>
  <c r="Z199" i="55"/>
  <c r="AA199" i="55" s="1"/>
  <c r="N199" i="55"/>
  <c r="M199" i="55"/>
  <c r="L199" i="55"/>
  <c r="AU198" i="55"/>
  <c r="AV198" i="55" s="1"/>
  <c r="AS198" i="55"/>
  <c r="AN198" i="55"/>
  <c r="AM198" i="55"/>
  <c r="AI198" i="55"/>
  <c r="Z198" i="55"/>
  <c r="AA198" i="55" s="1"/>
  <c r="N198" i="55"/>
  <c r="M198" i="55"/>
  <c r="L198" i="55"/>
  <c r="AU197" i="55"/>
  <c r="AV197" i="55" s="1"/>
  <c r="AS197" i="55"/>
  <c r="AN197" i="55"/>
  <c r="AM197" i="55"/>
  <c r="AI197" i="55"/>
  <c r="Z197" i="55"/>
  <c r="AA197" i="55" s="1"/>
  <c r="N197" i="55"/>
  <c r="M197" i="55"/>
  <c r="L197" i="55"/>
  <c r="AU196" i="55"/>
  <c r="AV196" i="55" s="1"/>
  <c r="AS196" i="55"/>
  <c r="AN196" i="55"/>
  <c r="AM196" i="55"/>
  <c r="AI196" i="55"/>
  <c r="Z196" i="55"/>
  <c r="AA196" i="55" s="1"/>
  <c r="N196" i="55"/>
  <c r="L196" i="55"/>
  <c r="AU195" i="55"/>
  <c r="AV195" i="55" s="1"/>
  <c r="AS195" i="55"/>
  <c r="AN195" i="55"/>
  <c r="AM195" i="55"/>
  <c r="AI195" i="55"/>
  <c r="Z195" i="55"/>
  <c r="AA195" i="55" s="1"/>
  <c r="M195" i="55"/>
  <c r="L195" i="55"/>
  <c r="AU194" i="55"/>
  <c r="AV194" i="55" s="1"/>
  <c r="AS194" i="55"/>
  <c r="AN194" i="55"/>
  <c r="AM194" i="55"/>
  <c r="AI194" i="55"/>
  <c r="Z194" i="55"/>
  <c r="AA194" i="55" s="1"/>
  <c r="N194" i="55"/>
  <c r="M194" i="55"/>
  <c r="L194" i="55"/>
  <c r="AU193" i="55"/>
  <c r="AT193" i="55"/>
  <c r="AT191" i="55" s="1"/>
  <c r="AT190" i="55" s="1"/>
  <c r="AS193" i="55"/>
  <c r="AN193" i="55"/>
  <c r="AM193" i="55"/>
  <c r="AI193" i="55"/>
  <c r="Z193" i="55"/>
  <c r="AA193" i="55" s="1"/>
  <c r="N193" i="55"/>
  <c r="M193" i="55"/>
  <c r="L193" i="55"/>
  <c r="AT192" i="55"/>
  <c r="AS192" i="55"/>
  <c r="AP192" i="55"/>
  <c r="AU192" i="55" s="1"/>
  <c r="AO192" i="55"/>
  <c r="AO191" i="55" s="1"/>
  <c r="AN192" i="55"/>
  <c r="AM192" i="55"/>
  <c r="AI192" i="55"/>
  <c r="AF192" i="55"/>
  <c r="AF191" i="55" s="1"/>
  <c r="Z192" i="55"/>
  <c r="AA192" i="55" s="1"/>
  <c r="N192" i="55"/>
  <c r="M192" i="55"/>
  <c r="L192" i="55"/>
  <c r="AR191" i="55"/>
  <c r="AQ191" i="55"/>
  <c r="AL191" i="55"/>
  <c r="AK191" i="55"/>
  <c r="AJ191" i="55"/>
  <c r="AJ190" i="55" s="1"/>
  <c r="AH191" i="55"/>
  <c r="AG191" i="55"/>
  <c r="Z191" i="55"/>
  <c r="AK190" i="55"/>
  <c r="Z190" i="55"/>
  <c r="AU189" i="55"/>
  <c r="AV189" i="55" s="1"/>
  <c r="AS189" i="55"/>
  <c r="AN189" i="55"/>
  <c r="AM189" i="55"/>
  <c r="AI189" i="55"/>
  <c r="Z189" i="55"/>
  <c r="AA189" i="55" s="1"/>
  <c r="N189" i="55"/>
  <c r="M189" i="55"/>
  <c r="L189" i="55"/>
  <c r="AU188" i="55"/>
  <c r="AV188" i="55" s="1"/>
  <c r="AS188" i="55"/>
  <c r="AN188" i="55"/>
  <c r="AM188" i="55"/>
  <c r="AI188" i="55"/>
  <c r="Z188" i="55"/>
  <c r="AA188" i="55" s="1"/>
  <c r="M188" i="55"/>
  <c r="L188" i="55"/>
  <c r="AU187" i="55"/>
  <c r="AS187" i="55"/>
  <c r="AN187" i="55"/>
  <c r="AM187" i="55"/>
  <c r="AI187" i="55"/>
  <c r="Z187" i="55"/>
  <c r="AA187" i="55" s="1"/>
  <c r="N187" i="55"/>
  <c r="M187" i="55"/>
  <c r="L187" i="55"/>
  <c r="AU186" i="55"/>
  <c r="AV186" i="55" s="1"/>
  <c r="AS186" i="55"/>
  <c r="AN186" i="55"/>
  <c r="AM186" i="55"/>
  <c r="AI186" i="55"/>
  <c r="Z186" i="55"/>
  <c r="AA186" i="55" s="1"/>
  <c r="N186" i="55"/>
  <c r="M186" i="55"/>
  <c r="L186" i="55"/>
  <c r="L183" i="55" s="1"/>
  <c r="AV185" i="55"/>
  <c r="AU185" i="55"/>
  <c r="AS185" i="55"/>
  <c r="AN185" i="55"/>
  <c r="AM185" i="55"/>
  <c r="AI185" i="55"/>
  <c r="Z185" i="55"/>
  <c r="AA185" i="55" s="1"/>
  <c r="N185" i="55"/>
  <c r="M185" i="55"/>
  <c r="L185" i="55"/>
  <c r="AU184" i="55"/>
  <c r="AV184" i="55" s="1"/>
  <c r="AS184" i="55"/>
  <c r="AN184" i="55"/>
  <c r="AM184" i="55"/>
  <c r="AI184" i="55"/>
  <c r="Z184" i="55"/>
  <c r="AA184" i="55" s="1"/>
  <c r="M184" i="55"/>
  <c r="L184" i="55"/>
  <c r="AT183" i="55"/>
  <c r="AR183" i="55"/>
  <c r="AQ183" i="55"/>
  <c r="AP183" i="55"/>
  <c r="AO183" i="55"/>
  <c r="AL183" i="55"/>
  <c r="AK183" i="55"/>
  <c r="AJ183" i="55"/>
  <c r="AH183" i="55"/>
  <c r="AG183" i="55"/>
  <c r="AF183" i="55"/>
  <c r="Z183" i="55"/>
  <c r="AS182" i="55"/>
  <c r="AN182" i="55"/>
  <c r="AM182" i="55"/>
  <c r="AK182" i="55"/>
  <c r="AU182" i="55" s="1"/>
  <c r="AV182" i="55" s="1"/>
  <c r="AI182" i="55"/>
  <c r="AG182" i="55"/>
  <c r="Z182" i="55"/>
  <c r="AA182" i="55" s="1"/>
  <c r="N182" i="55"/>
  <c r="M182" i="55"/>
  <c r="L182" i="55"/>
  <c r="AS181" i="55"/>
  <c r="AN181" i="55"/>
  <c r="AM181" i="55"/>
  <c r="AK181" i="55"/>
  <c r="AU181" i="55" s="1"/>
  <c r="AV181" i="55" s="1"/>
  <c r="AI181" i="55"/>
  <c r="AG181" i="55"/>
  <c r="Z181" i="55"/>
  <c r="AA181" i="55" s="1"/>
  <c r="M181" i="55"/>
  <c r="M178" i="55" s="1"/>
  <c r="L181" i="55"/>
  <c r="AU180" i="55"/>
  <c r="AV180" i="55" s="1"/>
  <c r="AS180" i="55"/>
  <c r="AN180" i="55"/>
  <c r="AM180" i="55"/>
  <c r="AI180" i="55"/>
  <c r="Z180" i="55"/>
  <c r="AA180" i="55" s="1"/>
  <c r="N180" i="55"/>
  <c r="M180" i="55"/>
  <c r="L180" i="55"/>
  <c r="AU179" i="55"/>
  <c r="AS179" i="55"/>
  <c r="AN179" i="55"/>
  <c r="AM179" i="55"/>
  <c r="AI179" i="55"/>
  <c r="Z179" i="55"/>
  <c r="AA179" i="55" s="1"/>
  <c r="N179" i="55"/>
  <c r="M179" i="55"/>
  <c r="L179" i="55"/>
  <c r="AT178" i="55"/>
  <c r="AR178" i="55"/>
  <c r="AQ178" i="55"/>
  <c r="AP178" i="55"/>
  <c r="AO178" i="55"/>
  <c r="AL178" i="55"/>
  <c r="AM178" i="55" s="1"/>
  <c r="AJ178" i="55"/>
  <c r="AH178" i="55"/>
  <c r="AI178" i="55" s="1"/>
  <c r="AF178" i="55"/>
  <c r="Z178" i="55"/>
  <c r="AV177" i="55"/>
  <c r="AU177" i="55"/>
  <c r="AS177" i="55"/>
  <c r="AN177" i="55"/>
  <c r="AN176" i="55" s="1"/>
  <c r="AM177" i="55"/>
  <c r="AI177" i="55"/>
  <c r="Z177" i="55"/>
  <c r="AA177" i="55" s="1"/>
  <c r="AA176" i="55" s="1"/>
  <c r="N177" i="55"/>
  <c r="M177" i="55"/>
  <c r="L177" i="55"/>
  <c r="L176" i="55" s="1"/>
  <c r="AU176" i="55"/>
  <c r="AT176" i="55"/>
  <c r="AR176" i="55"/>
  <c r="AS176" i="55" s="1"/>
  <c r="AQ176" i="55"/>
  <c r="AP176" i="55"/>
  <c r="AO176" i="55"/>
  <c r="AL176" i="55"/>
  <c r="AM176" i="55" s="1"/>
  <c r="AK176" i="55"/>
  <c r="AJ176" i="55"/>
  <c r="AH176" i="55"/>
  <c r="AI176" i="55" s="1"/>
  <c r="AG176" i="55"/>
  <c r="AF176" i="55"/>
  <c r="Z176" i="55"/>
  <c r="N176" i="55"/>
  <c r="M176" i="55"/>
  <c r="AU175" i="55"/>
  <c r="AV175" i="55" s="1"/>
  <c r="AS175" i="55"/>
  <c r="AN175" i="55"/>
  <c r="AM175" i="55"/>
  <c r="AI175" i="55"/>
  <c r="Z175" i="55"/>
  <c r="AA175" i="55" s="1"/>
  <c r="M175" i="55"/>
  <c r="L175" i="55"/>
  <c r="AU174" i="55"/>
  <c r="AV174" i="55" s="1"/>
  <c r="AS174" i="55"/>
  <c r="AN174" i="55"/>
  <c r="AM174" i="55"/>
  <c r="AI174" i="55"/>
  <c r="Z174" i="55"/>
  <c r="AA174" i="55" s="1"/>
  <c r="L174" i="55"/>
  <c r="AU173" i="55"/>
  <c r="AV173" i="55" s="1"/>
  <c r="AS173" i="55"/>
  <c r="AN173" i="55"/>
  <c r="AM173" i="55"/>
  <c r="AI173" i="55"/>
  <c r="Z173" i="55"/>
  <c r="AA173" i="55" s="1"/>
  <c r="N173" i="55"/>
  <c r="M173" i="55"/>
  <c r="L173" i="55"/>
  <c r="AV172" i="55"/>
  <c r="AU172" i="55"/>
  <c r="AS172" i="55"/>
  <c r="AN172" i="55"/>
  <c r="AM172" i="55"/>
  <c r="AI172" i="55"/>
  <c r="Z172" i="55"/>
  <c r="AA172" i="55" s="1"/>
  <c r="N172" i="55"/>
  <c r="M172" i="55"/>
  <c r="L172" i="55"/>
  <c r="AU171" i="55"/>
  <c r="AV171" i="55" s="1"/>
  <c r="AS171" i="55"/>
  <c r="AN171" i="55"/>
  <c r="AM171" i="55"/>
  <c r="AI171" i="55"/>
  <c r="Z171" i="55"/>
  <c r="AA171" i="55" s="1"/>
  <c r="N171" i="55"/>
  <c r="M171" i="55"/>
  <c r="L171" i="55"/>
  <c r="AU170" i="55"/>
  <c r="AV170" i="55" s="1"/>
  <c r="AS170" i="55"/>
  <c r="AN170" i="55"/>
  <c r="AM170" i="55"/>
  <c r="AI170" i="55"/>
  <c r="Z170" i="55"/>
  <c r="AA170" i="55" s="1"/>
  <c r="N170" i="55"/>
  <c r="L170" i="55"/>
  <c r="AU169" i="55"/>
  <c r="AV169" i="55" s="1"/>
  <c r="AS169" i="55"/>
  <c r="AN169" i="55"/>
  <c r="AM169" i="55"/>
  <c r="AI169" i="55"/>
  <c r="Z169" i="55"/>
  <c r="AA169" i="55" s="1"/>
  <c r="N169" i="55"/>
  <c r="M169" i="55"/>
  <c r="L169" i="55"/>
  <c r="AT168" i="55"/>
  <c r="AR168" i="55"/>
  <c r="AQ168" i="55"/>
  <c r="AQ167" i="55" s="1"/>
  <c r="AP168" i="55"/>
  <c r="AO168" i="55"/>
  <c r="AL168" i="55"/>
  <c r="AM168" i="55" s="1"/>
  <c r="AK168" i="55"/>
  <c r="AJ168" i="55"/>
  <c r="AH168" i="55"/>
  <c r="AI168" i="55" s="1"/>
  <c r="AG168" i="55"/>
  <c r="AF168" i="55"/>
  <c r="Z168" i="55"/>
  <c r="AO167" i="55"/>
  <c r="Z167" i="55"/>
  <c r="AU166" i="55"/>
  <c r="AS166" i="55"/>
  <c r="AN166" i="55"/>
  <c r="AN165" i="55" s="1"/>
  <c r="AM166" i="55"/>
  <c r="AI166" i="55"/>
  <c r="Z166" i="55"/>
  <c r="AA166" i="55" s="1"/>
  <c r="AA165" i="55" s="1"/>
  <c r="N166" i="55"/>
  <c r="N165" i="55" s="1"/>
  <c r="M166" i="55"/>
  <c r="M165" i="55" s="1"/>
  <c r="L166" i="55"/>
  <c r="AT165" i="55"/>
  <c r="AR165" i="55"/>
  <c r="AQ165" i="55"/>
  <c r="AP165" i="55"/>
  <c r="AO165" i="55"/>
  <c r="AL165" i="55"/>
  <c r="AM165" i="55" s="1"/>
  <c r="AK165" i="55"/>
  <c r="AJ165" i="55"/>
  <c r="AH165" i="55"/>
  <c r="AI165" i="55" s="1"/>
  <c r="AG165" i="55"/>
  <c r="AF165" i="55"/>
  <c r="Z165" i="55"/>
  <c r="AU164" i="55"/>
  <c r="AS164" i="55"/>
  <c r="AN164" i="55"/>
  <c r="AN163" i="55" s="1"/>
  <c r="AM164" i="55"/>
  <c r="AI164" i="55"/>
  <c r="Z164" i="55"/>
  <c r="AA164" i="55" s="1"/>
  <c r="AA163" i="55" s="1"/>
  <c r="N164" i="55"/>
  <c r="L164" i="55"/>
  <c r="L163" i="55" s="1"/>
  <c r="AT163" i="55"/>
  <c r="AR163" i="55"/>
  <c r="AQ163" i="55"/>
  <c r="AS163" i="55" s="1"/>
  <c r="AP163" i="55"/>
  <c r="AO163" i="55"/>
  <c r="AL163" i="55"/>
  <c r="AM163" i="55" s="1"/>
  <c r="AK163" i="55"/>
  <c r="AJ163" i="55"/>
  <c r="AH163" i="55"/>
  <c r="AI163" i="55" s="1"/>
  <c r="AG163" i="55"/>
  <c r="AF163" i="55"/>
  <c r="Z163" i="55"/>
  <c r="N163" i="55"/>
  <c r="M163" i="55"/>
  <c r="AU162" i="55"/>
  <c r="AS162" i="55"/>
  <c r="AN162" i="55"/>
  <c r="AN161" i="55" s="1"/>
  <c r="AM162" i="55"/>
  <c r="AI162" i="55"/>
  <c r="AA162" i="55"/>
  <c r="AA161" i="55" s="1"/>
  <c r="Z162" i="55"/>
  <c r="N162" i="55"/>
  <c r="N161" i="55" s="1"/>
  <c r="M162" i="55"/>
  <c r="M161" i="55" s="1"/>
  <c r="L162" i="55"/>
  <c r="L161" i="55" s="1"/>
  <c r="AT161" i="55"/>
  <c r="AR161" i="55"/>
  <c r="AQ161" i="55"/>
  <c r="AS161" i="55" s="1"/>
  <c r="AP161" i="55"/>
  <c r="AO161" i="55"/>
  <c r="AL161" i="55"/>
  <c r="AM161" i="55" s="1"/>
  <c r="AK161" i="55"/>
  <c r="AJ161" i="55"/>
  <c r="AH161" i="55"/>
  <c r="AI161" i="55" s="1"/>
  <c r="AG161" i="55"/>
  <c r="AF161" i="55"/>
  <c r="Z161" i="55"/>
  <c r="AU160" i="55"/>
  <c r="AV160" i="55" s="1"/>
  <c r="AS160" i="55"/>
  <c r="AN160" i="55"/>
  <c r="AM160" i="55"/>
  <c r="AI160" i="55"/>
  <c r="Z160" i="55"/>
  <c r="AA160" i="55" s="1"/>
  <c r="N160" i="55"/>
  <c r="L160" i="55"/>
  <c r="AU159" i="55"/>
  <c r="AV159" i="55" s="1"/>
  <c r="AS159" i="55"/>
  <c r="AN159" i="55"/>
  <c r="AN158" i="55" s="1"/>
  <c r="AM159" i="55"/>
  <c r="AI159" i="55"/>
  <c r="Z159" i="55"/>
  <c r="AA159" i="55" s="1"/>
  <c r="AA158" i="55" s="1"/>
  <c r="Y159" i="55"/>
  <c r="N159" i="55"/>
  <c r="M159" i="55"/>
  <c r="M158" i="55" s="1"/>
  <c r="M157" i="55" s="1"/>
  <c r="L159" i="55"/>
  <c r="L158" i="55" s="1"/>
  <c r="L157" i="55" s="1"/>
  <c r="AT158" i="55"/>
  <c r="AR158" i="55"/>
  <c r="AR157" i="55" s="1"/>
  <c r="AQ158" i="55"/>
  <c r="AP158" i="55"/>
  <c r="AO158" i="55"/>
  <c r="AL158" i="55"/>
  <c r="AM158" i="55" s="1"/>
  <c r="AK158" i="55"/>
  <c r="AK157" i="55" s="1"/>
  <c r="AJ158" i="55"/>
  <c r="AH158" i="55"/>
  <c r="AI158" i="55" s="1"/>
  <c r="AG158" i="55"/>
  <c r="AG157" i="55" s="1"/>
  <c r="AF158" i="55"/>
  <c r="Z158" i="55"/>
  <c r="Z157" i="55"/>
  <c r="AU156" i="55"/>
  <c r="AS156" i="55"/>
  <c r="AN156" i="55"/>
  <c r="AN155" i="55" s="1"/>
  <c r="AM156" i="55"/>
  <c r="AI156" i="55"/>
  <c r="Z156" i="55"/>
  <c r="AA156" i="55" s="1"/>
  <c r="AA155" i="55" s="1"/>
  <c r="N156" i="55"/>
  <c r="M156" i="55"/>
  <c r="M155" i="55" s="1"/>
  <c r="L156" i="55"/>
  <c r="AT155" i="55"/>
  <c r="AR155" i="55"/>
  <c r="AQ155" i="55"/>
  <c r="AP155" i="55"/>
  <c r="AO155" i="55"/>
  <c r="AL155" i="55"/>
  <c r="AM155" i="55" s="1"/>
  <c r="AK155" i="55"/>
  <c r="AJ155" i="55"/>
  <c r="AH155" i="55"/>
  <c r="AI155" i="55" s="1"/>
  <c r="AG155" i="55"/>
  <c r="AF155" i="55"/>
  <c r="Z155" i="55"/>
  <c r="N155" i="55"/>
  <c r="AU154" i="55"/>
  <c r="AS154" i="55"/>
  <c r="AN154" i="55"/>
  <c r="AM154" i="55"/>
  <c r="AI154" i="55"/>
  <c r="Z154" i="55"/>
  <c r="AA154" i="55" s="1"/>
  <c r="AA153" i="55" s="1"/>
  <c r="N154" i="55"/>
  <c r="M154" i="55"/>
  <c r="L154" i="55"/>
  <c r="L153" i="55" s="1"/>
  <c r="AT153" i="55"/>
  <c r="AR153" i="55"/>
  <c r="AQ153" i="55"/>
  <c r="AP153" i="55"/>
  <c r="AO153" i="55"/>
  <c r="AN153" i="55"/>
  <c r="AL153" i="55"/>
  <c r="AM153" i="55" s="1"/>
  <c r="AK153" i="55"/>
  <c r="AJ153" i="55"/>
  <c r="AH153" i="55"/>
  <c r="AI153" i="55" s="1"/>
  <c r="AG153" i="55"/>
  <c r="AF153" i="55"/>
  <c r="Z153" i="55"/>
  <c r="N153" i="55"/>
  <c r="M153" i="55"/>
  <c r="AU152" i="55"/>
  <c r="AV152" i="55" s="1"/>
  <c r="AS152" i="55"/>
  <c r="AN152" i="55"/>
  <c r="AN151" i="55" s="1"/>
  <c r="AM152" i="55"/>
  <c r="AI152" i="55"/>
  <c r="Z152" i="55"/>
  <c r="AA152" i="55" s="1"/>
  <c r="AA151" i="55" s="1"/>
  <c r="N152" i="55"/>
  <c r="N151" i="55" s="1"/>
  <c r="M152" i="55"/>
  <c r="M151" i="55" s="1"/>
  <c r="L152" i="55"/>
  <c r="L151" i="55" s="1"/>
  <c r="L150" i="55" s="1"/>
  <c r="AU151" i="55"/>
  <c r="AT151" i="55"/>
  <c r="AR151" i="55"/>
  <c r="AQ151" i="55"/>
  <c r="AS151" i="55" s="1"/>
  <c r="AP151" i="55"/>
  <c r="AP150" i="55" s="1"/>
  <c r="AO151" i="55"/>
  <c r="AL151" i="55"/>
  <c r="AK151" i="55"/>
  <c r="AJ151" i="55"/>
  <c r="AJ150" i="55" s="1"/>
  <c r="AH151" i="55"/>
  <c r="AI151" i="55" s="1"/>
  <c r="AG151" i="55"/>
  <c r="AF151" i="55"/>
  <c r="AF150" i="55" s="1"/>
  <c r="Z151" i="55"/>
  <c r="AR150" i="55"/>
  <c r="AH150" i="55"/>
  <c r="AI150" i="55" s="1"/>
  <c r="Z150" i="55"/>
  <c r="AU149" i="55"/>
  <c r="AS149" i="55"/>
  <c r="AN149" i="55"/>
  <c r="AM149" i="55"/>
  <c r="AI149" i="55"/>
  <c r="Z149" i="55"/>
  <c r="AA149" i="55" s="1"/>
  <c r="AA148" i="55" s="1"/>
  <c r="AA147" i="55" s="1"/>
  <c r="N149" i="55"/>
  <c r="N148" i="55" s="1"/>
  <c r="N147" i="55" s="1"/>
  <c r="M149" i="55"/>
  <c r="M148" i="55" s="1"/>
  <c r="M147" i="55" s="1"/>
  <c r="L149" i="55"/>
  <c r="AT148" i="55"/>
  <c r="AT147" i="55" s="1"/>
  <c r="AR148" i="55"/>
  <c r="AR147" i="55" s="1"/>
  <c r="AQ148" i="55"/>
  <c r="AQ147" i="55" s="1"/>
  <c r="AP148" i="55"/>
  <c r="AP147" i="55" s="1"/>
  <c r="AO148" i="55"/>
  <c r="AO147" i="55" s="1"/>
  <c r="AN148" i="55"/>
  <c r="AN147" i="55" s="1"/>
  <c r="AL148" i="55"/>
  <c r="AM148" i="55" s="1"/>
  <c r="AK148" i="55"/>
  <c r="AK147" i="55" s="1"/>
  <c r="AJ148" i="55"/>
  <c r="AJ147" i="55" s="1"/>
  <c r="AH148" i="55"/>
  <c r="AI148" i="55" s="1"/>
  <c r="AG148" i="55"/>
  <c r="AG147" i="55" s="1"/>
  <c r="AF148" i="55"/>
  <c r="AF147" i="55" s="1"/>
  <c r="Z148" i="55"/>
  <c r="AL147" i="55"/>
  <c r="AM147" i="55" s="1"/>
  <c r="Z147" i="55"/>
  <c r="L147" i="55"/>
  <c r="Z146" i="55"/>
  <c r="AU145" i="55"/>
  <c r="AU144" i="55" s="1"/>
  <c r="AV144" i="55" s="1"/>
  <c r="AS145" i="55"/>
  <c r="AN145" i="55"/>
  <c r="AN144" i="55" s="1"/>
  <c r="AM145" i="55"/>
  <c r="AI145" i="55"/>
  <c r="AA145" i="55"/>
  <c r="AA144" i="55" s="1"/>
  <c r="Z145" i="55"/>
  <c r="N145" i="55"/>
  <c r="N144" i="55" s="1"/>
  <c r="M145" i="55"/>
  <c r="M144" i="55" s="1"/>
  <c r="L145" i="55"/>
  <c r="L144" i="55" s="1"/>
  <c r="L140" i="55" s="1"/>
  <c r="AT144" i="55"/>
  <c r="AR144" i="55"/>
  <c r="AQ144" i="55"/>
  <c r="AS144" i="55" s="1"/>
  <c r="AP144" i="55"/>
  <c r="AO144" i="55"/>
  <c r="AL144" i="55"/>
  <c r="AM144" i="55" s="1"/>
  <c r="AK144" i="55"/>
  <c r="AJ144" i="55"/>
  <c r="AH144" i="55"/>
  <c r="AI144" i="55" s="1"/>
  <c r="AG144" i="55"/>
  <c r="AF144" i="55"/>
  <c r="Z144" i="55"/>
  <c r="AU143" i="55"/>
  <c r="AV143" i="55" s="1"/>
  <c r="AS143" i="55"/>
  <c r="AN143" i="55"/>
  <c r="AM143" i="55"/>
  <c r="AI143" i="55"/>
  <c r="Z143" i="55"/>
  <c r="AA143" i="55" s="1"/>
  <c r="N143" i="55"/>
  <c r="M143" i="55"/>
  <c r="L143" i="55"/>
  <c r="AV142" i="55"/>
  <c r="AU142" i="55"/>
  <c r="AS142" i="55"/>
  <c r="AN142" i="55"/>
  <c r="AM142" i="55"/>
  <c r="AI142" i="55"/>
  <c r="Z142" i="55"/>
  <c r="AA142" i="55" s="1"/>
  <c r="AA141" i="55" s="1"/>
  <c r="M142" i="55"/>
  <c r="M141" i="55" s="1"/>
  <c r="M140" i="55" s="1"/>
  <c r="L142" i="55"/>
  <c r="AT141" i="55"/>
  <c r="AR141" i="55"/>
  <c r="AQ141" i="55"/>
  <c r="AQ140" i="55" s="1"/>
  <c r="AP141" i="55"/>
  <c r="AO141" i="55"/>
  <c r="AL141" i="55"/>
  <c r="AK141" i="55"/>
  <c r="AK140" i="55" s="1"/>
  <c r="AJ141" i="55"/>
  <c r="AH141" i="55"/>
  <c r="AG141" i="55"/>
  <c r="AG140" i="55" s="1"/>
  <c r="AF141" i="55"/>
  <c r="AF140" i="55" s="1"/>
  <c r="Z141" i="55"/>
  <c r="N141" i="55"/>
  <c r="AO140" i="55"/>
  <c r="Z140" i="55"/>
  <c r="AU139" i="55"/>
  <c r="AV139" i="55" s="1"/>
  <c r="AS139" i="55"/>
  <c r="AN139" i="55"/>
  <c r="AM139" i="55"/>
  <c r="AI139" i="55"/>
  <c r="Z139" i="55"/>
  <c r="AA139" i="55" s="1"/>
  <c r="N139" i="55"/>
  <c r="M139" i="55"/>
  <c r="L139" i="55"/>
  <c r="AU138" i="55"/>
  <c r="AV138" i="55" s="1"/>
  <c r="AS138" i="55"/>
  <c r="AN138" i="55"/>
  <c r="AM138" i="55"/>
  <c r="AI138" i="55"/>
  <c r="AA138" i="55"/>
  <c r="Z138" i="55"/>
  <c r="N138" i="55"/>
  <c r="M138" i="55"/>
  <c r="L138" i="55"/>
  <c r="AU137" i="55"/>
  <c r="AS137" i="55"/>
  <c r="AN137" i="55"/>
  <c r="AM137" i="55"/>
  <c r="AI137" i="55"/>
  <c r="Z137" i="55"/>
  <c r="AA137" i="55" s="1"/>
  <c r="N137" i="55"/>
  <c r="M137" i="55"/>
  <c r="L137" i="55"/>
  <c r="AU136" i="55"/>
  <c r="AV136" i="55" s="1"/>
  <c r="AS136" i="55"/>
  <c r="AN136" i="55"/>
  <c r="AM136" i="55"/>
  <c r="AI136" i="55"/>
  <c r="Z136" i="55"/>
  <c r="AA136" i="55" s="1"/>
  <c r="N136" i="55"/>
  <c r="M136" i="55"/>
  <c r="L136" i="55"/>
  <c r="AT135" i="55"/>
  <c r="AT134" i="55" s="1"/>
  <c r="AR135" i="55"/>
  <c r="AQ135" i="55"/>
  <c r="AQ134" i="55" s="1"/>
  <c r="AP135" i="55"/>
  <c r="AO135" i="55"/>
  <c r="AO134" i="55" s="1"/>
  <c r="AM135" i="55"/>
  <c r="AL135" i="55"/>
  <c r="AK135" i="55"/>
  <c r="AK134" i="55" s="1"/>
  <c r="AJ135" i="55"/>
  <c r="AJ134" i="55" s="1"/>
  <c r="AI135" i="55"/>
  <c r="AH135" i="55"/>
  <c r="AH134" i="55" s="1"/>
  <c r="AI134" i="55" s="1"/>
  <c r="AG135" i="55"/>
  <c r="AG134" i="55" s="1"/>
  <c r="AF135" i="55"/>
  <c r="AF134" i="55" s="1"/>
  <c r="Z135" i="55"/>
  <c r="AP134" i="55"/>
  <c r="AL134" i="55"/>
  <c r="AM134" i="55" s="1"/>
  <c r="Z134" i="55"/>
  <c r="AU133" i="55"/>
  <c r="AV133" i="55" s="1"/>
  <c r="AS133" i="55"/>
  <c r="AN133" i="55"/>
  <c r="AN132" i="55" s="1"/>
  <c r="AM133" i="55"/>
  <c r="AI133" i="55"/>
  <c r="Z133" i="55"/>
  <c r="AA133" i="55" s="1"/>
  <c r="AA132" i="55" s="1"/>
  <c r="N133" i="55"/>
  <c r="N132" i="55" s="1"/>
  <c r="M133" i="55"/>
  <c r="M132" i="55" s="1"/>
  <c r="L133" i="55"/>
  <c r="L132" i="55" s="1"/>
  <c r="AT132" i="55"/>
  <c r="AR132" i="55"/>
  <c r="AQ132" i="55"/>
  <c r="AP132" i="55"/>
  <c r="AO132" i="55"/>
  <c r="AL132" i="55"/>
  <c r="AM132" i="55" s="1"/>
  <c r="AK132" i="55"/>
  <c r="AJ132" i="55"/>
  <c r="AH132" i="55"/>
  <c r="AI132" i="55" s="1"/>
  <c r="AG132" i="55"/>
  <c r="AF132" i="55"/>
  <c r="Z132" i="55"/>
  <c r="AS131" i="55"/>
  <c r="AN131" i="55"/>
  <c r="AM131" i="55"/>
  <c r="AK131" i="55"/>
  <c r="AU131" i="55" s="1"/>
  <c r="AV131" i="55" s="1"/>
  <c r="AI131" i="55"/>
  <c r="AG131" i="55"/>
  <c r="Z131" i="55"/>
  <c r="AA131" i="55" s="1"/>
  <c r="N131" i="55"/>
  <c r="M131" i="55"/>
  <c r="L131" i="55"/>
  <c r="AS130" i="55"/>
  <c r="AN130" i="55"/>
  <c r="AM130" i="55"/>
  <c r="AK130" i="55"/>
  <c r="AU130" i="55" s="1"/>
  <c r="AV130" i="55" s="1"/>
  <c r="AI130" i="55"/>
  <c r="AG130" i="55"/>
  <c r="Z130" i="55"/>
  <c r="AA130" i="55" s="1"/>
  <c r="M130" i="55"/>
  <c r="L130" i="55"/>
  <c r="AU129" i="55"/>
  <c r="AV129" i="55" s="1"/>
  <c r="AS129" i="55"/>
  <c r="AN129" i="55"/>
  <c r="AM129" i="55"/>
  <c r="AI129" i="55"/>
  <c r="Z129" i="55"/>
  <c r="AA129" i="55" s="1"/>
  <c r="N129" i="55"/>
  <c r="M129" i="55"/>
  <c r="L129" i="55"/>
  <c r="AU128" i="55"/>
  <c r="AV128" i="55" s="1"/>
  <c r="AS128" i="55"/>
  <c r="AN128" i="55"/>
  <c r="AM128" i="55"/>
  <c r="AI128" i="55"/>
  <c r="Z128" i="55"/>
  <c r="AA128" i="55" s="1"/>
  <c r="N128" i="55"/>
  <c r="M128" i="55"/>
  <c r="L128" i="55"/>
  <c r="AR127" i="55"/>
  <c r="AQ127" i="55"/>
  <c r="AO127" i="55"/>
  <c r="AN127" i="55"/>
  <c r="AM127" i="55"/>
  <c r="AK127" i="55"/>
  <c r="AI127" i="55"/>
  <c r="AG127" i="55"/>
  <c r="Z127" i="55"/>
  <c r="AA127" i="55" s="1"/>
  <c r="N127" i="55"/>
  <c r="M127" i="55"/>
  <c r="L127" i="55"/>
  <c r="AR126" i="55"/>
  <c r="AQ126" i="55"/>
  <c r="AO126" i="55"/>
  <c r="AN126" i="55"/>
  <c r="AM126" i="55"/>
  <c r="AK126" i="55"/>
  <c r="AI126" i="55"/>
  <c r="AG126" i="55"/>
  <c r="AA126" i="55"/>
  <c r="Z126" i="55"/>
  <c r="N126" i="55"/>
  <c r="M126" i="55"/>
  <c r="L126" i="55"/>
  <c r="AT125" i="55"/>
  <c r="AP125" i="55"/>
  <c r="AO125" i="55"/>
  <c r="AL125" i="55"/>
  <c r="AM125" i="55" s="1"/>
  <c r="AJ125" i="55"/>
  <c r="AH125" i="55"/>
  <c r="AI125" i="55" s="1"/>
  <c r="AF125" i="55"/>
  <c r="Z125" i="55"/>
  <c r="AU124" i="55"/>
  <c r="AV124" i="55" s="1"/>
  <c r="AS124" i="55"/>
  <c r="AN124" i="55"/>
  <c r="AM124" i="55"/>
  <c r="AI124" i="55"/>
  <c r="Z124" i="55"/>
  <c r="AA124" i="55" s="1"/>
  <c r="N124" i="55"/>
  <c r="M124" i="55"/>
  <c r="L124" i="55"/>
  <c r="AR123" i="55"/>
  <c r="AS123" i="55" s="1"/>
  <c r="AQ123" i="55"/>
  <c r="AP123" i="55"/>
  <c r="AO123" i="55"/>
  <c r="AN123" i="55"/>
  <c r="AM123" i="55"/>
  <c r="AK123" i="55"/>
  <c r="AI123" i="55"/>
  <c r="AG123" i="55"/>
  <c r="Z123" i="55"/>
  <c r="AA123" i="55" s="1"/>
  <c r="N123" i="55"/>
  <c r="M123" i="55"/>
  <c r="L123" i="55"/>
  <c r="AR122" i="55"/>
  <c r="AQ122" i="55"/>
  <c r="AP122" i="55"/>
  <c r="AO122" i="55"/>
  <c r="AN122" i="55"/>
  <c r="AM122" i="55"/>
  <c r="AK122" i="55"/>
  <c r="AI122" i="55"/>
  <c r="AG122" i="55"/>
  <c r="Z122" i="55"/>
  <c r="AA122" i="55" s="1"/>
  <c r="N122" i="55"/>
  <c r="M122" i="55"/>
  <c r="L122" i="55"/>
  <c r="AT121" i="55"/>
  <c r="AL121" i="55"/>
  <c r="AM121" i="55" s="1"/>
  <c r="AJ121" i="55"/>
  <c r="AH121" i="55"/>
  <c r="AI121" i="55" s="1"/>
  <c r="AF121" i="55"/>
  <c r="Z121" i="55"/>
  <c r="M121" i="55"/>
  <c r="AU120" i="55"/>
  <c r="AV120" i="55" s="1"/>
  <c r="AS120" i="55"/>
  <c r="AN120" i="55"/>
  <c r="AM120" i="55"/>
  <c r="AI120" i="55"/>
  <c r="Z120" i="55"/>
  <c r="AA120" i="55" s="1"/>
  <c r="N120" i="55"/>
  <c r="M120" i="55"/>
  <c r="L120" i="55"/>
  <c r="AU119" i="55"/>
  <c r="AV119" i="55" s="1"/>
  <c r="AS119" i="55"/>
  <c r="AN119" i="55"/>
  <c r="AM119" i="55"/>
  <c r="AI119" i="55"/>
  <c r="Z119" i="55"/>
  <c r="AA119" i="55" s="1"/>
  <c r="N119" i="55"/>
  <c r="N118" i="55" s="1"/>
  <c r="M119" i="55"/>
  <c r="L119" i="55"/>
  <c r="L118" i="55" s="1"/>
  <c r="AT118" i="55"/>
  <c r="AR118" i="55"/>
  <c r="AQ118" i="55"/>
  <c r="AP118" i="55"/>
  <c r="AO118" i="55"/>
  <c r="AL118" i="55"/>
  <c r="AM118" i="55" s="1"/>
  <c r="AK118" i="55"/>
  <c r="AJ118" i="55"/>
  <c r="AH118" i="55"/>
  <c r="AI118" i="55" s="1"/>
  <c r="AG118" i="55"/>
  <c r="AF118" i="55"/>
  <c r="Z118" i="55"/>
  <c r="AH117" i="55"/>
  <c r="AI117" i="55" s="1"/>
  <c r="Z117" i="55"/>
  <c r="AU116" i="55"/>
  <c r="AV116" i="55" s="1"/>
  <c r="AS116" i="55"/>
  <c r="AN116" i="55"/>
  <c r="AN114" i="55" s="1"/>
  <c r="AM116" i="55"/>
  <c r="AI116" i="55"/>
  <c r="Z116" i="55"/>
  <c r="AA116" i="55" s="1"/>
  <c r="N116" i="55"/>
  <c r="N114" i="55" s="1"/>
  <c r="M116" i="55"/>
  <c r="L116" i="55"/>
  <c r="AU115" i="55"/>
  <c r="AS115" i="55"/>
  <c r="AN115" i="55"/>
  <c r="AM115" i="55"/>
  <c r="AI115" i="55"/>
  <c r="Z115" i="55"/>
  <c r="AA115" i="55" s="1"/>
  <c r="AA114" i="55" s="1"/>
  <c r="N115" i="55"/>
  <c r="M115" i="55"/>
  <c r="L115" i="55"/>
  <c r="L114" i="55" s="1"/>
  <c r="AT114" i="55"/>
  <c r="AR114" i="55"/>
  <c r="AS114" i="55" s="1"/>
  <c r="AQ114" i="55"/>
  <c r="AP114" i="55"/>
  <c r="AO114" i="55"/>
  <c r="AL114" i="55"/>
  <c r="AM114" i="55" s="1"/>
  <c r="AK114" i="55"/>
  <c r="AJ114" i="55"/>
  <c r="AH114" i="55"/>
  <c r="AI114" i="55" s="1"/>
  <c r="AG114" i="55"/>
  <c r="AF114" i="55"/>
  <c r="Z114" i="55"/>
  <c r="AV113" i="55"/>
  <c r="AU113" i="55"/>
  <c r="AS113" i="55"/>
  <c r="AN113" i="55"/>
  <c r="AN111" i="55" s="1"/>
  <c r="AM113" i="55"/>
  <c r="AI113" i="55"/>
  <c r="Z113" i="55"/>
  <c r="AA113" i="55" s="1"/>
  <c r="N113" i="55"/>
  <c r="N111" i="55" s="1"/>
  <c r="M113" i="55"/>
  <c r="L113" i="55"/>
  <c r="AU112" i="55"/>
  <c r="AS112" i="55"/>
  <c r="AN112" i="55"/>
  <c r="AM112" i="55"/>
  <c r="AI112" i="55"/>
  <c r="Z112" i="55"/>
  <c r="AA112" i="55" s="1"/>
  <c r="AA111" i="55" s="1"/>
  <c r="N112" i="55"/>
  <c r="M112" i="55"/>
  <c r="L112" i="55"/>
  <c r="L111" i="55" s="1"/>
  <c r="AT111" i="55"/>
  <c r="AR111" i="55"/>
  <c r="AQ111" i="55"/>
  <c r="AP111" i="55"/>
  <c r="AO111" i="55"/>
  <c r="AL111" i="55"/>
  <c r="AM111" i="55" s="1"/>
  <c r="AK111" i="55"/>
  <c r="AJ111" i="55"/>
  <c r="AH111" i="55"/>
  <c r="AI111" i="55" s="1"/>
  <c r="AG111" i="55"/>
  <c r="AF111" i="55"/>
  <c r="Z111" i="55"/>
  <c r="AU110" i="55"/>
  <c r="AV110" i="55" s="1"/>
  <c r="AS110" i="55"/>
  <c r="AN110" i="55"/>
  <c r="AM110" i="55"/>
  <c r="AI110" i="55"/>
  <c r="Z110" i="55"/>
  <c r="AA110" i="55" s="1"/>
  <c r="N110" i="55"/>
  <c r="L110" i="55"/>
  <c r="AU109" i="55"/>
  <c r="AV109" i="55" s="1"/>
  <c r="AS109" i="55"/>
  <c r="AN109" i="55"/>
  <c r="AM109" i="55"/>
  <c r="AI109" i="55"/>
  <c r="Z109" i="55"/>
  <c r="AA109" i="55" s="1"/>
  <c r="M109" i="55"/>
  <c r="L109" i="55"/>
  <c r="AU108" i="55"/>
  <c r="AV108" i="55" s="1"/>
  <c r="AS108" i="55"/>
  <c r="AN108" i="55"/>
  <c r="AM108" i="55"/>
  <c r="AI108" i="55"/>
  <c r="Z108" i="55"/>
  <c r="AA108" i="55" s="1"/>
  <c r="N108" i="55"/>
  <c r="M108" i="55"/>
  <c r="L108" i="55"/>
  <c r="AU107" i="55"/>
  <c r="AS107" i="55"/>
  <c r="AN107" i="55"/>
  <c r="AM107" i="55"/>
  <c r="AI107" i="55"/>
  <c r="Z107" i="55"/>
  <c r="AA107" i="55" s="1"/>
  <c r="N107" i="55"/>
  <c r="M107" i="55"/>
  <c r="L107" i="55"/>
  <c r="AU106" i="55"/>
  <c r="AV106" i="55" s="1"/>
  <c r="AS106" i="55"/>
  <c r="AN106" i="55"/>
  <c r="AM106" i="55"/>
  <c r="AI106" i="55"/>
  <c r="Z106" i="55"/>
  <c r="AA106" i="55" s="1"/>
  <c r="N106" i="55"/>
  <c r="M106" i="55"/>
  <c r="L106" i="55"/>
  <c r="AT105" i="55"/>
  <c r="AR105" i="55"/>
  <c r="AQ105" i="55"/>
  <c r="AP105" i="55"/>
  <c r="AO105" i="55"/>
  <c r="AL105" i="55"/>
  <c r="AM105" i="55" s="1"/>
  <c r="AK105" i="55"/>
  <c r="AJ105" i="55"/>
  <c r="AH105" i="55"/>
  <c r="AI105" i="55" s="1"/>
  <c r="AG105" i="55"/>
  <c r="AF105" i="55"/>
  <c r="Z105" i="55"/>
  <c r="AU104" i="55"/>
  <c r="AV104" i="55" s="1"/>
  <c r="AS104" i="55"/>
  <c r="AN104" i="55"/>
  <c r="AM104" i="55"/>
  <c r="AI104" i="55"/>
  <c r="Z104" i="55"/>
  <c r="AA104" i="55" s="1"/>
  <c r="N104" i="55"/>
  <c r="M104" i="55"/>
  <c r="L104" i="55"/>
  <c r="L101" i="55" s="1"/>
  <c r="AV103" i="55"/>
  <c r="AU103" i="55"/>
  <c r="AS103" i="55"/>
  <c r="AN103" i="55"/>
  <c r="AM103" i="55"/>
  <c r="AI103" i="55"/>
  <c r="Z103" i="55"/>
  <c r="AA103" i="55" s="1"/>
  <c r="N103" i="55"/>
  <c r="N101" i="55" s="1"/>
  <c r="M103" i="55"/>
  <c r="L103" i="55"/>
  <c r="AU102" i="55"/>
  <c r="AV102" i="55" s="1"/>
  <c r="AS102" i="55"/>
  <c r="AN102" i="55"/>
  <c r="AM102" i="55"/>
  <c r="AI102" i="55"/>
  <c r="Z102" i="55"/>
  <c r="AA102" i="55" s="1"/>
  <c r="AA101" i="55" s="1"/>
  <c r="M102" i="55"/>
  <c r="L102" i="55"/>
  <c r="AT101" i="55"/>
  <c r="AR101" i="55"/>
  <c r="AQ101" i="55"/>
  <c r="AP101" i="55"/>
  <c r="AO101" i="55"/>
  <c r="AL101" i="55"/>
  <c r="AM101" i="55" s="1"/>
  <c r="AK101" i="55"/>
  <c r="AJ101" i="55"/>
  <c r="AH101" i="55"/>
  <c r="AI101" i="55" s="1"/>
  <c r="AG101" i="55"/>
  <c r="AG100" i="55" s="1"/>
  <c r="AF101" i="55"/>
  <c r="Z101" i="55"/>
  <c r="AK100" i="55"/>
  <c r="Z100" i="55"/>
  <c r="Z99" i="55"/>
  <c r="AU98" i="55"/>
  <c r="AV98" i="55" s="1"/>
  <c r="AS98" i="55"/>
  <c r="AN98" i="55"/>
  <c r="AN97" i="55" s="1"/>
  <c r="AM98" i="55"/>
  <c r="AI98" i="55"/>
  <c r="Z98" i="55"/>
  <c r="AA98" i="55" s="1"/>
  <c r="AA97" i="55" s="1"/>
  <c r="N98" i="55"/>
  <c r="N97" i="55" s="1"/>
  <c r="M98" i="55"/>
  <c r="M97" i="55" s="1"/>
  <c r="L98" i="55"/>
  <c r="L97" i="55" s="1"/>
  <c r="AT97" i="55"/>
  <c r="AR97" i="55"/>
  <c r="AQ97" i="55"/>
  <c r="AP97" i="55"/>
  <c r="AO97" i="55"/>
  <c r="AL97" i="55"/>
  <c r="AM97" i="55" s="1"/>
  <c r="AK97" i="55"/>
  <c r="AJ97" i="55"/>
  <c r="AH97" i="55"/>
  <c r="AI97" i="55" s="1"/>
  <c r="AG97" i="55"/>
  <c r="AF97" i="55"/>
  <c r="Z97" i="55"/>
  <c r="AV96" i="55"/>
  <c r="AU96" i="55"/>
  <c r="AS96" i="55"/>
  <c r="AN96" i="55"/>
  <c r="AM96" i="55"/>
  <c r="AI96" i="55"/>
  <c r="Z96" i="55"/>
  <c r="AA96" i="55" s="1"/>
  <c r="N96" i="55"/>
  <c r="M96" i="55"/>
  <c r="L96" i="55"/>
  <c r="AU95" i="55"/>
  <c r="AV95" i="55" s="1"/>
  <c r="AS95" i="55"/>
  <c r="AN95" i="55"/>
  <c r="AM95" i="55"/>
  <c r="AI95" i="55"/>
  <c r="Z95" i="55"/>
  <c r="AA95" i="55" s="1"/>
  <c r="M95" i="55"/>
  <c r="L95" i="55"/>
  <c r="AU94" i="55"/>
  <c r="AS94" i="55"/>
  <c r="AN94" i="55"/>
  <c r="AM94" i="55"/>
  <c r="AI94" i="55"/>
  <c r="Z94" i="55"/>
  <c r="AA94" i="55" s="1"/>
  <c r="N94" i="55"/>
  <c r="M94" i="55"/>
  <c r="L94" i="55"/>
  <c r="AU93" i="55"/>
  <c r="AV93" i="55" s="1"/>
  <c r="AS93" i="55"/>
  <c r="AN93" i="55"/>
  <c r="AM93" i="55"/>
  <c r="AI93" i="55"/>
  <c r="Z93" i="55"/>
  <c r="AA93" i="55" s="1"/>
  <c r="M93" i="55"/>
  <c r="L93" i="55"/>
  <c r="AT92" i="55"/>
  <c r="AR92" i="55"/>
  <c r="AQ92" i="55"/>
  <c r="AP92" i="55"/>
  <c r="AO92" i="55"/>
  <c r="AL92" i="55"/>
  <c r="AM92" i="55" s="1"/>
  <c r="AK92" i="55"/>
  <c r="AJ92" i="55"/>
  <c r="AH92" i="55"/>
  <c r="AI92" i="55" s="1"/>
  <c r="AG92" i="55"/>
  <c r="AF92" i="55"/>
  <c r="AF79" i="55" s="1"/>
  <c r="Z92" i="55"/>
  <c r="AU91" i="55"/>
  <c r="AV91" i="55" s="1"/>
  <c r="AS91" i="55"/>
  <c r="AN91" i="55"/>
  <c r="AM91" i="55"/>
  <c r="AI91" i="55"/>
  <c r="Z91" i="55"/>
  <c r="AA91" i="55" s="1"/>
  <c r="N91" i="55"/>
  <c r="M91" i="55"/>
  <c r="L91" i="55"/>
  <c r="AU90" i="55"/>
  <c r="AV90" i="55" s="1"/>
  <c r="AS90" i="55"/>
  <c r="AN90" i="55"/>
  <c r="AM90" i="55"/>
  <c r="AI90" i="55"/>
  <c r="AA90" i="55"/>
  <c r="Z90" i="55"/>
  <c r="M90" i="55"/>
  <c r="L90" i="55"/>
  <c r="L80" i="55" s="1"/>
  <c r="L79" i="55" s="1"/>
  <c r="AV89" i="55"/>
  <c r="AU89" i="55"/>
  <c r="AS89" i="55"/>
  <c r="AN89" i="55"/>
  <c r="AM89" i="55"/>
  <c r="AI89" i="55"/>
  <c r="Z89" i="55"/>
  <c r="AA89" i="55" s="1"/>
  <c r="N89" i="55"/>
  <c r="M89" i="55"/>
  <c r="L89" i="55"/>
  <c r="AU88" i="55"/>
  <c r="AV88" i="55" s="1"/>
  <c r="AS88" i="55"/>
  <c r="AN88" i="55"/>
  <c r="AM88" i="55"/>
  <c r="AI88" i="55"/>
  <c r="Z88" i="55"/>
  <c r="AA88" i="55" s="1"/>
  <c r="M88" i="55"/>
  <c r="L88" i="55"/>
  <c r="AU87" i="55"/>
  <c r="AV87" i="55" s="1"/>
  <c r="AS87" i="55"/>
  <c r="AN87" i="55"/>
  <c r="AM87" i="55"/>
  <c r="AI87" i="55"/>
  <c r="Z87" i="55"/>
  <c r="AA87" i="55" s="1"/>
  <c r="N87" i="55"/>
  <c r="M87" i="55"/>
  <c r="L87" i="55"/>
  <c r="AV86" i="55"/>
  <c r="AU86" i="55"/>
  <c r="AS86" i="55"/>
  <c r="AN86" i="55"/>
  <c r="AM86" i="55"/>
  <c r="AI86" i="55"/>
  <c r="Z86" i="55"/>
  <c r="AA86" i="55" s="1"/>
  <c r="N86" i="55"/>
  <c r="L86" i="55"/>
  <c r="AU85" i="55"/>
  <c r="AV85" i="55" s="1"/>
  <c r="AS85" i="55"/>
  <c r="AN85" i="55"/>
  <c r="AM85" i="55"/>
  <c r="AI85" i="55"/>
  <c r="Z85" i="55"/>
  <c r="AA85" i="55" s="1"/>
  <c r="N85" i="55"/>
  <c r="L85" i="55"/>
  <c r="AU84" i="55"/>
  <c r="AV84" i="55" s="1"/>
  <c r="AS84" i="55"/>
  <c r="AN84" i="55"/>
  <c r="AM84" i="55"/>
  <c r="AI84" i="55"/>
  <c r="Z84" i="55"/>
  <c r="AA84" i="55" s="1"/>
  <c r="N84" i="55"/>
  <c r="L84" i="55"/>
  <c r="AU83" i="55"/>
  <c r="AV83" i="55" s="1"/>
  <c r="AS83" i="55"/>
  <c r="AN83" i="55"/>
  <c r="AM83" i="55"/>
  <c r="AI83" i="55"/>
  <c r="Z83" i="55"/>
  <c r="AA83" i="55" s="1"/>
  <c r="N83" i="55"/>
  <c r="M83" i="55"/>
  <c r="L83" i="55"/>
  <c r="AU82" i="55"/>
  <c r="AV82" i="55" s="1"/>
  <c r="AS82" i="55"/>
  <c r="AN82" i="55"/>
  <c r="AM82" i="55"/>
  <c r="AI82" i="55"/>
  <c r="Z82" i="55"/>
  <c r="AA82" i="55" s="1"/>
  <c r="N82" i="55"/>
  <c r="L82" i="55"/>
  <c r="AU81" i="55"/>
  <c r="AU80" i="55" s="1"/>
  <c r="AS81" i="55"/>
  <c r="AN81" i="55"/>
  <c r="AM81" i="55"/>
  <c r="AI81" i="55"/>
  <c r="Z81" i="55"/>
  <c r="AA81" i="55" s="1"/>
  <c r="M81" i="55"/>
  <c r="L81" i="55"/>
  <c r="AT80" i="55"/>
  <c r="AT79" i="55" s="1"/>
  <c r="AR80" i="55"/>
  <c r="AQ80" i="55"/>
  <c r="AP80" i="55"/>
  <c r="AO80" i="55"/>
  <c r="AO79" i="55" s="1"/>
  <c r="AL80" i="55"/>
  <c r="AK80" i="55"/>
  <c r="AJ80" i="55"/>
  <c r="AJ79" i="55" s="1"/>
  <c r="AH80" i="55"/>
  <c r="AH79" i="55" s="1"/>
  <c r="AI79" i="55" s="1"/>
  <c r="AG80" i="55"/>
  <c r="AF80" i="55"/>
  <c r="Z80" i="55"/>
  <c r="N80" i="55"/>
  <c r="Z79" i="55"/>
  <c r="AU78" i="55"/>
  <c r="AV78" i="55" s="1"/>
  <c r="AS78" i="55"/>
  <c r="AN78" i="55"/>
  <c r="AM78" i="55"/>
  <c r="AI78" i="55"/>
  <c r="Z78" i="55"/>
  <c r="AA78" i="55" s="1"/>
  <c r="N78" i="55"/>
  <c r="N76" i="55" s="1"/>
  <c r="M78" i="55"/>
  <c r="L78" i="55"/>
  <c r="AV77" i="55"/>
  <c r="AU77" i="55"/>
  <c r="AS77" i="55"/>
  <c r="AN77" i="55"/>
  <c r="AN76" i="55" s="1"/>
  <c r="AM77" i="55"/>
  <c r="AI77" i="55"/>
  <c r="AF77" i="55"/>
  <c r="Z77" i="55"/>
  <c r="AA77" i="55" s="1"/>
  <c r="L77" i="55"/>
  <c r="L76" i="55" s="1"/>
  <c r="L70" i="55" s="1"/>
  <c r="AT76" i="55"/>
  <c r="AR76" i="55"/>
  <c r="AQ76" i="55"/>
  <c r="AP76" i="55"/>
  <c r="AO76" i="55"/>
  <c r="AL76" i="55"/>
  <c r="AM76" i="55" s="1"/>
  <c r="AK76" i="55"/>
  <c r="AJ76" i="55"/>
  <c r="AH76" i="55"/>
  <c r="AI76" i="55" s="1"/>
  <c r="AG76" i="55"/>
  <c r="AF76" i="55"/>
  <c r="Z76" i="55"/>
  <c r="M76" i="55"/>
  <c r="AV75" i="55"/>
  <c r="AU75" i="55"/>
  <c r="AU74" i="55" s="1"/>
  <c r="AS75" i="55"/>
  <c r="AN75" i="55"/>
  <c r="AN74" i="55" s="1"/>
  <c r="AM75" i="55"/>
  <c r="AI75" i="55"/>
  <c r="Z75" i="55"/>
  <c r="AA75" i="55" s="1"/>
  <c r="AA74" i="55" s="1"/>
  <c r="N75" i="55"/>
  <c r="N74" i="55" s="1"/>
  <c r="N70" i="55" s="1"/>
  <c r="L75" i="55"/>
  <c r="AT74" i="55"/>
  <c r="AR74" i="55"/>
  <c r="AQ74" i="55"/>
  <c r="AP74" i="55"/>
  <c r="AO74" i="55"/>
  <c r="AL74" i="55"/>
  <c r="AM74" i="55" s="1"/>
  <c r="AK74" i="55"/>
  <c r="AJ74" i="55"/>
  <c r="AH74" i="55"/>
  <c r="AI74" i="55" s="1"/>
  <c r="AG74" i="55"/>
  <c r="AF74" i="55"/>
  <c r="Z74" i="55"/>
  <c r="M74" i="55"/>
  <c r="AU73" i="55"/>
  <c r="AV73" i="55" s="1"/>
  <c r="AS73" i="55"/>
  <c r="AN73" i="55"/>
  <c r="AM73" i="55"/>
  <c r="AI73" i="55"/>
  <c r="Z73" i="55"/>
  <c r="AA73" i="55" s="1"/>
  <c r="N73" i="55"/>
  <c r="L73" i="55"/>
  <c r="AU72" i="55"/>
  <c r="AS72" i="55"/>
  <c r="AN72" i="55"/>
  <c r="AM72" i="55"/>
  <c r="AI72" i="55"/>
  <c r="Z72" i="55"/>
  <c r="AA72" i="55" s="1"/>
  <c r="AA71" i="55" s="1"/>
  <c r="N72" i="55"/>
  <c r="M72" i="55"/>
  <c r="M71" i="55" s="1"/>
  <c r="L72" i="55"/>
  <c r="AT71" i="55"/>
  <c r="AR71" i="55"/>
  <c r="AS71" i="55" s="1"/>
  <c r="AQ71" i="55"/>
  <c r="AP71" i="55"/>
  <c r="AO71" i="55"/>
  <c r="AO70" i="55" s="1"/>
  <c r="AN71" i="55"/>
  <c r="AL71" i="55"/>
  <c r="AK71" i="55"/>
  <c r="AJ71" i="55"/>
  <c r="AH71" i="55"/>
  <c r="AG71" i="55"/>
  <c r="AF71" i="55"/>
  <c r="Z71" i="55"/>
  <c r="N71" i="55"/>
  <c r="Z70" i="55"/>
  <c r="AU69" i="55"/>
  <c r="AV69" i="55" s="1"/>
  <c r="AS69" i="55"/>
  <c r="AN69" i="55"/>
  <c r="AM69" i="55"/>
  <c r="AI69" i="55"/>
  <c r="Z69" i="55"/>
  <c r="AA69" i="55" s="1"/>
  <c r="N69" i="55"/>
  <c r="L69" i="55"/>
  <c r="AU68" i="55"/>
  <c r="AV68" i="55" s="1"/>
  <c r="AS68" i="55"/>
  <c r="AN68" i="55"/>
  <c r="AM68" i="55"/>
  <c r="AI68" i="55"/>
  <c r="Z68" i="55"/>
  <c r="AA68" i="55" s="1"/>
  <c r="L68" i="55"/>
  <c r="AU67" i="55"/>
  <c r="AV67" i="55" s="1"/>
  <c r="AS67" i="55"/>
  <c r="AN67" i="55"/>
  <c r="AM67" i="55"/>
  <c r="AI67" i="55"/>
  <c r="Z67" i="55"/>
  <c r="AA67" i="55" s="1"/>
  <c r="N67" i="55"/>
  <c r="M67" i="55"/>
  <c r="L67" i="55"/>
  <c r="AU66" i="55"/>
  <c r="AV66" i="55" s="1"/>
  <c r="AS66" i="55"/>
  <c r="AN66" i="55"/>
  <c r="AM66" i="55"/>
  <c r="AI66" i="55"/>
  <c r="Z66" i="55"/>
  <c r="AA66" i="55" s="1"/>
  <c r="N66" i="55"/>
  <c r="M66" i="55"/>
  <c r="L66" i="55"/>
  <c r="AU65" i="55"/>
  <c r="AV65" i="55" s="1"/>
  <c r="AS65" i="55"/>
  <c r="AN65" i="55"/>
  <c r="AM65" i="55"/>
  <c r="AI65" i="55"/>
  <c r="Z65" i="55"/>
  <c r="AA65" i="55" s="1"/>
  <c r="L65" i="55"/>
  <c r="L64" i="55" s="1"/>
  <c r="L57" i="55" s="1"/>
  <c r="AT64" i="55"/>
  <c r="AR64" i="55"/>
  <c r="AQ64" i="55"/>
  <c r="AQ57" i="55" s="1"/>
  <c r="AP64" i="55"/>
  <c r="AO64" i="55"/>
  <c r="AL64" i="55"/>
  <c r="AL57" i="55" s="1"/>
  <c r="AK64" i="55"/>
  <c r="AK57" i="55" s="1"/>
  <c r="AJ64" i="55"/>
  <c r="AH64" i="55"/>
  <c r="AI64" i="55" s="1"/>
  <c r="AG64" i="55"/>
  <c r="AF64" i="55"/>
  <c r="Z64" i="55"/>
  <c r="AU63" i="55"/>
  <c r="AV63" i="55" s="1"/>
  <c r="AS63" i="55"/>
  <c r="AN63" i="55"/>
  <c r="AM63" i="55"/>
  <c r="AI63" i="55"/>
  <c r="Z63" i="55"/>
  <c r="AA63" i="55" s="1"/>
  <c r="N63" i="55"/>
  <c r="L63" i="55"/>
  <c r="AU62" i="55"/>
  <c r="AV62" i="55" s="1"/>
  <c r="AS62" i="55"/>
  <c r="AN62" i="55"/>
  <c r="AM62" i="55"/>
  <c r="AI62" i="55"/>
  <c r="Z62" i="55"/>
  <c r="AA62" i="55" s="1"/>
  <c r="N62" i="55"/>
  <c r="M62" i="55"/>
  <c r="L62" i="55"/>
  <c r="L58" i="55" s="1"/>
  <c r="AV61" i="55"/>
  <c r="AU61" i="55"/>
  <c r="AS61" i="55"/>
  <c r="AN61" i="55"/>
  <c r="AM61" i="55"/>
  <c r="AI61" i="55"/>
  <c r="Z61" i="55"/>
  <c r="AA61" i="55" s="1"/>
  <c r="N61" i="55"/>
  <c r="L61" i="55"/>
  <c r="AU60" i="55"/>
  <c r="AV60" i="55" s="1"/>
  <c r="AS60" i="55"/>
  <c r="AN60" i="55"/>
  <c r="AM60" i="55"/>
  <c r="AI60" i="55"/>
  <c r="Z60" i="55"/>
  <c r="AA60" i="55" s="1"/>
  <c r="N60" i="55"/>
  <c r="M60" i="55"/>
  <c r="L60" i="55"/>
  <c r="AU59" i="55"/>
  <c r="AV59" i="55" s="1"/>
  <c r="AS59" i="55"/>
  <c r="AN59" i="55"/>
  <c r="AM59" i="55"/>
  <c r="AI59" i="55"/>
  <c r="Z59" i="55"/>
  <c r="AA59" i="55" s="1"/>
  <c r="N59" i="55"/>
  <c r="L59" i="55"/>
  <c r="AT58" i="55"/>
  <c r="AR58" i="55"/>
  <c r="AQ58" i="55"/>
  <c r="AP58" i="55"/>
  <c r="AO58" i="55"/>
  <c r="AM58" i="55"/>
  <c r="AL58" i="55"/>
  <c r="AK58" i="55"/>
  <c r="AJ58" i="55"/>
  <c r="AJ57" i="55" s="1"/>
  <c r="AI58" i="55"/>
  <c r="AH58" i="55"/>
  <c r="AG58" i="55"/>
  <c r="AF58" i="55"/>
  <c r="Z58" i="55"/>
  <c r="M58" i="55"/>
  <c r="AT57" i="55"/>
  <c r="AP57" i="55"/>
  <c r="Z57" i="55"/>
  <c r="Z56" i="55"/>
  <c r="AU55" i="55"/>
  <c r="AV55" i="55" s="1"/>
  <c r="AS55" i="55"/>
  <c r="AN55" i="55"/>
  <c r="AM55" i="55"/>
  <c r="AI55" i="55"/>
  <c r="AF55" i="55"/>
  <c r="Z55" i="55"/>
  <c r="AA55" i="55" s="1"/>
  <c r="N55" i="55"/>
  <c r="M55" i="55"/>
  <c r="L55" i="55"/>
  <c r="AU54" i="55"/>
  <c r="AV54" i="55" s="1"/>
  <c r="AS54" i="55"/>
  <c r="AN54" i="55"/>
  <c r="AM54" i="55"/>
  <c r="AI54" i="55"/>
  <c r="Z54" i="55"/>
  <c r="AA54" i="55" s="1"/>
  <c r="N54" i="55"/>
  <c r="M54" i="55"/>
  <c r="L54" i="55"/>
  <c r="AU53" i="55"/>
  <c r="AV53" i="55" s="1"/>
  <c r="AS53" i="55"/>
  <c r="AN53" i="55"/>
  <c r="AM53" i="55"/>
  <c r="AI53" i="55"/>
  <c r="Z53" i="55"/>
  <c r="AA53" i="55" s="1"/>
  <c r="N53" i="55"/>
  <c r="M53" i="55"/>
  <c r="L53" i="55"/>
  <c r="AU52" i="55"/>
  <c r="AV52" i="55" s="1"/>
  <c r="AS52" i="55"/>
  <c r="AN52" i="55"/>
  <c r="AM52" i="55"/>
  <c r="AI52" i="55"/>
  <c r="Z52" i="55"/>
  <c r="AA52" i="55" s="1"/>
  <c r="L52" i="55"/>
  <c r="AU51" i="55"/>
  <c r="AS51" i="55"/>
  <c r="AN51" i="55"/>
  <c r="AM51" i="55"/>
  <c r="AI51" i="55"/>
  <c r="Z51" i="55"/>
  <c r="AA51" i="55" s="1"/>
  <c r="N51" i="55"/>
  <c r="L51" i="55"/>
  <c r="AT50" i="55"/>
  <c r="AT49" i="55" s="1"/>
  <c r="AR50" i="55"/>
  <c r="AR49" i="55" s="1"/>
  <c r="AQ50" i="55"/>
  <c r="AQ49" i="55" s="1"/>
  <c r="AP50" i="55"/>
  <c r="AO50" i="55"/>
  <c r="AO49" i="55" s="1"/>
  <c r="AL50" i="55"/>
  <c r="AM50" i="55" s="1"/>
  <c r="AK50" i="55"/>
  <c r="AK49" i="55" s="1"/>
  <c r="AJ50" i="55"/>
  <c r="AJ49" i="55" s="1"/>
  <c r="AH50" i="55"/>
  <c r="AI50" i="55" s="1"/>
  <c r="AG50" i="55"/>
  <c r="AG49" i="55" s="1"/>
  <c r="AF50" i="55"/>
  <c r="AF49" i="55" s="1"/>
  <c r="Z50" i="55"/>
  <c r="AP49" i="55"/>
  <c r="Z49" i="55"/>
  <c r="AS48" i="55"/>
  <c r="AO48" i="55"/>
  <c r="AN48" i="55"/>
  <c r="AM48" i="55"/>
  <c r="AK48" i="55"/>
  <c r="AU48" i="55" s="1"/>
  <c r="AV48" i="55" s="1"/>
  <c r="AI48" i="55"/>
  <c r="AG48" i="55"/>
  <c r="Z48" i="55"/>
  <c r="AA48" i="55" s="1"/>
  <c r="N48" i="55"/>
  <c r="M48" i="55"/>
  <c r="L48" i="55"/>
  <c r="AU47" i="55"/>
  <c r="AV47" i="55" s="1"/>
  <c r="AS47" i="55"/>
  <c r="AO47" i="55"/>
  <c r="AO45" i="55" s="1"/>
  <c r="AN47" i="55"/>
  <c r="AM47" i="55"/>
  <c r="AK47" i="55"/>
  <c r="AI47" i="55"/>
  <c r="AG47" i="55"/>
  <c r="AA47" i="55"/>
  <c r="Z47" i="55"/>
  <c r="N47" i="55"/>
  <c r="M47" i="55"/>
  <c r="M45" i="55" s="1"/>
  <c r="L47" i="55"/>
  <c r="L45" i="55" s="1"/>
  <c r="AU46" i="55"/>
  <c r="AV46" i="55" s="1"/>
  <c r="AS46" i="55"/>
  <c r="AN46" i="55"/>
  <c r="AN45" i="55" s="1"/>
  <c r="AM46" i="55"/>
  <c r="AI46" i="55"/>
  <c r="Z46" i="55"/>
  <c r="AA46" i="55" s="1"/>
  <c r="N46" i="55"/>
  <c r="M46" i="55"/>
  <c r="L46" i="55"/>
  <c r="AT45" i="55"/>
  <c r="AR45" i="55"/>
  <c r="AR32" i="55" s="1"/>
  <c r="AQ45" i="55"/>
  <c r="AP45" i="55"/>
  <c r="AL45" i="55"/>
  <c r="AM45" i="55" s="1"/>
  <c r="AJ45" i="55"/>
  <c r="AJ32" i="55" s="1"/>
  <c r="AH45" i="55"/>
  <c r="AI45" i="55" s="1"/>
  <c r="AF45" i="55"/>
  <c r="Z45" i="55"/>
  <c r="AU44" i="55"/>
  <c r="AV44" i="55" s="1"/>
  <c r="AS44" i="55"/>
  <c r="AN44" i="55"/>
  <c r="AM44" i="55"/>
  <c r="AI44" i="55"/>
  <c r="Z44" i="55"/>
  <c r="AA44" i="55" s="1"/>
  <c r="N44" i="55"/>
  <c r="M44" i="55"/>
  <c r="L44" i="55"/>
  <c r="AU43" i="55"/>
  <c r="AV43" i="55" s="1"/>
  <c r="AS43" i="55"/>
  <c r="AN43" i="55"/>
  <c r="AM43" i="55"/>
  <c r="AI43" i="55"/>
  <c r="Z43" i="55"/>
  <c r="AA43" i="55" s="1"/>
  <c r="L43" i="55"/>
  <c r="AU42" i="55"/>
  <c r="AV42" i="55" s="1"/>
  <c r="AS42" i="55"/>
  <c r="AN42" i="55"/>
  <c r="AN37" i="55" s="1"/>
  <c r="AM42" i="55"/>
  <c r="AI42" i="55"/>
  <c r="Z42" i="55"/>
  <c r="AA42" i="55" s="1"/>
  <c r="N42" i="55"/>
  <c r="M42" i="55"/>
  <c r="L42" i="55"/>
  <c r="AU41" i="55"/>
  <c r="AV41" i="55" s="1"/>
  <c r="AS41" i="55"/>
  <c r="AN41" i="55"/>
  <c r="AM41" i="55"/>
  <c r="AI41" i="55"/>
  <c r="Z41" i="55"/>
  <c r="AA41" i="55" s="1"/>
  <c r="M41" i="55"/>
  <c r="L41" i="55"/>
  <c r="AU40" i="55"/>
  <c r="AV40" i="55" s="1"/>
  <c r="AS40" i="55"/>
  <c r="AN40" i="55"/>
  <c r="AM40" i="55"/>
  <c r="AI40" i="55"/>
  <c r="Z40" i="55"/>
  <c r="AA40" i="55" s="1"/>
  <c r="N40" i="55"/>
  <c r="M40" i="55"/>
  <c r="L40" i="55"/>
  <c r="AU39" i="55"/>
  <c r="AV39" i="55" s="1"/>
  <c r="AS39" i="55"/>
  <c r="AN39" i="55"/>
  <c r="AM39" i="55"/>
  <c r="AI39" i="55"/>
  <c r="Z39" i="55"/>
  <c r="AA39" i="55" s="1"/>
  <c r="N39" i="55"/>
  <c r="M39" i="55"/>
  <c r="L39" i="55"/>
  <c r="AU38" i="55"/>
  <c r="AV38" i="55" s="1"/>
  <c r="AS38" i="55"/>
  <c r="AN38" i="55"/>
  <c r="AM38" i="55"/>
  <c r="AI38" i="55"/>
  <c r="Z38" i="55"/>
  <c r="AA38" i="55" s="1"/>
  <c r="N38" i="55"/>
  <c r="M38" i="55"/>
  <c r="M37" i="55" s="1"/>
  <c r="L38" i="55"/>
  <c r="AT37" i="55"/>
  <c r="AR37" i="55"/>
  <c r="AQ37" i="55"/>
  <c r="AP37" i="55"/>
  <c r="AO37" i="55"/>
  <c r="AL37" i="55"/>
  <c r="AM37" i="55" s="1"/>
  <c r="AK37" i="55"/>
  <c r="AJ37" i="55"/>
  <c r="AH37" i="55"/>
  <c r="AI37" i="55" s="1"/>
  <c r="AG37" i="55"/>
  <c r="AF37" i="55"/>
  <c r="Z37" i="55"/>
  <c r="AU36" i="55"/>
  <c r="AV36" i="55" s="1"/>
  <c r="AS36" i="55"/>
  <c r="AN36" i="55"/>
  <c r="AM36" i="55"/>
  <c r="AI36" i="55"/>
  <c r="Z36" i="55"/>
  <c r="AA36" i="55" s="1"/>
  <c r="M36" i="55"/>
  <c r="L36" i="55"/>
  <c r="AU35" i="55"/>
  <c r="AV35" i="55" s="1"/>
  <c r="AS35" i="55"/>
  <c r="AN35" i="55"/>
  <c r="AM35" i="55"/>
  <c r="AI35" i="55"/>
  <c r="Z35" i="55"/>
  <c r="AA35" i="55" s="1"/>
  <c r="N35" i="55"/>
  <c r="M35" i="55"/>
  <c r="L35" i="55"/>
  <c r="AU34" i="55"/>
  <c r="AV34" i="55" s="1"/>
  <c r="AS34" i="55"/>
  <c r="AN34" i="55"/>
  <c r="AM34" i="55"/>
  <c r="AI34" i="55"/>
  <c r="Z34" i="55"/>
  <c r="AA34" i="55" s="1"/>
  <c r="N34" i="55"/>
  <c r="M34" i="55"/>
  <c r="L34" i="55"/>
  <c r="AT33" i="55"/>
  <c r="AR33" i="55"/>
  <c r="AQ33" i="55"/>
  <c r="AP33" i="55"/>
  <c r="AP32" i="55" s="1"/>
  <c r="AO33" i="55"/>
  <c r="AN33" i="55"/>
  <c r="AL33" i="55"/>
  <c r="AL32" i="55" s="1"/>
  <c r="AM32" i="55" s="1"/>
  <c r="AK33" i="55"/>
  <c r="AJ33" i="55"/>
  <c r="AH33" i="55"/>
  <c r="AH32" i="55" s="1"/>
  <c r="AI32" i="55" s="1"/>
  <c r="AG33" i="55"/>
  <c r="AF33" i="55"/>
  <c r="Z33" i="55"/>
  <c r="AF32" i="55"/>
  <c r="Z32" i="55"/>
  <c r="AU31" i="55"/>
  <c r="AV31" i="55" s="1"/>
  <c r="AS31" i="55"/>
  <c r="AN31" i="55"/>
  <c r="AM31" i="55"/>
  <c r="AI31" i="55"/>
  <c r="Z31" i="55"/>
  <c r="AA31" i="55" s="1"/>
  <c r="N31" i="55"/>
  <c r="M31" i="55"/>
  <c r="L31" i="55"/>
  <c r="AU30" i="55"/>
  <c r="AV30" i="55" s="1"/>
  <c r="AS30" i="55"/>
  <c r="AN30" i="55"/>
  <c r="AM30" i="55"/>
  <c r="AI30" i="55"/>
  <c r="Z30" i="55"/>
  <c r="AA30" i="55" s="1"/>
  <c r="N30" i="55"/>
  <c r="M30" i="55"/>
  <c r="L30" i="55"/>
  <c r="AU29" i="55"/>
  <c r="AV29" i="55" s="1"/>
  <c r="AS29" i="55"/>
  <c r="AN29" i="55"/>
  <c r="AM29" i="55"/>
  <c r="AI29" i="55"/>
  <c r="AA29" i="55"/>
  <c r="Z29" i="55"/>
  <c r="N29" i="55"/>
  <c r="M29" i="55"/>
  <c r="L29" i="55"/>
  <c r="AU28" i="55"/>
  <c r="AS28" i="55"/>
  <c r="AN28" i="55"/>
  <c r="AM28" i="55"/>
  <c r="AI28" i="55"/>
  <c r="Z28" i="55"/>
  <c r="AA28" i="55" s="1"/>
  <c r="N28" i="55"/>
  <c r="M28" i="55"/>
  <c r="M26" i="55" s="1"/>
  <c r="L28" i="55"/>
  <c r="AU27" i="55"/>
  <c r="AV27" i="55" s="1"/>
  <c r="AS27" i="55"/>
  <c r="AN27" i="55"/>
  <c r="AM27" i="55"/>
  <c r="AI27" i="55"/>
  <c r="Z27" i="55"/>
  <c r="AA27" i="55" s="1"/>
  <c r="N27" i="55"/>
  <c r="M27" i="55"/>
  <c r="L27" i="55"/>
  <c r="AT26" i="55"/>
  <c r="AT9" i="55" s="1"/>
  <c r="AR26" i="55"/>
  <c r="AQ26" i="55"/>
  <c r="AS26" i="55" s="1"/>
  <c r="AP26" i="55"/>
  <c r="AO26" i="55"/>
  <c r="AL26" i="55"/>
  <c r="AM26" i="55" s="1"/>
  <c r="AK26" i="55"/>
  <c r="AJ26" i="55"/>
  <c r="AH26" i="55"/>
  <c r="AI26" i="55" s="1"/>
  <c r="AG26" i="55"/>
  <c r="AF26" i="55"/>
  <c r="Z26" i="55"/>
  <c r="N26" i="55"/>
  <c r="AU25" i="55"/>
  <c r="AS25" i="55"/>
  <c r="AN25" i="55"/>
  <c r="AM25" i="55"/>
  <c r="AI25" i="55"/>
  <c r="Z25" i="55"/>
  <c r="AA25" i="55" s="1"/>
  <c r="N25" i="55"/>
  <c r="M25" i="55"/>
  <c r="M23" i="55" s="1"/>
  <c r="L25" i="55"/>
  <c r="AV24" i="55"/>
  <c r="AU24" i="55"/>
  <c r="AS24" i="55"/>
  <c r="AN24" i="55"/>
  <c r="AM24" i="55"/>
  <c r="AI24" i="55"/>
  <c r="AA24" i="55"/>
  <c r="Z24" i="55"/>
  <c r="N24" i="55"/>
  <c r="N23" i="55" s="1"/>
  <c r="M24" i="55"/>
  <c r="L24" i="55"/>
  <c r="L23" i="55" s="1"/>
  <c r="AT23" i="55"/>
  <c r="AR23" i="55"/>
  <c r="AQ23" i="55"/>
  <c r="AP23" i="55"/>
  <c r="AO23" i="55"/>
  <c r="AL23" i="55"/>
  <c r="AM23" i="55" s="1"/>
  <c r="AK23" i="55"/>
  <c r="AJ23" i="55"/>
  <c r="AH23" i="55"/>
  <c r="AI23" i="55" s="1"/>
  <c r="AG23" i="55"/>
  <c r="AF23" i="55"/>
  <c r="Z23" i="55"/>
  <c r="AU22" i="55"/>
  <c r="AV22" i="55" s="1"/>
  <c r="AS22" i="55"/>
  <c r="AN22" i="55"/>
  <c r="AM22" i="55"/>
  <c r="AI22" i="55"/>
  <c r="Z22" i="55"/>
  <c r="AA22" i="55" s="1"/>
  <c r="N22" i="55"/>
  <c r="M22" i="55"/>
  <c r="L22" i="55"/>
  <c r="AV21" i="55"/>
  <c r="AU21" i="55"/>
  <c r="AS21" i="55"/>
  <c r="AN21" i="55"/>
  <c r="AM21" i="55"/>
  <c r="AI21" i="55"/>
  <c r="Z21" i="55"/>
  <c r="AA21" i="55" s="1"/>
  <c r="N21" i="55"/>
  <c r="M21" i="55"/>
  <c r="L21" i="55"/>
  <c r="AU20" i="55"/>
  <c r="AV20" i="55" s="1"/>
  <c r="AS20" i="55"/>
  <c r="AN20" i="55"/>
  <c r="AM20" i="55"/>
  <c r="AI20" i="55"/>
  <c r="Z20" i="55"/>
  <c r="AA20" i="55" s="1"/>
  <c r="L20" i="55"/>
  <c r="AV19" i="55"/>
  <c r="AU19" i="55"/>
  <c r="AS19" i="55"/>
  <c r="AN19" i="55"/>
  <c r="AM19" i="55"/>
  <c r="AI19" i="55"/>
  <c r="Z19" i="55"/>
  <c r="AA19" i="55" s="1"/>
  <c r="M19" i="55"/>
  <c r="L19" i="55"/>
  <c r="AU18" i="55"/>
  <c r="AV18" i="55" s="1"/>
  <c r="AS18" i="55"/>
  <c r="AN18" i="55"/>
  <c r="AM18" i="55"/>
  <c r="AI18" i="55"/>
  <c r="Z18" i="55"/>
  <c r="AA18" i="55" s="1"/>
  <c r="N18" i="55"/>
  <c r="M18" i="55"/>
  <c r="L18" i="55"/>
  <c r="AU17" i="55"/>
  <c r="AV17" i="55" s="1"/>
  <c r="AS17" i="55"/>
  <c r="AN17" i="55"/>
  <c r="AM17" i="55"/>
  <c r="AI17" i="55"/>
  <c r="Z17" i="55"/>
  <c r="AA17" i="55" s="1"/>
  <c r="L17" i="55"/>
  <c r="AV16" i="55"/>
  <c r="AU16" i="55"/>
  <c r="AS16" i="55"/>
  <c r="AN16" i="55"/>
  <c r="AM16" i="55"/>
  <c r="AI16" i="55"/>
  <c r="Z16" i="55"/>
  <c r="AA16" i="55" s="1"/>
  <c r="L16" i="55"/>
  <c r="AU15" i="55"/>
  <c r="AV15" i="55" s="1"/>
  <c r="AS15" i="55"/>
  <c r="AN15" i="55"/>
  <c r="AM15" i="55"/>
  <c r="AI15" i="55"/>
  <c r="Z15" i="55"/>
  <c r="AA15" i="55" s="1"/>
  <c r="N15" i="55"/>
  <c r="M15" i="55"/>
  <c r="L15" i="55"/>
  <c r="AU14" i="55"/>
  <c r="AV14" i="55" s="1"/>
  <c r="AS14" i="55"/>
  <c r="AN14" i="55"/>
  <c r="AM14" i="55"/>
  <c r="AI14" i="55"/>
  <c r="AA14" i="55"/>
  <c r="Z14" i="55"/>
  <c r="N14" i="55"/>
  <c r="M14" i="55"/>
  <c r="L14" i="55"/>
  <c r="AU13" i="55"/>
  <c r="AS13" i="55"/>
  <c r="AN13" i="55"/>
  <c r="AM13" i="55"/>
  <c r="AI13" i="55"/>
  <c r="Z13" i="55"/>
  <c r="AA13" i="55" s="1"/>
  <c r="N13" i="55"/>
  <c r="M13" i="55"/>
  <c r="L13" i="55"/>
  <c r="AU12" i="55"/>
  <c r="AV12" i="55" s="1"/>
  <c r="AS12" i="55"/>
  <c r="AN12" i="55"/>
  <c r="AM12" i="55"/>
  <c r="AI12" i="55"/>
  <c r="Z12" i="55"/>
  <c r="AA12" i="55" s="1"/>
  <c r="M12" i="55"/>
  <c r="L12" i="55"/>
  <c r="AU11" i="55"/>
  <c r="AV11" i="55" s="1"/>
  <c r="AS11" i="55"/>
  <c r="AN11" i="55"/>
  <c r="AM11" i="55"/>
  <c r="AI11" i="55"/>
  <c r="Z11" i="55"/>
  <c r="AA11" i="55" s="1"/>
  <c r="L11" i="55"/>
  <c r="L10" i="55" s="1"/>
  <c r="AT10" i="55"/>
  <c r="AR10" i="55"/>
  <c r="AQ10" i="55"/>
  <c r="AQ9" i="55" s="1"/>
  <c r="AP10" i="55"/>
  <c r="AO10" i="55"/>
  <c r="AL10" i="55"/>
  <c r="AM10" i="55" s="1"/>
  <c r="AK10" i="55"/>
  <c r="AK9" i="55" s="1"/>
  <c r="AJ10" i="55"/>
  <c r="AH10" i="55"/>
  <c r="AG10" i="55"/>
  <c r="AF10" i="55"/>
  <c r="AR9" i="55"/>
  <c r="AJ9" i="55"/>
  <c r="AF9" i="55"/>
  <c r="B4" i="55"/>
  <c r="A2" i="55"/>
  <c r="AH9" i="55" l="1"/>
  <c r="AO9" i="55"/>
  <c r="AS23" i="55"/>
  <c r="L26" i="55"/>
  <c r="L9" i="55" s="1"/>
  <c r="AG45" i="55"/>
  <c r="AP9" i="55"/>
  <c r="AP8" i="55" s="1"/>
  <c r="AA251" i="55"/>
  <c r="L278" i="55"/>
  <c r="AN32" i="55"/>
  <c r="AS33" i="55"/>
  <c r="AS37" i="55"/>
  <c r="N37" i="55"/>
  <c r="AI71" i="55"/>
  <c r="AH70" i="55"/>
  <c r="AI70" i="55" s="1"/>
  <c r="AO286" i="55"/>
  <c r="L33" i="55"/>
  <c r="AQ32" i="55"/>
  <c r="AG70" i="55"/>
  <c r="M70" i="55"/>
  <c r="AU76" i="55"/>
  <c r="AV76" i="55" s="1"/>
  <c r="AG79" i="55"/>
  <c r="AL79" i="55"/>
  <c r="AM79" i="55" s="1"/>
  <c r="AR79" i="55"/>
  <c r="AF117" i="55"/>
  <c r="M118" i="55"/>
  <c r="AG121" i="55"/>
  <c r="AN121" i="55"/>
  <c r="AN117" i="55" s="1"/>
  <c r="AN99" i="55" s="1"/>
  <c r="AP140" i="55"/>
  <c r="AU158" i="55"/>
  <c r="AO157" i="55"/>
  <c r="AS165" i="55"/>
  <c r="AJ167" i="55"/>
  <c r="AN178" i="55"/>
  <c r="AG178" i="55"/>
  <c r="AG167" i="55" s="1"/>
  <c r="AP191" i="55"/>
  <c r="AP190" i="55" s="1"/>
  <c r="AP146" i="55" s="1"/>
  <c r="AL202" i="55"/>
  <c r="AM202" i="55" s="1"/>
  <c r="AG229" i="55"/>
  <c r="AR229" i="55"/>
  <c r="AT230" i="55"/>
  <c r="AT229" i="55" s="1"/>
  <c r="AA230" i="55"/>
  <c r="AS234" i="55"/>
  <c r="L251" i="55"/>
  <c r="AR260" i="55"/>
  <c r="AS260" i="55" s="1"/>
  <c r="AA261" i="55"/>
  <c r="AA260" i="55" s="1"/>
  <c r="AQ270" i="55"/>
  <c r="AV281" i="55"/>
  <c r="AV282" i="55"/>
  <c r="AN286" i="55"/>
  <c r="L289" i="55"/>
  <c r="L286" i="55" s="1"/>
  <c r="AN289" i="55"/>
  <c r="AG125" i="55"/>
  <c r="AF157" i="55"/>
  <c r="AA178" i="55"/>
  <c r="AS239" i="55"/>
  <c r="AT100" i="55"/>
  <c r="AL117" i="55"/>
  <c r="AM117" i="55" s="1"/>
  <c r="L135" i="55"/>
  <c r="L134" i="55" s="1"/>
  <c r="AN135" i="55"/>
  <c r="AN134" i="55" s="1"/>
  <c r="AS141" i="55"/>
  <c r="L168" i="55"/>
  <c r="M219" i="55"/>
  <c r="M218" i="55" s="1"/>
  <c r="AM227" i="55"/>
  <c r="M230" i="55"/>
  <c r="AA240" i="55"/>
  <c r="AA239" i="55" s="1"/>
  <c r="AV242" i="55"/>
  <c r="AJ250" i="55"/>
  <c r="N257" i="55"/>
  <c r="L261" i="55"/>
  <c r="L260" i="55" s="1"/>
  <c r="AQ260" i="55"/>
  <c r="AV274" i="55"/>
  <c r="AG278" i="55"/>
  <c r="AS282" i="55"/>
  <c r="AF57" i="55"/>
  <c r="N58" i="55"/>
  <c r="AG9" i="55"/>
  <c r="M10" i="55"/>
  <c r="AS50" i="55"/>
  <c r="N50" i="55"/>
  <c r="N49" i="55" s="1"/>
  <c r="AG57" i="55"/>
  <c r="N64" i="55"/>
  <c r="AK70" i="55"/>
  <c r="AT70" i="55"/>
  <c r="AT56" i="55" s="1"/>
  <c r="AS76" i="55"/>
  <c r="AS105" i="55"/>
  <c r="AF100" i="55"/>
  <c r="M111" i="55"/>
  <c r="AT117" i="55"/>
  <c r="AK125" i="55"/>
  <c r="AQ125" i="55"/>
  <c r="N125" i="55"/>
  <c r="N117" i="55" s="1"/>
  <c r="N99" i="55" s="1"/>
  <c r="AT140" i="55"/>
  <c r="AQ150" i="55"/>
  <c r="M150" i="55"/>
  <c r="AS155" i="55"/>
  <c r="AN157" i="55"/>
  <c r="AR167" i="55"/>
  <c r="AS167" i="55" s="1"/>
  <c r="N168" i="55"/>
  <c r="AV176" i="55"/>
  <c r="N183" i="55"/>
  <c r="AG190" i="55"/>
  <c r="AS200" i="55"/>
  <c r="N213" i="55"/>
  <c r="N212" i="55" s="1"/>
  <c r="M246" i="55"/>
  <c r="M245" i="55" s="1"/>
  <c r="AA279" i="55"/>
  <c r="AA278" i="55" s="1"/>
  <c r="AF286" i="55"/>
  <c r="AK286" i="55"/>
  <c r="AQ286" i="55"/>
  <c r="N10" i="55"/>
  <c r="N9" i="55" s="1"/>
  <c r="AJ8" i="55"/>
  <c r="L56" i="55"/>
  <c r="AN92" i="55"/>
  <c r="AS122" i="55"/>
  <c r="AR121" i="55"/>
  <c r="AA140" i="55"/>
  <c r="AN203" i="55"/>
  <c r="AN202" i="55" s="1"/>
  <c r="AQ8" i="55"/>
  <c r="AS32" i="55"/>
  <c r="AG117" i="55"/>
  <c r="AG99" i="55" s="1"/>
  <c r="AR134" i="55"/>
  <c r="AS135" i="55"/>
  <c r="AL9" i="55"/>
  <c r="AI10" i="55"/>
  <c r="AN10" i="55"/>
  <c r="AN23" i="55"/>
  <c r="AN26" i="55"/>
  <c r="AT32" i="55"/>
  <c r="AT8" i="55" s="1"/>
  <c r="AA33" i="55"/>
  <c r="N33" i="55"/>
  <c r="AA37" i="55"/>
  <c r="AS45" i="55"/>
  <c r="N45" i="55"/>
  <c r="N32" i="55" s="1"/>
  <c r="AL49" i="55"/>
  <c r="AM49" i="55" s="1"/>
  <c r="AU50" i="55"/>
  <c r="AH57" i="55"/>
  <c r="AH56" i="55" s="1"/>
  <c r="AI56" i="55" s="1"/>
  <c r="AN58" i="55"/>
  <c r="AM64" i="55"/>
  <c r="AS64" i="55"/>
  <c r="AA76" i="55"/>
  <c r="AA70" i="55" s="1"/>
  <c r="N92" i="55"/>
  <c r="N79" i="55" s="1"/>
  <c r="M135" i="55"/>
  <c r="M134" i="55" s="1"/>
  <c r="AA150" i="55"/>
  <c r="AP157" i="55"/>
  <c r="AA45" i="55"/>
  <c r="AA32" i="55" s="1"/>
  <c r="AA26" i="55" s="1"/>
  <c r="M92" i="55"/>
  <c r="AT99" i="55"/>
  <c r="AU148" i="55"/>
  <c r="AU147" i="55" s="1"/>
  <c r="AV149" i="55"/>
  <c r="AA157" i="55"/>
  <c r="AJ157" i="55"/>
  <c r="AJ146" i="55" s="1"/>
  <c r="AF8" i="55"/>
  <c r="AS10" i="55"/>
  <c r="AR57" i="55"/>
  <c r="AS58" i="55"/>
  <c r="AU10" i="55"/>
  <c r="AU23" i="55"/>
  <c r="AV23" i="55" s="1"/>
  <c r="AU26" i="55"/>
  <c r="AV26" i="55" s="1"/>
  <c r="M33" i="55"/>
  <c r="M32" i="55" s="1"/>
  <c r="L37" i="55"/>
  <c r="L32" i="55" s="1"/>
  <c r="AK45" i="55"/>
  <c r="AK32" i="55" s="1"/>
  <c r="AK8" i="55" s="1"/>
  <c r="AH49" i="55"/>
  <c r="AI49" i="55" s="1"/>
  <c r="AS49" i="55"/>
  <c r="M50" i="55"/>
  <c r="M49" i="55" s="1"/>
  <c r="AA58" i="55"/>
  <c r="AN64" i="55"/>
  <c r="AM71" i="55"/>
  <c r="AL70" i="55"/>
  <c r="AM70" i="55" s="1"/>
  <c r="AV74" i="55"/>
  <c r="AU101" i="55"/>
  <c r="L105" i="55"/>
  <c r="L100" i="55" s="1"/>
  <c r="M105" i="55"/>
  <c r="AJ100" i="55"/>
  <c r="AS150" i="55"/>
  <c r="AL150" i="55"/>
  <c r="AM150" i="55" s="1"/>
  <c r="AN150" i="55"/>
  <c r="AS153" i="55"/>
  <c r="AG150" i="55"/>
  <c r="AG146" i="55" s="1"/>
  <c r="AF167" i="55"/>
  <c r="AF146" i="55" s="1"/>
  <c r="AV179" i="55"/>
  <c r="AU178" i="55"/>
  <c r="AV178" i="55" s="1"/>
  <c r="AV209" i="55"/>
  <c r="AR218" i="55"/>
  <c r="AS218" i="55" s="1"/>
  <c r="AS219" i="55"/>
  <c r="N219" i="55"/>
  <c r="N218" i="55" s="1"/>
  <c r="AV247" i="55"/>
  <c r="AU246" i="55"/>
  <c r="AU245" i="55" s="1"/>
  <c r="AV245" i="55" s="1"/>
  <c r="AV252" i="55"/>
  <c r="AA271" i="55"/>
  <c r="AA270" i="55" s="1"/>
  <c r="AV285" i="55"/>
  <c r="AU284" i="55"/>
  <c r="AV284" i="55" s="1"/>
  <c r="AM287" i="55"/>
  <c r="AL286" i="55"/>
  <c r="AM286" i="55" s="1"/>
  <c r="L50" i="55"/>
  <c r="L49" i="55" s="1"/>
  <c r="AO57" i="55"/>
  <c r="AO56" i="55" s="1"/>
  <c r="AP70" i="55"/>
  <c r="AP79" i="55"/>
  <c r="AS92" i="55"/>
  <c r="AS97" i="55"/>
  <c r="AN105" i="55"/>
  <c r="AN118" i="55"/>
  <c r="AO121" i="55"/>
  <c r="AO117" i="55" s="1"/>
  <c r="L121" i="55"/>
  <c r="AQ121" i="55"/>
  <c r="AQ117" i="55" s="1"/>
  <c r="M125" i="55"/>
  <c r="AS132" i="55"/>
  <c r="N135" i="55"/>
  <c r="N134" i="55" s="1"/>
  <c r="N140" i="55"/>
  <c r="AV145" i="55"/>
  <c r="M168" i="55"/>
  <c r="AN234" i="55"/>
  <c r="AI287" i="55"/>
  <c r="AH286" i="55"/>
  <c r="AI286" i="55" s="1"/>
  <c r="AN50" i="55"/>
  <c r="AN49" i="55" s="1"/>
  <c r="AG56" i="55"/>
  <c r="AJ70" i="55"/>
  <c r="AJ56" i="55" s="1"/>
  <c r="AQ70" i="55"/>
  <c r="AK79" i="55"/>
  <c r="AK56" i="55" s="1"/>
  <c r="AS80" i="55"/>
  <c r="AN101" i="55"/>
  <c r="AN100" i="55" s="1"/>
  <c r="AO100" i="55"/>
  <c r="N105" i="55"/>
  <c r="N100" i="55" s="1"/>
  <c r="AS111" i="55"/>
  <c r="M114" i="55"/>
  <c r="AA118" i="55"/>
  <c r="N121" i="55"/>
  <c r="AK121" i="55"/>
  <c r="AK117" i="55" s="1"/>
  <c r="AP121" i="55"/>
  <c r="AP117" i="55" s="1"/>
  <c r="AU123" i="55"/>
  <c r="AV123" i="55" s="1"/>
  <c r="AN125" i="55"/>
  <c r="AJ140" i="55"/>
  <c r="AU141" i="55"/>
  <c r="AU140" i="55" s="1"/>
  <c r="AN141" i="55"/>
  <c r="AN140" i="55" s="1"/>
  <c r="AH147" i="55"/>
  <c r="AI147" i="55" s="1"/>
  <c r="AT150" i="55"/>
  <c r="N150" i="55"/>
  <c r="AK150" i="55"/>
  <c r="AO150" i="55"/>
  <c r="N158" i="55"/>
  <c r="N157" i="55" s="1"/>
  <c r="AR190" i="55"/>
  <c r="AM213" i="55"/>
  <c r="AL212" i="55"/>
  <c r="AV231" i="55"/>
  <c r="AU230" i="55"/>
  <c r="AS246" i="55"/>
  <c r="AR245" i="55"/>
  <c r="AS245" i="55" s="1"/>
  <c r="AV254" i="55"/>
  <c r="AT261" i="55"/>
  <c r="AT260" i="55" s="1"/>
  <c r="AM282" i="55"/>
  <c r="AL278" i="55"/>
  <c r="AM278" i="55" s="1"/>
  <c r="AA168" i="55"/>
  <c r="N178" i="55"/>
  <c r="N167" i="55" s="1"/>
  <c r="L178" i="55"/>
  <c r="AP167" i="55"/>
  <c r="AS191" i="55"/>
  <c r="M191" i="55"/>
  <c r="M190" i="55" s="1"/>
  <c r="AO190" i="55"/>
  <c r="L191" i="55"/>
  <c r="L190" i="55" s="1"/>
  <c r="AV200" i="55"/>
  <c r="AH202" i="55"/>
  <c r="AI202" i="55" s="1"/>
  <c r="AU208" i="55"/>
  <c r="AV208" i="55" s="1"/>
  <c r="AN213" i="55"/>
  <c r="AN212" i="55" s="1"/>
  <c r="AG218" i="55"/>
  <c r="AK218" i="55"/>
  <c r="AV228" i="55"/>
  <c r="AO229" i="55"/>
  <c r="M234" i="55"/>
  <c r="M229" i="55" s="1"/>
  <c r="AV241" i="55"/>
  <c r="L257" i="55"/>
  <c r="L250" i="55" s="1"/>
  <c r="M257" i="55"/>
  <c r="M250" i="55" s="1"/>
  <c r="AK260" i="55"/>
  <c r="AP260" i="55"/>
  <c r="AJ260" i="55"/>
  <c r="AI271" i="55"/>
  <c r="AM271" i="55"/>
  <c r="AS286" i="55"/>
  <c r="AM293" i="55"/>
  <c r="AN168" i="55"/>
  <c r="AS183" i="55"/>
  <c r="N191" i="55"/>
  <c r="N190" i="55" s="1"/>
  <c r="M203" i="55"/>
  <c r="M202" i="55" s="1"/>
  <c r="L219" i="55"/>
  <c r="L218" i="55" s="1"/>
  <c r="AA219" i="55"/>
  <c r="AA218" i="55" s="1"/>
  <c r="AN219" i="55"/>
  <c r="AN218" i="55" s="1"/>
  <c r="AK229" i="55"/>
  <c r="AV244" i="55"/>
  <c r="AF260" i="55"/>
  <c r="AS270" i="55"/>
  <c r="AT271" i="55"/>
  <c r="AT270" i="55" s="1"/>
  <c r="AV275" i="55"/>
  <c r="AT279" i="55"/>
  <c r="AT278" i="55" s="1"/>
  <c r="AS284" i="55"/>
  <c r="AS287" i="55"/>
  <c r="AI293" i="55"/>
  <c r="AS178" i="55"/>
  <c r="AT167" i="55"/>
  <c r="AV193" i="55"/>
  <c r="L213" i="55"/>
  <c r="L212" i="55" s="1"/>
  <c r="AF218" i="55"/>
  <c r="AJ218" i="55"/>
  <c r="N234" i="55"/>
  <c r="N229" i="55" s="1"/>
  <c r="L240" i="55"/>
  <c r="L239" i="55" s="1"/>
  <c r="N246" i="55"/>
  <c r="N245" i="55" s="1"/>
  <c r="AN246" i="55"/>
  <c r="AN245" i="55" s="1"/>
  <c r="AA246" i="55"/>
  <c r="AA245" i="55" s="1"/>
  <c r="N250" i="55"/>
  <c r="N261" i="55"/>
  <c r="N260" i="55" s="1"/>
  <c r="AV264" i="55"/>
  <c r="AS266" i="55"/>
  <c r="AV272" i="55"/>
  <c r="N271" i="55"/>
  <c r="N270" i="55" s="1"/>
  <c r="M279" i="55"/>
  <c r="M278" i="55" s="1"/>
  <c r="AA289" i="55"/>
  <c r="AH8" i="55"/>
  <c r="AS9" i="55"/>
  <c r="AV10" i="55"/>
  <c r="AU9" i="55"/>
  <c r="AG32" i="55"/>
  <c r="AG8" i="55" s="1"/>
  <c r="AO99" i="55"/>
  <c r="U99" i="55"/>
  <c r="AA10" i="55"/>
  <c r="AA23" i="55"/>
  <c r="AA50" i="55"/>
  <c r="AA49" i="55" s="1"/>
  <c r="AL56" i="55"/>
  <c r="AM56" i="55" s="1"/>
  <c r="AM57" i="55"/>
  <c r="AS57" i="55"/>
  <c r="AA80" i="55"/>
  <c r="M9" i="55"/>
  <c r="AO32" i="55"/>
  <c r="AO8" i="55" s="1"/>
  <c r="AV50" i="55"/>
  <c r="AU49" i="55"/>
  <c r="AV49" i="55" s="1"/>
  <c r="N57" i="55"/>
  <c r="AA64" i="55"/>
  <c r="AA57" i="55" s="1"/>
  <c r="AV80" i="55"/>
  <c r="AP56" i="55"/>
  <c r="AU92" i="55"/>
  <c r="AV92" i="55" s="1"/>
  <c r="AV94" i="55"/>
  <c r="AU127" i="55"/>
  <c r="AV127" i="55" s="1"/>
  <c r="AS127" i="55"/>
  <c r="AV147" i="55"/>
  <c r="AR8" i="55"/>
  <c r="AI9" i="55"/>
  <c r="AM9" i="55"/>
  <c r="AV13" i="55"/>
  <c r="AV25" i="55"/>
  <c r="AV28" i="55"/>
  <c r="AI33" i="55"/>
  <c r="AM33" i="55"/>
  <c r="AU33" i="55"/>
  <c r="AV51" i="55"/>
  <c r="AU58" i="55"/>
  <c r="M64" i="55"/>
  <c r="M57" i="55" s="1"/>
  <c r="AF70" i="55"/>
  <c r="AF56" i="55" s="1"/>
  <c r="AS74" i="55"/>
  <c r="AQ79" i="55"/>
  <c r="AI80" i="55"/>
  <c r="AM80" i="55"/>
  <c r="AV81" i="55"/>
  <c r="AA92" i="55"/>
  <c r="AK99" i="55"/>
  <c r="R99" i="55"/>
  <c r="AP100" i="55"/>
  <c r="AV101" i="55"/>
  <c r="AU105" i="55"/>
  <c r="AV105" i="55" s="1"/>
  <c r="AV107" i="55"/>
  <c r="M117" i="55"/>
  <c r="AS118" i="55"/>
  <c r="AA121" i="55"/>
  <c r="AU135" i="55"/>
  <c r="AV137" i="55"/>
  <c r="AV141" i="55"/>
  <c r="AV72" i="55"/>
  <c r="AU71" i="55"/>
  <c r="AH140" i="55"/>
  <c r="AI140" i="55" s="1"/>
  <c r="AI141" i="55"/>
  <c r="AU64" i="55"/>
  <c r="AV64" i="55" s="1"/>
  <c r="M80" i="55"/>
  <c r="M79" i="55" s="1"/>
  <c r="AN80" i="55"/>
  <c r="AN79" i="55" s="1"/>
  <c r="AH100" i="55"/>
  <c r="AL100" i="55"/>
  <c r="AS101" i="55"/>
  <c r="AQ100" i="55"/>
  <c r="AA105" i="55"/>
  <c r="AA100" i="55" s="1"/>
  <c r="AF99" i="55"/>
  <c r="AV112" i="55"/>
  <c r="AU111" i="55"/>
  <c r="AV111" i="55" s="1"/>
  <c r="AJ117" i="55"/>
  <c r="AA135" i="55"/>
  <c r="AA134" i="55" s="1"/>
  <c r="P99" i="55"/>
  <c r="AU37" i="55"/>
  <c r="AV37" i="55" s="1"/>
  <c r="AU45" i="55"/>
  <c r="AV45" i="55" s="1"/>
  <c r="AI57" i="55"/>
  <c r="AN70" i="55"/>
  <c r="AR70" i="55"/>
  <c r="AS70" i="55" s="1"/>
  <c r="M101" i="55"/>
  <c r="M100" i="55" s="1"/>
  <c r="M99" i="55" s="1"/>
  <c r="T99" i="55"/>
  <c r="AV115" i="55"/>
  <c r="AU114" i="55"/>
  <c r="AV114" i="55" s="1"/>
  <c r="AS121" i="55"/>
  <c r="AU122" i="55"/>
  <c r="L125" i="55"/>
  <c r="AA125" i="55"/>
  <c r="AA117" i="55" s="1"/>
  <c r="AR125" i="55"/>
  <c r="AS125" i="55" s="1"/>
  <c r="AU126" i="55"/>
  <c r="AS126" i="55"/>
  <c r="AS134" i="55"/>
  <c r="AV140" i="55"/>
  <c r="AL140" i="55"/>
  <c r="AM140" i="55" s="1"/>
  <c r="AM141" i="55"/>
  <c r="AV158" i="55"/>
  <c r="AL190" i="55"/>
  <c r="AM190" i="55" s="1"/>
  <c r="AM191" i="55"/>
  <c r="AQ229" i="55"/>
  <c r="AQ211" i="55" s="1"/>
  <c r="AS230" i="55"/>
  <c r="AU271" i="55"/>
  <c r="AV276" i="55"/>
  <c r="AR278" i="55"/>
  <c r="AS278" i="55" s="1"/>
  <c r="AS279" i="55"/>
  <c r="AR140" i="55"/>
  <c r="AS140" i="55" s="1"/>
  <c r="AS147" i="55"/>
  <c r="AV148" i="55"/>
  <c r="AV154" i="55"/>
  <c r="AU153" i="55"/>
  <c r="AH157" i="55"/>
  <c r="AL157" i="55"/>
  <c r="AS158" i="55"/>
  <c r="AQ157" i="55"/>
  <c r="AS157" i="55" s="1"/>
  <c r="AV162" i="55"/>
  <c r="AU161" i="55"/>
  <c r="AV161" i="55" s="1"/>
  <c r="L167" i="55"/>
  <c r="L146" i="55" s="1"/>
  <c r="AU168" i="55"/>
  <c r="M183" i="55"/>
  <c r="M167" i="55" s="1"/>
  <c r="M146" i="55" s="1"/>
  <c r="AN183" i="55"/>
  <c r="AN167" i="55" s="1"/>
  <c r="AH190" i="55"/>
  <c r="AI190" i="55" s="1"/>
  <c r="AI191" i="55"/>
  <c r="AN191" i="55"/>
  <c r="AN190" i="55" s="1"/>
  <c r="AH245" i="55"/>
  <c r="AI245" i="55" s="1"/>
  <c r="AI246" i="55"/>
  <c r="AS148" i="55"/>
  <c r="AU163" i="55"/>
  <c r="AV163" i="55" s="1"/>
  <c r="AV164" i="55"/>
  <c r="AV166" i="55"/>
  <c r="AU165" i="55"/>
  <c r="AV165" i="55" s="1"/>
  <c r="AM183" i="55"/>
  <c r="AL167" i="55"/>
  <c r="AM167" i="55" s="1"/>
  <c r="AA183" i="55"/>
  <c r="AV187" i="55"/>
  <c r="AU183" i="55"/>
  <c r="AV183" i="55" s="1"/>
  <c r="AV192" i="55"/>
  <c r="AU191" i="55"/>
  <c r="AA191" i="55"/>
  <c r="AA190" i="55" s="1"/>
  <c r="AI212" i="55"/>
  <c r="AH239" i="55"/>
  <c r="AI239" i="55" s="1"/>
  <c r="AI240" i="55"/>
  <c r="AU97" i="55"/>
  <c r="AV97" i="55" s="1"/>
  <c r="AR100" i="55"/>
  <c r="AU118" i="55"/>
  <c r="AU132" i="55"/>
  <c r="AV132" i="55" s="1"/>
  <c r="AM151" i="55"/>
  <c r="AV151" i="55"/>
  <c r="AV156" i="55"/>
  <c r="AU155" i="55"/>
  <c r="AV155" i="55" s="1"/>
  <c r="AT157" i="55"/>
  <c r="AI183" i="55"/>
  <c r="AH167" i="55"/>
  <c r="AI167" i="55" s="1"/>
  <c r="AV262" i="55"/>
  <c r="AU261" i="55"/>
  <c r="AR208" i="55"/>
  <c r="AS208" i="55" s="1"/>
  <c r="AS209" i="55"/>
  <c r="AS229" i="55"/>
  <c r="AN230" i="55"/>
  <c r="L234" i="55"/>
  <c r="L229" i="55" s="1"/>
  <c r="AA234" i="55"/>
  <c r="AA229" i="55" s="1"/>
  <c r="M240" i="55"/>
  <c r="M239" i="55" s="1"/>
  <c r="AI251" i="55"/>
  <c r="AH250" i="55"/>
  <c r="AI250" i="55" s="1"/>
  <c r="AR250" i="55"/>
  <c r="AS250" i="55" s="1"/>
  <c r="AS251" i="55"/>
  <c r="AV259" i="55"/>
  <c r="AU257" i="55"/>
  <c r="AV257" i="55" s="1"/>
  <c r="AG260" i="55"/>
  <c r="AN278" i="55"/>
  <c r="AS168" i="55"/>
  <c r="AK178" i="55"/>
  <c r="AK167" i="55" s="1"/>
  <c r="AK146" i="55" s="1"/>
  <c r="AR202" i="55"/>
  <c r="AS202" i="55" s="1"/>
  <c r="AS203" i="55"/>
  <c r="AA203" i="55"/>
  <c r="AA202" i="55" s="1"/>
  <c r="AM212" i="55"/>
  <c r="AR212" i="55"/>
  <c r="AS213" i="55"/>
  <c r="AU219" i="55"/>
  <c r="AV225" i="55"/>
  <c r="AL229" i="55"/>
  <c r="AM229" i="55" s="1"/>
  <c r="AM234" i="55"/>
  <c r="AV235" i="55"/>
  <c r="AU234" i="55"/>
  <c r="AV234" i="55" s="1"/>
  <c r="AT240" i="55"/>
  <c r="AA257" i="55"/>
  <c r="AQ190" i="55"/>
  <c r="AS190" i="55" s="1"/>
  <c r="AU203" i="55"/>
  <c r="AV204" i="55"/>
  <c r="AU213" i="55"/>
  <c r="AV215" i="55"/>
  <c r="AU229" i="55"/>
  <c r="AH229" i="55"/>
  <c r="AI229" i="55" s="1"/>
  <c r="AI234" i="55"/>
  <c r="AL239" i="55"/>
  <c r="AM239" i="55" s="1"/>
  <c r="AM240" i="55"/>
  <c r="AL245" i="55"/>
  <c r="AM245" i="55" s="1"/>
  <c r="AM246" i="55"/>
  <c r="AA250" i="55"/>
  <c r="AI282" i="55"/>
  <c r="AH278" i="55"/>
  <c r="AI278" i="55" s="1"/>
  <c r="AH208" i="55"/>
  <c r="AI208" i="55" s="1"/>
  <c r="AL208" i="55"/>
  <c r="AM208" i="55" s="1"/>
  <c r="AO250" i="55"/>
  <c r="AV256" i="55"/>
  <c r="AU251" i="55"/>
  <c r="AH260" i="55"/>
  <c r="AI260" i="55" s="1"/>
  <c r="AL260" i="55"/>
  <c r="AM260" i="55" s="1"/>
  <c r="AN261" i="55"/>
  <c r="AN260" i="55" s="1"/>
  <c r="M271" i="55"/>
  <c r="M270" i="55" s="1"/>
  <c r="AV273" i="55"/>
  <c r="AF278" i="55"/>
  <c r="AJ278" i="55"/>
  <c r="AL250" i="55"/>
  <c r="AM250" i="55" s="1"/>
  <c r="AK250" i="55"/>
  <c r="AK211" i="55" s="1"/>
  <c r="AV269" i="55"/>
  <c r="AU268" i="55"/>
  <c r="AV268" i="55" s="1"/>
  <c r="AU280" i="55"/>
  <c r="AP279" i="55"/>
  <c r="AP278" i="55" s="1"/>
  <c r="AP211" i="55" s="1"/>
  <c r="AA286" i="55"/>
  <c r="AG250" i="55"/>
  <c r="M261" i="55"/>
  <c r="M260" i="55" s="1"/>
  <c r="AV263" i="55"/>
  <c r="AV267" i="55"/>
  <c r="AU266" i="55"/>
  <c r="AV266" i="55" s="1"/>
  <c r="AN271" i="55"/>
  <c r="AN270" i="55" s="1"/>
  <c r="AU287" i="55"/>
  <c r="AV288" i="55"/>
  <c r="AV290" i="55"/>
  <c r="AG293" i="55"/>
  <c r="AN293" i="55" s="1"/>
  <c r="AI294" i="55"/>
  <c r="AM294" i="55"/>
  <c r="AU294" i="55"/>
  <c r="AV294" i="55" s="1"/>
  <c r="N8" i="55" l="1"/>
  <c r="N296" i="55" s="1"/>
  <c r="AT146" i="55"/>
  <c r="L117" i="55"/>
  <c r="AR117" i="55"/>
  <c r="AS117" i="55" s="1"/>
  <c r="AS79" i="55"/>
  <c r="AO146" i="55"/>
  <c r="AV246" i="55"/>
  <c r="AA167" i="55"/>
  <c r="M8" i="55"/>
  <c r="N211" i="55"/>
  <c r="AV229" i="55"/>
  <c r="AJ211" i="55"/>
  <c r="AF211" i="55"/>
  <c r="AF296" i="55" s="1"/>
  <c r="AO211" i="55"/>
  <c r="AV230" i="55"/>
  <c r="AN229" i="55"/>
  <c r="AN211" i="55" s="1"/>
  <c r="AN296" i="55" s="1"/>
  <c r="AJ99" i="55"/>
  <c r="AJ296" i="55" s="1"/>
  <c r="L8" i="55"/>
  <c r="AN9" i="55"/>
  <c r="N146" i="55"/>
  <c r="AG211" i="55"/>
  <c r="AG296" i="55" s="1"/>
  <c r="M211" i="55"/>
  <c r="L211" i="55"/>
  <c r="AH211" i="55"/>
  <c r="AI211" i="55" s="1"/>
  <c r="AQ99" i="55"/>
  <c r="AN146" i="55"/>
  <c r="L99" i="55"/>
  <c r="N56" i="55"/>
  <c r="AN57" i="55"/>
  <c r="AN8" i="55"/>
  <c r="AA146" i="55"/>
  <c r="AN56" i="55"/>
  <c r="AU293" i="55"/>
  <c r="AV293" i="55" s="1"/>
  <c r="AA211" i="55"/>
  <c r="AA79" i="55"/>
  <c r="AA56" i="55" s="1"/>
  <c r="AL8" i="55"/>
  <c r="AM8" i="55" s="1"/>
  <c r="AO296" i="55"/>
  <c r="AA99" i="55"/>
  <c r="AU121" i="55"/>
  <c r="AV121" i="55" s="1"/>
  <c r="AV122" i="55"/>
  <c r="AU32" i="55"/>
  <c r="AV32" i="55" s="1"/>
  <c r="AV33" i="55"/>
  <c r="AS8" i="55"/>
  <c r="AU212" i="55"/>
  <c r="AV213" i="55"/>
  <c r="AU202" i="55"/>
  <c r="AV202" i="55" s="1"/>
  <c r="AV203" i="55"/>
  <c r="AS212" i="55"/>
  <c r="AR211" i="55"/>
  <c r="AS211" i="55" s="1"/>
  <c r="AV118" i="55"/>
  <c r="AI157" i="55"/>
  <c r="AH146" i="55"/>
  <c r="AI146" i="55" s="1"/>
  <c r="AU157" i="55"/>
  <c r="AV157" i="55" s="1"/>
  <c r="AL99" i="55"/>
  <c r="AM99" i="55" s="1"/>
  <c r="AM100" i="55"/>
  <c r="S99" i="55" s="1"/>
  <c r="AQ146" i="55"/>
  <c r="AV135" i="55"/>
  <c r="AU134" i="55"/>
  <c r="AV134" i="55" s="1"/>
  <c r="AQ56" i="55"/>
  <c r="AQ296" i="55" s="1"/>
  <c r="AI8" i="55"/>
  <c r="AV251" i="55"/>
  <c r="AU250" i="55"/>
  <c r="AV250" i="55" s="1"/>
  <c r="AM157" i="55"/>
  <c r="AL146" i="55"/>
  <c r="AM146" i="55" s="1"/>
  <c r="AV126" i="55"/>
  <c r="AU125" i="55"/>
  <c r="AV125" i="55" s="1"/>
  <c r="L296" i="55"/>
  <c r="AU8" i="55"/>
  <c r="AV9" i="55"/>
  <c r="AV287" i="55"/>
  <c r="AU286" i="55"/>
  <c r="AV286" i="55" s="1"/>
  <c r="AV219" i="55"/>
  <c r="AU218" i="55"/>
  <c r="AV218" i="55" s="1"/>
  <c r="AV261" i="55"/>
  <c r="AU260" i="55"/>
  <c r="AV260" i="55" s="1"/>
  <c r="AS100" i="55"/>
  <c r="W99" i="55" s="1"/>
  <c r="AU190" i="55"/>
  <c r="AV190" i="55" s="1"/>
  <c r="AV191" i="55"/>
  <c r="AU167" i="55"/>
  <c r="AV167" i="55" s="1"/>
  <c r="AV168" i="55"/>
  <c r="AV153" i="55"/>
  <c r="AU150" i="55"/>
  <c r="AV271" i="55"/>
  <c r="AU270" i="55"/>
  <c r="AV270" i="55" s="1"/>
  <c r="AR146" i="55"/>
  <c r="AS146" i="55" s="1"/>
  <c r="AH99" i="55"/>
  <c r="AI99" i="55" s="1"/>
  <c r="AI100" i="55"/>
  <c r="Q99" i="55" s="1"/>
  <c r="M56" i="55"/>
  <c r="AU100" i="55"/>
  <c r="AV58" i="55"/>
  <c r="AU57" i="55"/>
  <c r="AU79" i="55"/>
  <c r="AV79" i="55" s="1"/>
  <c r="AR56" i="55"/>
  <c r="AA9" i="55"/>
  <c r="AA8" i="55" s="1"/>
  <c r="AK296" i="55"/>
  <c r="AV240" i="55"/>
  <c r="AT239" i="55"/>
  <c r="AU279" i="55"/>
  <c r="AV280" i="55"/>
  <c r="AL211" i="55"/>
  <c r="AM211" i="55" s="1"/>
  <c r="AV71" i="55"/>
  <c r="AU70" i="55"/>
  <c r="AV70" i="55" s="1"/>
  <c r="AP99" i="55"/>
  <c r="AP296" i="55" s="1"/>
  <c r="V99" i="55"/>
  <c r="AL296" i="55"/>
  <c r="AM296" i="55" s="1"/>
  <c r="AS56" i="55" l="1"/>
  <c r="M296" i="55"/>
  <c r="AR99" i="55"/>
  <c r="AS99" i="55" s="1"/>
  <c r="AU117" i="55"/>
  <c r="AV117" i="55" s="1"/>
  <c r="AA296" i="55"/>
  <c r="AH296" i="55"/>
  <c r="AI296" i="55" s="1"/>
  <c r="AV100" i="55"/>
  <c r="AV212" i="55"/>
  <c r="AV239" i="55"/>
  <c r="AT211" i="55"/>
  <c r="AT296" i="55" s="1"/>
  <c r="AV150" i="55"/>
  <c r="AU146" i="55"/>
  <c r="AV146" i="55" s="1"/>
  <c r="AV279" i="55"/>
  <c r="AU278" i="55"/>
  <c r="AV278" i="55" s="1"/>
  <c r="AV57" i="55"/>
  <c r="AU56" i="55"/>
  <c r="AV56" i="55" s="1"/>
  <c r="AV8" i="55"/>
  <c r="AU99" i="55" l="1"/>
  <c r="AV99" i="55" s="1"/>
  <c r="AR296" i="55"/>
  <c r="AS296" i="55" s="1"/>
  <c r="AU211" i="55"/>
  <c r="AV211" i="55" s="1"/>
  <c r="AU296" i="55" l="1"/>
  <c r="AV296" i="55" s="1"/>
  <c r="CH4" i="54"/>
  <c r="CG4" i="54"/>
  <c r="CF4" i="54"/>
  <c r="CE4" i="54"/>
  <c r="CP4" i="54"/>
  <c r="CO4" i="54"/>
  <c r="CN4" i="54"/>
  <c r="CM4" i="54"/>
  <c r="CL4" i="54"/>
  <c r="CK4" i="54"/>
  <c r="CJ4" i="54"/>
  <c r="CI4" i="54"/>
  <c r="CA4" i="54"/>
  <c r="CL161" i="54" l="1"/>
  <c r="CK161" i="54"/>
  <c r="CJ161" i="54"/>
  <c r="CI161" i="54"/>
  <c r="CK164" i="54" l="1"/>
  <c r="CQ163" i="54"/>
  <c r="CV163" i="54"/>
  <c r="CW163" i="54"/>
  <c r="CX162" i="54"/>
  <c r="CW162" i="54"/>
  <c r="CV162" i="54"/>
  <c r="CU162" i="54"/>
  <c r="CX160" i="54"/>
  <c r="CW160" i="54"/>
  <c r="CV160" i="54"/>
  <c r="CU160" i="54"/>
  <c r="CX159" i="54"/>
  <c r="CW159" i="54"/>
  <c r="CV159" i="54"/>
  <c r="CX158" i="54"/>
  <c r="CW158" i="54"/>
  <c r="CV158" i="54"/>
  <c r="CX157" i="54"/>
  <c r="CW157" i="54"/>
  <c r="CV157" i="54"/>
  <c r="CX156" i="54"/>
  <c r="CW156" i="54"/>
  <c r="CV156" i="54"/>
  <c r="CX155" i="54"/>
  <c r="CW155" i="54"/>
  <c r="CV155" i="54"/>
  <c r="CX154" i="54"/>
  <c r="CW154" i="54"/>
  <c r="CV154" i="54"/>
  <c r="CX153" i="54"/>
  <c r="CW153" i="54"/>
  <c r="CV153" i="54"/>
  <c r="CU153" i="54"/>
  <c r="CX152" i="54"/>
  <c r="CW152" i="54"/>
  <c r="CV152" i="54"/>
  <c r="CX151" i="54"/>
  <c r="CW151" i="54"/>
  <c r="CV151" i="54"/>
  <c r="CX150" i="54"/>
  <c r="CW150" i="54"/>
  <c r="CV150" i="54"/>
  <c r="CX149" i="54"/>
  <c r="CW149" i="54"/>
  <c r="CV149" i="54"/>
  <c r="CX148" i="54"/>
  <c r="CW148" i="54"/>
  <c r="CV148" i="54"/>
  <c r="CX147" i="54"/>
  <c r="CW147" i="54"/>
  <c r="CV147" i="54"/>
  <c r="CX146" i="54"/>
  <c r="CW146" i="54"/>
  <c r="CV146" i="54"/>
  <c r="CX145" i="54"/>
  <c r="CW145" i="54"/>
  <c r="CV145" i="54"/>
  <c r="CX144" i="54"/>
  <c r="CW144" i="54"/>
  <c r="CV144" i="54"/>
  <c r="CX143" i="54"/>
  <c r="CW143" i="54"/>
  <c r="CV143" i="54"/>
  <c r="CX142" i="54"/>
  <c r="CW142" i="54"/>
  <c r="CV142" i="54"/>
  <c r="CX141" i="54"/>
  <c r="CW141" i="54"/>
  <c r="CV141" i="54"/>
  <c r="CX140" i="54"/>
  <c r="CW140" i="54"/>
  <c r="CV140" i="54"/>
  <c r="CX139" i="54"/>
  <c r="CW139" i="54"/>
  <c r="CV139" i="54"/>
  <c r="CX138" i="54"/>
  <c r="CW138" i="54"/>
  <c r="CV138" i="54"/>
  <c r="CX137" i="54"/>
  <c r="CW137" i="54"/>
  <c r="CV137" i="54"/>
  <c r="CX136" i="54"/>
  <c r="CW136" i="54"/>
  <c r="CV136" i="54"/>
  <c r="CX135" i="54"/>
  <c r="CW135" i="54"/>
  <c r="CV135" i="54"/>
  <c r="CX134" i="54"/>
  <c r="CW134" i="54"/>
  <c r="CV134" i="54"/>
  <c r="CX133" i="54"/>
  <c r="CW133" i="54"/>
  <c r="CV133" i="54"/>
  <c r="CX132" i="54"/>
  <c r="CW132" i="54"/>
  <c r="CV132" i="54"/>
  <c r="CX131" i="54"/>
  <c r="CW131" i="54"/>
  <c r="CV131" i="54"/>
  <c r="CX130" i="54"/>
  <c r="CW130" i="54"/>
  <c r="CV130" i="54"/>
  <c r="CX129" i="54"/>
  <c r="CW129" i="54"/>
  <c r="CV129" i="54"/>
  <c r="CX128" i="54"/>
  <c r="CW128" i="54"/>
  <c r="CV128" i="54"/>
  <c r="CX127" i="54"/>
  <c r="CW127" i="54"/>
  <c r="CV127" i="54"/>
  <c r="CX126" i="54"/>
  <c r="CW126" i="54"/>
  <c r="CV126" i="54"/>
  <c r="CX125" i="54"/>
  <c r="CW125" i="54"/>
  <c r="CV125" i="54"/>
  <c r="CX124" i="54"/>
  <c r="CW124" i="54"/>
  <c r="CV124" i="54"/>
  <c r="CX123" i="54"/>
  <c r="CW123" i="54"/>
  <c r="CV123" i="54"/>
  <c r="CX122" i="54"/>
  <c r="CW122" i="54"/>
  <c r="CV122" i="54"/>
  <c r="CX121" i="54"/>
  <c r="CW121" i="54"/>
  <c r="CV121" i="54"/>
  <c r="CX120" i="54"/>
  <c r="CW120" i="54"/>
  <c r="CV120" i="54"/>
  <c r="CX119" i="54"/>
  <c r="CW119" i="54"/>
  <c r="CV119" i="54"/>
  <c r="CX118" i="54"/>
  <c r="CW118" i="54"/>
  <c r="CV118" i="54"/>
  <c r="CX117" i="54"/>
  <c r="CW117" i="54"/>
  <c r="CV117" i="54"/>
  <c r="CX116" i="54"/>
  <c r="CW116" i="54"/>
  <c r="CV116" i="54"/>
  <c r="CX115" i="54"/>
  <c r="CW115" i="54"/>
  <c r="CV115" i="54"/>
  <c r="CX114" i="54"/>
  <c r="CW114" i="54"/>
  <c r="CV114" i="54"/>
  <c r="CX113" i="54"/>
  <c r="CW113" i="54"/>
  <c r="CV113" i="54"/>
  <c r="CU113" i="54"/>
  <c r="CX112" i="54"/>
  <c r="CW112" i="54"/>
  <c r="CV112" i="54"/>
  <c r="CU112" i="54"/>
  <c r="CX111" i="54"/>
  <c r="CW111" i="54"/>
  <c r="CV111" i="54"/>
  <c r="CU111" i="54"/>
  <c r="CX110" i="54"/>
  <c r="CW110" i="54"/>
  <c r="CV110" i="54"/>
  <c r="CU110" i="54"/>
  <c r="CX109" i="54"/>
  <c r="CW109" i="54"/>
  <c r="CV109" i="54"/>
  <c r="CX108" i="54"/>
  <c r="CW108" i="54"/>
  <c r="CV108" i="54"/>
  <c r="CX107" i="54"/>
  <c r="CW107" i="54"/>
  <c r="CV107" i="54"/>
  <c r="CX106" i="54"/>
  <c r="CW106" i="54"/>
  <c r="CV106" i="54"/>
  <c r="CX105" i="54"/>
  <c r="CW105" i="54"/>
  <c r="CV105" i="54"/>
  <c r="CX104" i="54"/>
  <c r="CW104" i="54"/>
  <c r="CV104" i="54"/>
  <c r="CX103" i="54"/>
  <c r="CW103" i="54"/>
  <c r="CV103" i="54"/>
  <c r="CX102" i="54"/>
  <c r="CW102" i="54"/>
  <c r="CV102" i="54"/>
  <c r="CX101" i="54"/>
  <c r="CW101" i="54"/>
  <c r="CV101" i="54"/>
  <c r="CX100" i="54"/>
  <c r="CW100" i="54"/>
  <c r="CV100" i="54"/>
  <c r="CU100" i="54"/>
  <c r="CX99" i="54"/>
  <c r="CW99" i="54"/>
  <c r="CV99" i="54"/>
  <c r="CU99" i="54"/>
  <c r="CX98" i="54"/>
  <c r="CW98" i="54"/>
  <c r="CV98" i="54"/>
  <c r="CX97" i="54"/>
  <c r="CW97" i="54"/>
  <c r="CV97" i="54"/>
  <c r="CX96" i="54"/>
  <c r="CW96" i="54"/>
  <c r="CV96" i="54"/>
  <c r="CX95" i="54"/>
  <c r="CW95" i="54"/>
  <c r="CV95" i="54"/>
  <c r="CX94" i="54"/>
  <c r="CW94" i="54"/>
  <c r="CV94" i="54"/>
  <c r="CU94" i="54"/>
  <c r="CX93" i="54"/>
  <c r="CW93" i="54"/>
  <c r="CV93" i="54"/>
  <c r="CU93" i="54"/>
  <c r="CX92" i="54"/>
  <c r="CW92" i="54"/>
  <c r="CV92" i="54"/>
  <c r="CX91" i="54"/>
  <c r="CW91" i="54"/>
  <c r="CV91" i="54"/>
  <c r="CX90" i="54"/>
  <c r="CW90" i="54"/>
  <c r="CV90" i="54"/>
  <c r="CU90" i="54"/>
  <c r="CX89" i="54"/>
  <c r="CW89" i="54"/>
  <c r="CV89" i="54"/>
  <c r="CX88" i="54"/>
  <c r="CW88" i="54"/>
  <c r="CV88" i="54"/>
  <c r="CU88" i="54"/>
  <c r="CX87" i="54"/>
  <c r="CW87" i="54"/>
  <c r="CV87" i="54"/>
  <c r="CX86" i="54"/>
  <c r="CW86" i="54"/>
  <c r="CV86" i="54"/>
  <c r="CX85" i="54"/>
  <c r="CW85" i="54"/>
  <c r="CV85" i="54"/>
  <c r="CU85" i="54"/>
  <c r="CX84" i="54"/>
  <c r="CW84" i="54"/>
  <c r="CV84" i="54"/>
  <c r="CX83" i="54"/>
  <c r="CW83" i="54"/>
  <c r="CV83" i="54"/>
  <c r="CX82" i="54"/>
  <c r="CW82" i="54"/>
  <c r="CV82" i="54"/>
  <c r="CX81" i="54"/>
  <c r="CW81" i="54"/>
  <c r="CV81" i="54"/>
  <c r="CX80" i="54"/>
  <c r="CW80" i="54"/>
  <c r="CV80" i="54"/>
  <c r="CX79" i="54"/>
  <c r="CW79" i="54"/>
  <c r="CV79" i="54"/>
  <c r="CX78" i="54"/>
  <c r="CW78" i="54"/>
  <c r="CV78" i="54"/>
  <c r="CX77" i="54"/>
  <c r="CW77" i="54"/>
  <c r="CV77" i="54"/>
  <c r="CX76" i="54"/>
  <c r="CW76" i="54"/>
  <c r="CV76" i="54"/>
  <c r="CX75" i="54"/>
  <c r="CW75" i="54"/>
  <c r="CV75" i="54"/>
  <c r="CX74" i="54"/>
  <c r="CW74" i="54"/>
  <c r="CV74" i="54"/>
  <c r="CX73" i="54"/>
  <c r="CW73" i="54"/>
  <c r="CV73" i="54"/>
  <c r="CU73" i="54"/>
  <c r="CX72" i="54"/>
  <c r="CW72" i="54"/>
  <c r="CV72" i="54"/>
  <c r="CU72" i="54"/>
  <c r="CX71" i="54"/>
  <c r="CW71" i="54"/>
  <c r="CV71" i="54"/>
  <c r="CX70" i="54"/>
  <c r="CW70" i="54"/>
  <c r="CV70" i="54"/>
  <c r="CX69" i="54"/>
  <c r="CW69" i="54"/>
  <c r="CV69" i="54"/>
  <c r="CX68" i="54"/>
  <c r="CW68" i="54"/>
  <c r="CV68" i="54"/>
  <c r="CX67" i="54"/>
  <c r="CW67" i="54"/>
  <c r="CV67" i="54"/>
  <c r="CX66" i="54"/>
  <c r="CW66" i="54"/>
  <c r="CV66" i="54"/>
  <c r="CX65" i="54"/>
  <c r="CW65" i="54"/>
  <c r="CV65" i="54"/>
  <c r="CX64" i="54"/>
  <c r="CW64" i="54"/>
  <c r="CV64" i="54"/>
  <c r="CX63" i="54"/>
  <c r="CW63" i="54"/>
  <c r="CV63" i="54"/>
  <c r="CX62" i="54"/>
  <c r="CW62" i="54"/>
  <c r="CV62" i="54"/>
  <c r="CX61" i="54"/>
  <c r="CW61" i="54"/>
  <c r="CV61" i="54"/>
  <c r="CX60" i="54"/>
  <c r="CW60" i="54"/>
  <c r="CV60" i="54"/>
  <c r="CU60" i="54"/>
  <c r="CX59" i="54"/>
  <c r="CW59" i="54"/>
  <c r="CV59" i="54"/>
  <c r="CX58" i="54"/>
  <c r="CW58" i="54"/>
  <c r="CV58" i="54"/>
  <c r="CX57" i="54"/>
  <c r="CW57" i="54"/>
  <c r="CV57" i="54"/>
  <c r="CX56" i="54"/>
  <c r="CW56" i="54"/>
  <c r="CV56" i="54"/>
  <c r="CX55" i="54"/>
  <c r="CW55" i="54"/>
  <c r="CV55" i="54"/>
  <c r="CX54" i="54"/>
  <c r="CW54" i="54"/>
  <c r="CV54" i="54"/>
  <c r="CX53" i="54"/>
  <c r="CW53" i="54"/>
  <c r="CV53" i="54"/>
  <c r="CU53" i="54"/>
  <c r="CX52" i="54"/>
  <c r="CW52" i="54"/>
  <c r="CV52" i="54"/>
  <c r="CU52" i="54"/>
  <c r="CX51" i="54"/>
  <c r="CW51" i="54"/>
  <c r="CV51" i="54"/>
  <c r="CX50" i="54"/>
  <c r="CW50" i="54"/>
  <c r="CV50" i="54"/>
  <c r="CX49" i="54"/>
  <c r="CW49" i="54"/>
  <c r="CV49" i="54"/>
  <c r="CX48" i="54"/>
  <c r="CW48" i="54"/>
  <c r="CV48" i="54"/>
  <c r="CX47" i="54"/>
  <c r="CW47" i="54"/>
  <c r="CV47" i="54"/>
  <c r="CX46" i="54"/>
  <c r="CW46" i="54"/>
  <c r="CV46" i="54"/>
  <c r="CX45" i="54"/>
  <c r="CW45" i="54"/>
  <c r="CV45" i="54"/>
  <c r="CU45" i="54"/>
  <c r="CX44" i="54"/>
  <c r="CW44" i="54"/>
  <c r="CV44" i="54"/>
  <c r="CX43" i="54"/>
  <c r="CW43" i="54"/>
  <c r="CV43" i="54"/>
  <c r="CX42" i="54"/>
  <c r="CW42" i="54"/>
  <c r="CV42" i="54"/>
  <c r="CX41" i="54"/>
  <c r="CW41" i="54"/>
  <c r="CV41" i="54"/>
  <c r="CX40" i="54"/>
  <c r="CW40" i="54"/>
  <c r="CV40" i="54"/>
  <c r="CX39" i="54"/>
  <c r="CW39" i="54"/>
  <c r="CV39" i="54"/>
  <c r="CX38" i="54"/>
  <c r="CW38" i="54"/>
  <c r="CV38" i="54"/>
  <c r="CX37" i="54"/>
  <c r="CW37" i="54"/>
  <c r="CV37" i="54"/>
  <c r="CX36" i="54"/>
  <c r="CW36" i="54"/>
  <c r="CV36" i="54"/>
  <c r="CX35" i="54"/>
  <c r="CW35" i="54"/>
  <c r="CV35" i="54"/>
  <c r="CX34" i="54"/>
  <c r="CW34" i="54"/>
  <c r="CV34" i="54"/>
  <c r="CX33" i="54"/>
  <c r="CW33" i="54"/>
  <c r="CV33" i="54"/>
  <c r="CU33" i="54"/>
  <c r="CX32" i="54"/>
  <c r="CW32" i="54"/>
  <c r="CV32" i="54"/>
  <c r="CV31" i="54"/>
  <c r="CU31" i="54"/>
  <c r="CX30" i="54"/>
  <c r="CW30" i="54"/>
  <c r="CV30" i="54"/>
  <c r="CU30" i="54"/>
  <c r="CX29" i="54"/>
  <c r="CW29" i="54"/>
  <c r="CV29" i="54"/>
  <c r="CU29" i="54"/>
  <c r="CX28" i="54"/>
  <c r="CW28" i="54"/>
  <c r="CV28" i="54"/>
  <c r="CU28" i="54"/>
  <c r="CX27" i="54"/>
  <c r="CW27" i="54"/>
  <c r="CV27" i="54"/>
  <c r="CU27" i="54"/>
  <c r="CW26" i="54"/>
  <c r="CV26" i="54"/>
  <c r="CU26" i="54"/>
  <c r="CX25" i="54"/>
  <c r="CW25" i="54"/>
  <c r="CV25" i="54"/>
  <c r="CU25" i="54"/>
  <c r="CX24" i="54"/>
  <c r="CW24" i="54"/>
  <c r="CV24" i="54"/>
  <c r="CX23" i="54"/>
  <c r="CW23" i="54"/>
  <c r="CV23" i="54"/>
  <c r="CX22" i="54"/>
  <c r="CW22" i="54"/>
  <c r="CV22" i="54"/>
  <c r="CU22" i="54"/>
  <c r="CX21" i="54"/>
  <c r="CW21" i="54"/>
  <c r="CV21" i="54"/>
  <c r="CU21" i="54"/>
  <c r="CX20" i="54"/>
  <c r="CW20" i="54"/>
  <c r="CV20" i="54"/>
  <c r="CU20" i="54"/>
  <c r="CX19" i="54"/>
  <c r="CW19" i="54"/>
  <c r="CV19" i="54"/>
  <c r="CU19" i="54"/>
  <c r="CX18" i="54"/>
  <c r="CW18" i="54"/>
  <c r="CV18" i="54"/>
  <c r="CU18" i="54"/>
  <c r="CX17" i="54"/>
  <c r="CW17" i="54"/>
  <c r="CV17" i="54"/>
  <c r="CU17" i="54"/>
  <c r="CX16" i="54"/>
  <c r="CW16" i="54"/>
  <c r="CV16" i="54"/>
  <c r="CU16" i="54"/>
  <c r="CX15" i="54"/>
  <c r="CW15" i="54"/>
  <c r="CV15" i="54"/>
  <c r="CU15" i="54"/>
  <c r="CX14" i="54"/>
  <c r="CW14" i="54"/>
  <c r="CV14" i="54"/>
  <c r="CU14" i="54"/>
  <c r="CX13" i="54"/>
  <c r="CW13" i="54"/>
  <c r="CV13" i="54"/>
  <c r="CX12" i="54"/>
  <c r="CW12" i="54"/>
  <c r="CV12" i="54"/>
  <c r="CU12" i="54"/>
  <c r="CX11" i="54"/>
  <c r="CW11" i="54"/>
  <c r="CV11" i="54"/>
  <c r="CU11" i="54"/>
  <c r="CX10" i="54"/>
  <c r="CW10" i="54"/>
  <c r="CV10" i="54"/>
  <c r="CX9" i="54"/>
  <c r="CW9" i="54"/>
  <c r="CV9" i="54"/>
  <c r="CX8" i="54"/>
  <c r="CW8" i="54"/>
  <c r="CV8" i="54"/>
  <c r="CX7" i="54"/>
  <c r="CW7" i="54"/>
  <c r="CV7" i="54"/>
  <c r="CX6" i="54"/>
  <c r="CW6" i="54"/>
  <c r="CV6" i="54"/>
  <c r="CX5" i="54"/>
  <c r="CW5" i="54"/>
  <c r="CV5" i="54"/>
  <c r="J168" i="37" l="1"/>
  <c r="O31" i="53"/>
  <c r="I293" i="34" l="1"/>
  <c r="CX165" i="54" l="1"/>
  <c r="CW165" i="54"/>
  <c r="CV165" i="54"/>
  <c r="CU165" i="54"/>
  <c r="CI163" i="54"/>
  <c r="CI164" i="54" s="1"/>
  <c r="BO163" i="54"/>
  <c r="AI163" i="54"/>
  <c r="O163" i="54"/>
  <c r="K163" i="54"/>
  <c r="CT161" i="54" l="1"/>
  <c r="CS161" i="54"/>
  <c r="CR161" i="54"/>
  <c r="CQ161" i="54"/>
  <c r="CQ164" i="54" s="1"/>
  <c r="CP161" i="54"/>
  <c r="CO161" i="54"/>
  <c r="CN161" i="54"/>
  <c r="CM161" i="54"/>
  <c r="CH161" i="54"/>
  <c r="CJ164" i="54" s="1"/>
  <c r="CG161" i="54"/>
  <c r="CF161" i="54"/>
  <c r="CE161" i="54"/>
  <c r="CD161" i="54"/>
  <c r="CC161" i="54"/>
  <c r="CB161" i="54"/>
  <c r="CA161" i="54"/>
  <c r="BZ161" i="54"/>
  <c r="BY161" i="54"/>
  <c r="BX161" i="54"/>
  <c r="BT161" i="54"/>
  <c r="BR161" i="54"/>
  <c r="BQ161" i="54"/>
  <c r="BQ164" i="54" s="1"/>
  <c r="BP161" i="54"/>
  <c r="BP164" i="54" s="1"/>
  <c r="BO161" i="54"/>
  <c r="BO164" i="54" s="1"/>
  <c r="BN161" i="54"/>
  <c r="BM161" i="54"/>
  <c r="BL161" i="54"/>
  <c r="BK161" i="54"/>
  <c r="BJ161" i="54"/>
  <c r="BI161" i="54"/>
  <c r="BH161" i="54"/>
  <c r="BG161" i="54"/>
  <c r="BF161" i="54"/>
  <c r="BE161" i="54"/>
  <c r="BD161" i="54"/>
  <c r="BC161" i="54"/>
  <c r="BB161" i="54"/>
  <c r="BA161" i="54"/>
  <c r="AZ161" i="54"/>
  <c r="AY161" i="54"/>
  <c r="AX161" i="54"/>
  <c r="AW161" i="54"/>
  <c r="AV161" i="54"/>
  <c r="AU161" i="54"/>
  <c r="AT161" i="54"/>
  <c r="AS161" i="54"/>
  <c r="AR161" i="54"/>
  <c r="AQ161" i="54"/>
  <c r="AP161" i="54"/>
  <c r="AO161" i="54"/>
  <c r="AN161" i="54"/>
  <c r="AL161" i="54"/>
  <c r="AK161" i="54"/>
  <c r="AJ161" i="54"/>
  <c r="AI161" i="54"/>
  <c r="AI164" i="54" s="1"/>
  <c r="AH161" i="54"/>
  <c r="AG161" i="54"/>
  <c r="AF161" i="54"/>
  <c r="AE161" i="54"/>
  <c r="AD161" i="54"/>
  <c r="AC161" i="54"/>
  <c r="AB161" i="54"/>
  <c r="AA161" i="54"/>
  <c r="Z161" i="54"/>
  <c r="Y161" i="54"/>
  <c r="X161" i="54"/>
  <c r="W161" i="54"/>
  <c r="V161" i="54"/>
  <c r="U161" i="54"/>
  <c r="T161" i="54"/>
  <c r="S161" i="54"/>
  <c r="T1" i="54" s="1"/>
  <c r="R161" i="54"/>
  <c r="Q161" i="54"/>
  <c r="P161" i="54"/>
  <c r="O161" i="54"/>
  <c r="N161" i="54"/>
  <c r="M161" i="54"/>
  <c r="L161" i="54"/>
  <c r="K161" i="54"/>
  <c r="J161" i="54"/>
  <c r="I161" i="54"/>
  <c r="H161" i="54"/>
  <c r="G161" i="54"/>
  <c r="E161" i="54"/>
  <c r="D161" i="54"/>
  <c r="C161" i="54"/>
  <c r="B161" i="54"/>
  <c r="DD160" i="54"/>
  <c r="DC160" i="54"/>
  <c r="DB160" i="54"/>
  <c r="DC159" i="54"/>
  <c r="DD159" i="54"/>
  <c r="DB159" i="54"/>
  <c r="BW159" i="54"/>
  <c r="CU159" i="54" s="1"/>
  <c r="DD158" i="54"/>
  <c r="DC158" i="54"/>
  <c r="DB158" i="54"/>
  <c r="BW158" i="54"/>
  <c r="CU158" i="54" s="1"/>
  <c r="DC157" i="54"/>
  <c r="DD157" i="54"/>
  <c r="DB157" i="54"/>
  <c r="BW157" i="54"/>
  <c r="CU157" i="54" s="1"/>
  <c r="DB156" i="54"/>
  <c r="DD156" i="54"/>
  <c r="DC156" i="54"/>
  <c r="BW156" i="54"/>
  <c r="CU156" i="54" s="1"/>
  <c r="DD155" i="54"/>
  <c r="DC155" i="54"/>
  <c r="DB155" i="54"/>
  <c r="BW155" i="54"/>
  <c r="CU155" i="54" s="1"/>
  <c r="DC154" i="54"/>
  <c r="DD154" i="54"/>
  <c r="DB154" i="54"/>
  <c r="BW154" i="54"/>
  <c r="CU154" i="54" s="1"/>
  <c r="DD153" i="54"/>
  <c r="DC153" i="54"/>
  <c r="DB153" i="54"/>
  <c r="DB152" i="54"/>
  <c r="DD152" i="54"/>
  <c r="DC152" i="54"/>
  <c r="BS152" i="54"/>
  <c r="CU152" i="54" s="1"/>
  <c r="DD151" i="54"/>
  <c r="DC151" i="54"/>
  <c r="DB151" i="54"/>
  <c r="BS151" i="54"/>
  <c r="CU151" i="54" s="1"/>
  <c r="DB150" i="54"/>
  <c r="DD150" i="54"/>
  <c r="DC150" i="54"/>
  <c r="BS150" i="54"/>
  <c r="CU150" i="54" s="1"/>
  <c r="DD149" i="54"/>
  <c r="DC149" i="54"/>
  <c r="DB149" i="54"/>
  <c r="BS149" i="54"/>
  <c r="CU149" i="54" s="1"/>
  <c r="DB148" i="54"/>
  <c r="DD148" i="54"/>
  <c r="DC148" i="54"/>
  <c r="BS148" i="54"/>
  <c r="CU148" i="54" s="1"/>
  <c r="DD147" i="54"/>
  <c r="DC147" i="54"/>
  <c r="DB147" i="54"/>
  <c r="BS147" i="54"/>
  <c r="CU147" i="54" s="1"/>
  <c r="DB146" i="54"/>
  <c r="DD146" i="54"/>
  <c r="DC146" i="54"/>
  <c r="BS146" i="54"/>
  <c r="CU146" i="54" s="1"/>
  <c r="DD145" i="54"/>
  <c r="DC145" i="54"/>
  <c r="DB145" i="54"/>
  <c r="BS145" i="54"/>
  <c r="CU145" i="54" s="1"/>
  <c r="DD144" i="54"/>
  <c r="DC144" i="54"/>
  <c r="DB144" i="54"/>
  <c r="BS144" i="54"/>
  <c r="CU144" i="54" s="1"/>
  <c r="DD143" i="54"/>
  <c r="DC143" i="54"/>
  <c r="DB143" i="54"/>
  <c r="BS143" i="54"/>
  <c r="CU143" i="54" s="1"/>
  <c r="DD142" i="54"/>
  <c r="DC142" i="54"/>
  <c r="DB142" i="54"/>
  <c r="BS142" i="54"/>
  <c r="CU142" i="54" s="1"/>
  <c r="DD141" i="54"/>
  <c r="DC141" i="54"/>
  <c r="DB141" i="54"/>
  <c r="BS141" i="54"/>
  <c r="CU141" i="54" s="1"/>
  <c r="DD140" i="54"/>
  <c r="DC140" i="54"/>
  <c r="DB140" i="54"/>
  <c r="BS140" i="54"/>
  <c r="CU140" i="54" s="1"/>
  <c r="DD139" i="54"/>
  <c r="DC139" i="54"/>
  <c r="DB139" i="54"/>
  <c r="BS139" i="54"/>
  <c r="CU139" i="54" s="1"/>
  <c r="DD138" i="54"/>
  <c r="DC138" i="54"/>
  <c r="DB138" i="54"/>
  <c r="BS138" i="54"/>
  <c r="CU138" i="54" s="1"/>
  <c r="DD137" i="54"/>
  <c r="DC137" i="54"/>
  <c r="DB137" i="54"/>
  <c r="BS137" i="54"/>
  <c r="CU137" i="54" s="1"/>
  <c r="DD136" i="54"/>
  <c r="DC136" i="54"/>
  <c r="DB136" i="54"/>
  <c r="BS136" i="54"/>
  <c r="CU136" i="54" s="1"/>
  <c r="DD135" i="54"/>
  <c r="DC135" i="54"/>
  <c r="DB135" i="54"/>
  <c r="BS135" i="54"/>
  <c r="CU135" i="54" s="1"/>
  <c r="DD134" i="54"/>
  <c r="DC134" i="54"/>
  <c r="DB134" i="54"/>
  <c r="BS134" i="54"/>
  <c r="CU134" i="54" s="1"/>
  <c r="DD133" i="54"/>
  <c r="DC133" i="54"/>
  <c r="DB133" i="54"/>
  <c r="BS133" i="54"/>
  <c r="CU133" i="54" s="1"/>
  <c r="DD132" i="54"/>
  <c r="DC132" i="54"/>
  <c r="DB132" i="54"/>
  <c r="BS132" i="54"/>
  <c r="CU132" i="54" s="1"/>
  <c r="DD131" i="54"/>
  <c r="DC131" i="54"/>
  <c r="DB131" i="54"/>
  <c r="BS131" i="54"/>
  <c r="CU131" i="54" s="1"/>
  <c r="DD130" i="54"/>
  <c r="DC130" i="54"/>
  <c r="DB130" i="54"/>
  <c r="BS130" i="54"/>
  <c r="CU130" i="54" s="1"/>
  <c r="DD129" i="54"/>
  <c r="DC129" i="54"/>
  <c r="DB129" i="54"/>
  <c r="BS129" i="54"/>
  <c r="CU129" i="54" s="1"/>
  <c r="DD128" i="54"/>
  <c r="DC128" i="54"/>
  <c r="DB128" i="54"/>
  <c r="BS128" i="54"/>
  <c r="CU128" i="54" s="1"/>
  <c r="DD127" i="54"/>
  <c r="DC127" i="54"/>
  <c r="DB127" i="54"/>
  <c r="BS127" i="54"/>
  <c r="CU127" i="54" s="1"/>
  <c r="DD126" i="54"/>
  <c r="DC126" i="54"/>
  <c r="DB126" i="54"/>
  <c r="BS126" i="54"/>
  <c r="CU126" i="54" s="1"/>
  <c r="DD125" i="54"/>
  <c r="DC125" i="54"/>
  <c r="DB125" i="54"/>
  <c r="BS125" i="54"/>
  <c r="CU125" i="54" s="1"/>
  <c r="DD124" i="54"/>
  <c r="DC124" i="54"/>
  <c r="DB124" i="54"/>
  <c r="BS124" i="54"/>
  <c r="CU124" i="54" s="1"/>
  <c r="DD123" i="54"/>
  <c r="DC123" i="54"/>
  <c r="DB123" i="54"/>
  <c r="BS123" i="54"/>
  <c r="CU123" i="54" s="1"/>
  <c r="DD122" i="54"/>
  <c r="DC122" i="54"/>
  <c r="DB122" i="54"/>
  <c r="BS122" i="54"/>
  <c r="CU122" i="54" s="1"/>
  <c r="DD121" i="54"/>
  <c r="DC121" i="54"/>
  <c r="DB121" i="54"/>
  <c r="BS121" i="54"/>
  <c r="CU121" i="54" s="1"/>
  <c r="DD120" i="54"/>
  <c r="DC120" i="54"/>
  <c r="DB120" i="54"/>
  <c r="BS120" i="54"/>
  <c r="CU120" i="54" s="1"/>
  <c r="DD119" i="54"/>
  <c r="DC119" i="54"/>
  <c r="DB119" i="54"/>
  <c r="BS119" i="54"/>
  <c r="CU119" i="54" s="1"/>
  <c r="DD118" i="54"/>
  <c r="DC118" i="54"/>
  <c r="DB118" i="54"/>
  <c r="BS118" i="54"/>
  <c r="CU118" i="54" s="1"/>
  <c r="DD117" i="54"/>
  <c r="DC117" i="54"/>
  <c r="DB117" i="54"/>
  <c r="BS117" i="54"/>
  <c r="CU117" i="54" s="1"/>
  <c r="DD116" i="54"/>
  <c r="DC116" i="54"/>
  <c r="DB116" i="54"/>
  <c r="BS116" i="54"/>
  <c r="CU116" i="54" s="1"/>
  <c r="DD115" i="54"/>
  <c r="DC115" i="54"/>
  <c r="DB115" i="54"/>
  <c r="BS115" i="54"/>
  <c r="CU115" i="54" s="1"/>
  <c r="DD114" i="54"/>
  <c r="DC114" i="54"/>
  <c r="DB114" i="54"/>
  <c r="BS114" i="54"/>
  <c r="CU114" i="54" s="1"/>
  <c r="DD113" i="54"/>
  <c r="DC113" i="54"/>
  <c r="DB113" i="54"/>
  <c r="DD112" i="54"/>
  <c r="DC112" i="54"/>
  <c r="DB112" i="54"/>
  <c r="DD111" i="54"/>
  <c r="DC111" i="54"/>
  <c r="DB111" i="54"/>
  <c r="DC110" i="54"/>
  <c r="DD110" i="54"/>
  <c r="DB110" i="54"/>
  <c r="DB109" i="54"/>
  <c r="DD109" i="54"/>
  <c r="DC109" i="54"/>
  <c r="BS109" i="54"/>
  <c r="CU109" i="54" s="1"/>
  <c r="DB108" i="54"/>
  <c r="DD108" i="54"/>
  <c r="DC108" i="54"/>
  <c r="BS108" i="54"/>
  <c r="CU108" i="54" s="1"/>
  <c r="DB107" i="54"/>
  <c r="DD107" i="54"/>
  <c r="DC107" i="54"/>
  <c r="BS107" i="54"/>
  <c r="CU107" i="54" s="1"/>
  <c r="DB106" i="54"/>
  <c r="DD106" i="54"/>
  <c r="DC106" i="54"/>
  <c r="BS106" i="54"/>
  <c r="CU106" i="54" s="1"/>
  <c r="DB105" i="54"/>
  <c r="DD105" i="54"/>
  <c r="DC105" i="54"/>
  <c r="BS105" i="54"/>
  <c r="CU105" i="54" s="1"/>
  <c r="DB104" i="54"/>
  <c r="DD104" i="54"/>
  <c r="DC104" i="54"/>
  <c r="BS104" i="54"/>
  <c r="CU104" i="54" s="1"/>
  <c r="DB103" i="54"/>
  <c r="DD103" i="54"/>
  <c r="DC103" i="54"/>
  <c r="BS103" i="54"/>
  <c r="CU103" i="54" s="1"/>
  <c r="DB102" i="54"/>
  <c r="DD102" i="54"/>
  <c r="DC102" i="54"/>
  <c r="BS102" i="54"/>
  <c r="CU102" i="54" s="1"/>
  <c r="DB101" i="54"/>
  <c r="DD101" i="54"/>
  <c r="DC101" i="54"/>
  <c r="BS101" i="54"/>
  <c r="CU101" i="54" s="1"/>
  <c r="DB100" i="54"/>
  <c r="DD100" i="54"/>
  <c r="DC100" i="54"/>
  <c r="DC99" i="54"/>
  <c r="DD99" i="54"/>
  <c r="DB99" i="54"/>
  <c r="DD98" i="54"/>
  <c r="DC98" i="54"/>
  <c r="DB98" i="54"/>
  <c r="BS98" i="54"/>
  <c r="CU98" i="54" s="1"/>
  <c r="DD97" i="54"/>
  <c r="DB97" i="54"/>
  <c r="DC97" i="54"/>
  <c r="BS97" i="54"/>
  <c r="CU97" i="54" s="1"/>
  <c r="DD96" i="54"/>
  <c r="DC96" i="54"/>
  <c r="DB96" i="54"/>
  <c r="BS96" i="54"/>
  <c r="CU96" i="54" s="1"/>
  <c r="DB95" i="54"/>
  <c r="DD95" i="54"/>
  <c r="DC95" i="54"/>
  <c r="BS95" i="54"/>
  <c r="CU95" i="54" s="1"/>
  <c r="DD94" i="54"/>
  <c r="DC94" i="54"/>
  <c r="DB94" i="54"/>
  <c r="DC93" i="54"/>
  <c r="DD93" i="54"/>
  <c r="DB93" i="54"/>
  <c r="DD92" i="54"/>
  <c r="DB92" i="54"/>
  <c r="DC92" i="54"/>
  <c r="BS92" i="54"/>
  <c r="CU92" i="54" s="1"/>
  <c r="DD91" i="54"/>
  <c r="DC91" i="54"/>
  <c r="DB91" i="54"/>
  <c r="BS91" i="54"/>
  <c r="CU91" i="54" s="1"/>
  <c r="DB90" i="54"/>
  <c r="DD90" i="54"/>
  <c r="DC90" i="54"/>
  <c r="DC89" i="54"/>
  <c r="DD89" i="54"/>
  <c r="DB89" i="54"/>
  <c r="BS89" i="54"/>
  <c r="CU89" i="54" s="1"/>
  <c r="DD88" i="54"/>
  <c r="DC88" i="54"/>
  <c r="DB88" i="54"/>
  <c r="DB87" i="54"/>
  <c r="DD87" i="54"/>
  <c r="DC87" i="54"/>
  <c r="BS87" i="54"/>
  <c r="CU87" i="54" s="1"/>
  <c r="DD86" i="54"/>
  <c r="DC86" i="54"/>
  <c r="DB86" i="54"/>
  <c r="BS86" i="54"/>
  <c r="CU86" i="54" s="1"/>
  <c r="DD85" i="54"/>
  <c r="DB85" i="54"/>
  <c r="DC85" i="54"/>
  <c r="DD84" i="54"/>
  <c r="DC84" i="54"/>
  <c r="DB84" i="54"/>
  <c r="BS84" i="54"/>
  <c r="CU84" i="54" s="1"/>
  <c r="DC83" i="54"/>
  <c r="DD83" i="54"/>
  <c r="DB83" i="54"/>
  <c r="BS83" i="54"/>
  <c r="CU83" i="54" s="1"/>
  <c r="DC82" i="54"/>
  <c r="DD82" i="54"/>
  <c r="DB82" i="54"/>
  <c r="BS82" i="54"/>
  <c r="CU82" i="54" s="1"/>
  <c r="DD81" i="54"/>
  <c r="DC81" i="54"/>
  <c r="DB81" i="54"/>
  <c r="BS81" i="54"/>
  <c r="CU81" i="54" s="1"/>
  <c r="DD80" i="54"/>
  <c r="DC80" i="54"/>
  <c r="DB80" i="54"/>
  <c r="BS80" i="54"/>
  <c r="CU80" i="54" s="1"/>
  <c r="DC79" i="54"/>
  <c r="DD79" i="54"/>
  <c r="DB79" i="54"/>
  <c r="BS79" i="54"/>
  <c r="CU79" i="54" s="1"/>
  <c r="DC78" i="54"/>
  <c r="DD78" i="54"/>
  <c r="DB78" i="54"/>
  <c r="BS78" i="54"/>
  <c r="CU78" i="54" s="1"/>
  <c r="DD77" i="54"/>
  <c r="DC77" i="54"/>
  <c r="DB77" i="54"/>
  <c r="BS77" i="54"/>
  <c r="CU77" i="54" s="1"/>
  <c r="DD76" i="54"/>
  <c r="DC76" i="54"/>
  <c r="DB76" i="54"/>
  <c r="BS76" i="54"/>
  <c r="CU76" i="54" s="1"/>
  <c r="DC75" i="54"/>
  <c r="DD75" i="54"/>
  <c r="DB75" i="54"/>
  <c r="BS75" i="54"/>
  <c r="CU75" i="54" s="1"/>
  <c r="DC74" i="54"/>
  <c r="DD74" i="54"/>
  <c r="DB74" i="54"/>
  <c r="BS74" i="54"/>
  <c r="CU74" i="54" s="1"/>
  <c r="DD73" i="54"/>
  <c r="DC73" i="54"/>
  <c r="DB73" i="54"/>
  <c r="DB72" i="54"/>
  <c r="DD72" i="54"/>
  <c r="DC72" i="54"/>
  <c r="DC71" i="54"/>
  <c r="DD71" i="54"/>
  <c r="DB71" i="54"/>
  <c r="BS71" i="54"/>
  <c r="CU71" i="54" s="1"/>
  <c r="DD70" i="54"/>
  <c r="DC70" i="54"/>
  <c r="DB70" i="54"/>
  <c r="BS70" i="54"/>
  <c r="CU70" i="54" s="1"/>
  <c r="DD69" i="54"/>
  <c r="DC69" i="54"/>
  <c r="DB69" i="54"/>
  <c r="BS69" i="54"/>
  <c r="CU69" i="54" s="1"/>
  <c r="DC68" i="54"/>
  <c r="DD68" i="54"/>
  <c r="DB68" i="54"/>
  <c r="BS68" i="54"/>
  <c r="CU68" i="54" s="1"/>
  <c r="DC67" i="54"/>
  <c r="DD67" i="54"/>
  <c r="DB67" i="54"/>
  <c r="BS67" i="54"/>
  <c r="CU67" i="54" s="1"/>
  <c r="DD66" i="54"/>
  <c r="DC66" i="54"/>
  <c r="DB66" i="54"/>
  <c r="BS66" i="54"/>
  <c r="CU66" i="54" s="1"/>
  <c r="DD65" i="54"/>
  <c r="DC65" i="54"/>
  <c r="DB65" i="54"/>
  <c r="BS65" i="54"/>
  <c r="CU65" i="54" s="1"/>
  <c r="DC64" i="54"/>
  <c r="DD64" i="54"/>
  <c r="DB64" i="54"/>
  <c r="BS64" i="54"/>
  <c r="CU64" i="54" s="1"/>
  <c r="DC63" i="54"/>
  <c r="DD63" i="54"/>
  <c r="DB63" i="54"/>
  <c r="BS63" i="54"/>
  <c r="CU63" i="54" s="1"/>
  <c r="DD62" i="54"/>
  <c r="DC62" i="54"/>
  <c r="DB62" i="54"/>
  <c r="BS62" i="54"/>
  <c r="CU62" i="54" s="1"/>
  <c r="DD61" i="54"/>
  <c r="DC61" i="54"/>
  <c r="DB61" i="54"/>
  <c r="BS61" i="54"/>
  <c r="CU61" i="54" s="1"/>
  <c r="DC60" i="54"/>
  <c r="DD60" i="54"/>
  <c r="DB60" i="54"/>
  <c r="DD59" i="54"/>
  <c r="DB59" i="54"/>
  <c r="DC59" i="54"/>
  <c r="BS59" i="54"/>
  <c r="CU59" i="54" s="1"/>
  <c r="DD58" i="54"/>
  <c r="DC58" i="54"/>
  <c r="DB58" i="54"/>
  <c r="BS58" i="54"/>
  <c r="CU58" i="54" s="1"/>
  <c r="DB57" i="54"/>
  <c r="DD57" i="54"/>
  <c r="DC57" i="54"/>
  <c r="BS57" i="54"/>
  <c r="CU57" i="54" s="1"/>
  <c r="DD56" i="54"/>
  <c r="DC56" i="54"/>
  <c r="DB56" i="54"/>
  <c r="BS56" i="54"/>
  <c r="CU56" i="54" s="1"/>
  <c r="DD55" i="54"/>
  <c r="DB55" i="54"/>
  <c r="DC55" i="54"/>
  <c r="BS55" i="54"/>
  <c r="CU55" i="54" s="1"/>
  <c r="DD54" i="54"/>
  <c r="DC54" i="54"/>
  <c r="DB54" i="54"/>
  <c r="BS54" i="54"/>
  <c r="CU54" i="54" s="1"/>
  <c r="DB53" i="54"/>
  <c r="DD53" i="54"/>
  <c r="DC53" i="54"/>
  <c r="DC52" i="54"/>
  <c r="DD52" i="54"/>
  <c r="DB52" i="54"/>
  <c r="DD51" i="54"/>
  <c r="DC51" i="54"/>
  <c r="DB51" i="54"/>
  <c r="BS51" i="54"/>
  <c r="CU51" i="54" s="1"/>
  <c r="DD50" i="54"/>
  <c r="DB50" i="54"/>
  <c r="DC50" i="54"/>
  <c r="BS50" i="54"/>
  <c r="CU50" i="54" s="1"/>
  <c r="DB49" i="54"/>
  <c r="DD49" i="54"/>
  <c r="DC49" i="54"/>
  <c r="BS49" i="54"/>
  <c r="CU49" i="54" s="1"/>
  <c r="DB48" i="54"/>
  <c r="DD48" i="54"/>
  <c r="DC48" i="54"/>
  <c r="BS48" i="54"/>
  <c r="CU48" i="54" s="1"/>
  <c r="DD47" i="54"/>
  <c r="DC47" i="54"/>
  <c r="DB47" i="54"/>
  <c r="BS47" i="54"/>
  <c r="CU47" i="54" s="1"/>
  <c r="DD46" i="54"/>
  <c r="DB46" i="54"/>
  <c r="DC46" i="54"/>
  <c r="BS46" i="54"/>
  <c r="CU46" i="54" s="1"/>
  <c r="DB45" i="54"/>
  <c r="DD45" i="54"/>
  <c r="DC45" i="54"/>
  <c r="DD44" i="54"/>
  <c r="DC44" i="54"/>
  <c r="DB44" i="54"/>
  <c r="BS44" i="54"/>
  <c r="CU44" i="54" s="1"/>
  <c r="DD43" i="54"/>
  <c r="DC43" i="54"/>
  <c r="DB43" i="54"/>
  <c r="BS43" i="54"/>
  <c r="CU43" i="54" s="1"/>
  <c r="DD42" i="54"/>
  <c r="DC42" i="54"/>
  <c r="DB42" i="54"/>
  <c r="BS42" i="54"/>
  <c r="CU42" i="54" s="1"/>
  <c r="DC41" i="54"/>
  <c r="DD41" i="54"/>
  <c r="DB41" i="54"/>
  <c r="BS41" i="54"/>
  <c r="CU41" i="54" s="1"/>
  <c r="DD40" i="54"/>
  <c r="DC40" i="54"/>
  <c r="DB40" i="54"/>
  <c r="BS40" i="54"/>
  <c r="CU40" i="54" s="1"/>
  <c r="DD39" i="54"/>
  <c r="DC39" i="54"/>
  <c r="DB39" i="54"/>
  <c r="BS39" i="54"/>
  <c r="CU39" i="54" s="1"/>
  <c r="DD38" i="54"/>
  <c r="DC38" i="54"/>
  <c r="DB38" i="54"/>
  <c r="BS38" i="54"/>
  <c r="CU38" i="54" s="1"/>
  <c r="DC37" i="54"/>
  <c r="DD37" i="54"/>
  <c r="DB37" i="54"/>
  <c r="BS37" i="54"/>
  <c r="CU37" i="54" s="1"/>
  <c r="DD36" i="54"/>
  <c r="DC36" i="54"/>
  <c r="DB36" i="54"/>
  <c r="BS36" i="54"/>
  <c r="CU36" i="54" s="1"/>
  <c r="DD35" i="54"/>
  <c r="DC35" i="54"/>
  <c r="DB35" i="54"/>
  <c r="BS35" i="54"/>
  <c r="CU35" i="54" s="1"/>
  <c r="DD34" i="54"/>
  <c r="DB34" i="54"/>
  <c r="DC34" i="54"/>
  <c r="BS34" i="54"/>
  <c r="CU34" i="54" s="1"/>
  <c r="DD33" i="54"/>
  <c r="DC33" i="54"/>
  <c r="DB33" i="54"/>
  <c r="DD32" i="54"/>
  <c r="DC32" i="54"/>
  <c r="DB32" i="54"/>
  <c r="BS32" i="54"/>
  <c r="CU32" i="54" s="1"/>
  <c r="DB31" i="54"/>
  <c r="BU31" i="54"/>
  <c r="CW31" i="54" s="1"/>
  <c r="F31" i="54"/>
  <c r="DD30" i="54"/>
  <c r="DC30" i="54"/>
  <c r="DB30" i="54"/>
  <c r="DD29" i="54"/>
  <c r="DB29" i="54"/>
  <c r="DC29" i="54"/>
  <c r="DD28" i="54"/>
  <c r="DC28" i="54"/>
  <c r="DB28" i="54"/>
  <c r="DD27" i="54"/>
  <c r="DC27" i="54"/>
  <c r="DB27" i="54"/>
  <c r="CY26" i="54"/>
  <c r="CY161" i="54" s="1"/>
  <c r="BV26" i="54"/>
  <c r="CX26" i="54" s="1"/>
  <c r="DB25" i="54"/>
  <c r="DD25" i="54"/>
  <c r="DC25" i="54"/>
  <c r="DC24" i="54"/>
  <c r="DD24" i="54"/>
  <c r="DB24" i="54"/>
  <c r="BS24" i="54"/>
  <c r="CU24" i="54" s="1"/>
  <c r="DD23" i="54"/>
  <c r="DC23" i="54"/>
  <c r="DB23" i="54"/>
  <c r="BS23" i="54"/>
  <c r="CU23" i="54" s="1"/>
  <c r="DD22" i="54"/>
  <c r="DC22" i="54"/>
  <c r="DB22" i="54"/>
  <c r="DB21" i="54"/>
  <c r="DD21" i="54"/>
  <c r="DC21" i="54"/>
  <c r="DC20" i="54"/>
  <c r="DD20" i="54"/>
  <c r="DB20" i="54"/>
  <c r="DD19" i="54"/>
  <c r="DC19" i="54"/>
  <c r="DB19" i="54"/>
  <c r="DD18" i="54"/>
  <c r="DC18" i="54"/>
  <c r="DB18" i="54"/>
  <c r="DD17" i="54"/>
  <c r="DC17" i="54"/>
  <c r="DB17" i="54"/>
  <c r="DD16" i="54"/>
  <c r="DC16" i="54"/>
  <c r="DB16" i="54"/>
  <c r="DB15" i="54"/>
  <c r="DD15" i="54"/>
  <c r="DC15" i="54"/>
  <c r="DC14" i="54"/>
  <c r="DD14" i="54"/>
  <c r="DB14" i="54"/>
  <c r="DB13" i="54"/>
  <c r="DD13" i="54"/>
  <c r="DC13" i="54"/>
  <c r="AM13" i="54"/>
  <c r="CU13" i="54" s="1"/>
  <c r="DD12" i="54"/>
  <c r="DC12" i="54"/>
  <c r="DB12" i="54"/>
  <c r="DD11" i="54"/>
  <c r="DC11" i="54"/>
  <c r="DB11" i="54"/>
  <c r="DD10" i="54"/>
  <c r="DC10" i="54"/>
  <c r="DB10" i="54"/>
  <c r="AM10" i="54"/>
  <c r="CU10" i="54" s="1"/>
  <c r="DB9" i="54"/>
  <c r="DD9" i="54"/>
  <c r="DC9" i="54"/>
  <c r="AM9" i="54"/>
  <c r="CU9" i="54" s="1"/>
  <c r="DB8" i="54"/>
  <c r="DD8" i="54"/>
  <c r="DC8" i="54"/>
  <c r="AM8" i="54"/>
  <c r="CU8" i="54" s="1"/>
  <c r="DD7" i="54"/>
  <c r="DC7" i="54"/>
  <c r="DB7" i="54"/>
  <c r="AM7" i="54"/>
  <c r="CU7" i="54" s="1"/>
  <c r="DD6" i="54"/>
  <c r="DC6" i="54"/>
  <c r="DB6" i="54"/>
  <c r="AM6" i="54"/>
  <c r="CU6" i="54" s="1"/>
  <c r="DB5" i="54"/>
  <c r="DD5" i="54"/>
  <c r="DC5" i="54"/>
  <c r="AM5" i="54"/>
  <c r="CU5" i="54" s="1"/>
  <c r="CY4" i="54"/>
  <c r="CT4" i="54"/>
  <c r="CS4" i="54"/>
  <c r="CR4" i="54"/>
  <c r="CD4" i="54"/>
  <c r="CC4" i="54"/>
  <c r="CB4" i="54"/>
  <c r="BZ4" i="54"/>
  <c r="BY4" i="54"/>
  <c r="BX4" i="54"/>
  <c r="BT4" i="54"/>
  <c r="BR4" i="54"/>
  <c r="BQ4" i="54"/>
  <c r="BP4" i="54"/>
  <c r="BO4" i="54"/>
  <c r="BN4" i="54"/>
  <c r="BM4" i="54"/>
  <c r="BL4" i="54"/>
  <c r="BK4" i="54"/>
  <c r="BJ4" i="54"/>
  <c r="BI4" i="54"/>
  <c r="BH4" i="54"/>
  <c r="BG4" i="54"/>
  <c r="BG1" i="54" s="1"/>
  <c r="BF4" i="54"/>
  <c r="BE4" i="54"/>
  <c r="BD4" i="54"/>
  <c r="BC4" i="54"/>
  <c r="BC1" i="54" s="1"/>
  <c r="BB4" i="54"/>
  <c r="BA4" i="54"/>
  <c r="AZ4" i="54"/>
  <c r="AY4" i="54"/>
  <c r="AY1" i="54" s="1"/>
  <c r="AX4" i="54"/>
  <c r="AW4" i="54"/>
  <c r="AV4" i="54"/>
  <c r="AU4" i="54"/>
  <c r="AU1" i="54" s="1"/>
  <c r="AT4" i="54"/>
  <c r="AS4" i="54"/>
  <c r="AR4" i="54"/>
  <c r="AQ4" i="54"/>
  <c r="AQ1" i="54" s="1"/>
  <c r="AP4" i="54"/>
  <c r="AO4" i="54"/>
  <c r="AN4" i="54"/>
  <c r="AL4" i="54"/>
  <c r="AK4" i="54"/>
  <c r="AJ4" i="54"/>
  <c r="AI4" i="54"/>
  <c r="AH4" i="54"/>
  <c r="AG4" i="54"/>
  <c r="AF4" i="54"/>
  <c r="AE4" i="54"/>
  <c r="AE1" i="54" s="1"/>
  <c r="AD4" i="54"/>
  <c r="AC4" i="54"/>
  <c r="AB4" i="54"/>
  <c r="AA4" i="54"/>
  <c r="AA1" i="54" s="1"/>
  <c r="Z4" i="54"/>
  <c r="Y4" i="54"/>
  <c r="X4" i="54"/>
  <c r="W4" i="54"/>
  <c r="W1" i="54" s="1"/>
  <c r="V4" i="54"/>
  <c r="U4" i="54"/>
  <c r="T4" i="54"/>
  <c r="S4" i="54"/>
  <c r="R4" i="54"/>
  <c r="Q4" i="54"/>
  <c r="P4" i="54"/>
  <c r="O4" i="54"/>
  <c r="N4" i="54"/>
  <c r="M4" i="54"/>
  <c r="L4" i="54"/>
  <c r="K4" i="54"/>
  <c r="J4" i="54"/>
  <c r="I4" i="54"/>
  <c r="H4" i="54"/>
  <c r="G4" i="54"/>
  <c r="G1" i="54" s="1"/>
  <c r="E4" i="54"/>
  <c r="D4" i="54"/>
  <c r="C4" i="54"/>
  <c r="B4" i="54"/>
  <c r="CQ1" i="54"/>
  <c r="CE1" i="54"/>
  <c r="BW1" i="54"/>
  <c r="BK1" i="54"/>
  <c r="Z400" i="53"/>
  <c r="Z399" i="53" s="1"/>
  <c r="AA402" i="53"/>
  <c r="S163" i="54"/>
  <c r="U31" i="53"/>
  <c r="M402" i="53"/>
  <c r="O402" i="53" s="1"/>
  <c r="R402" i="53" s="1"/>
  <c r="CM163" i="54" s="1"/>
  <c r="CM164" i="54" s="1"/>
  <c r="L400" i="53"/>
  <c r="V1046" i="53"/>
  <c r="V1045" i="53" s="1"/>
  <c r="T1046" i="53"/>
  <c r="T1045" i="53" s="1"/>
  <c r="R1046" i="53"/>
  <c r="R1045" i="53" s="1"/>
  <c r="P1046" i="53"/>
  <c r="P1045" i="53" s="1"/>
  <c r="L1046" i="53"/>
  <c r="L1045" i="53" s="1"/>
  <c r="V1039" i="53"/>
  <c r="V1038" i="53" s="1"/>
  <c r="T1039" i="53"/>
  <c r="T1038" i="53" s="1"/>
  <c r="R1039" i="53"/>
  <c r="R1038" i="53" s="1"/>
  <c r="P1039" i="53"/>
  <c r="P1038" i="53" s="1"/>
  <c r="L1039" i="53"/>
  <c r="L1038" i="53" s="1"/>
  <c r="V1033" i="53"/>
  <c r="V1032" i="53" s="1"/>
  <c r="T1033" i="53"/>
  <c r="T1032" i="53" s="1"/>
  <c r="R1033" i="53"/>
  <c r="R1032" i="53" s="1"/>
  <c r="P1033" i="53"/>
  <c r="P1032" i="53" s="1"/>
  <c r="L1033" i="53"/>
  <c r="L1032" i="53" s="1"/>
  <c r="L534" i="53"/>
  <c r="AA532" i="53"/>
  <c r="AB532" i="53" s="1"/>
  <c r="W532" i="53"/>
  <c r="U532" i="53"/>
  <c r="S532" i="53"/>
  <c r="Q532" i="53"/>
  <c r="O532" i="53"/>
  <c r="AA531" i="53"/>
  <c r="AB531" i="53" s="1"/>
  <c r="W531" i="53"/>
  <c r="U531" i="53"/>
  <c r="S531" i="53"/>
  <c r="Q531" i="53"/>
  <c r="O531" i="53"/>
  <c r="AA530" i="53"/>
  <c r="AB530" i="53" s="1"/>
  <c r="W530" i="53"/>
  <c r="U530" i="53"/>
  <c r="S530" i="53"/>
  <c r="Q530" i="53"/>
  <c r="O530" i="53"/>
  <c r="AA529" i="53"/>
  <c r="AB529" i="53" s="1"/>
  <c r="W529" i="53"/>
  <c r="U529" i="53"/>
  <c r="S529" i="53"/>
  <c r="Q529" i="53"/>
  <c r="O529" i="53"/>
  <c r="AA528" i="53"/>
  <c r="AB528" i="53" s="1"/>
  <c r="W528" i="53"/>
  <c r="U528" i="53"/>
  <c r="S528" i="53"/>
  <c r="Q528" i="53"/>
  <c r="O528" i="53"/>
  <c r="Z527" i="53"/>
  <c r="Z526" i="53" s="1"/>
  <c r="Y527" i="53"/>
  <c r="X527" i="53"/>
  <c r="X526" i="53" s="1"/>
  <c r="V527" i="53"/>
  <c r="W527" i="53" s="1"/>
  <c r="T527" i="53"/>
  <c r="U527" i="53" s="1"/>
  <c r="R527" i="53"/>
  <c r="S527" i="53" s="1"/>
  <c r="P527" i="53"/>
  <c r="N527" i="53"/>
  <c r="M527" i="53"/>
  <c r="M526" i="53" s="1"/>
  <c r="L527" i="53"/>
  <c r="T526" i="53"/>
  <c r="U526" i="53" s="1"/>
  <c r="N526" i="53"/>
  <c r="AA525" i="53"/>
  <c r="W525" i="53"/>
  <c r="U525" i="53"/>
  <c r="S525" i="53"/>
  <c r="Q525" i="53"/>
  <c r="O525" i="53"/>
  <c r="AA524" i="53"/>
  <c r="AB524" i="53" s="1"/>
  <c r="W524" i="53"/>
  <c r="U524" i="53"/>
  <c r="S524" i="53"/>
  <c r="Q524" i="53"/>
  <c r="O524" i="53"/>
  <c r="AA523" i="53"/>
  <c r="AB523" i="53" s="1"/>
  <c r="W523" i="53"/>
  <c r="U523" i="53"/>
  <c r="S523" i="53"/>
  <c r="Q523" i="53"/>
  <c r="O523" i="53"/>
  <c r="AA522" i="53"/>
  <c r="AB522" i="53" s="1"/>
  <c r="W522" i="53"/>
  <c r="U522" i="53"/>
  <c r="S522" i="53"/>
  <c r="Q522" i="53"/>
  <c r="O522" i="53"/>
  <c r="AA521" i="53"/>
  <c r="AB521" i="53" s="1"/>
  <c r="W521" i="53"/>
  <c r="U521" i="53"/>
  <c r="S521" i="53"/>
  <c r="Q521" i="53"/>
  <c r="O521" i="53"/>
  <c r="Z520" i="53"/>
  <c r="Y520" i="53"/>
  <c r="Y519" i="53" s="1"/>
  <c r="X520" i="53"/>
  <c r="V520" i="53"/>
  <c r="W520" i="53" s="1"/>
  <c r="T520" i="53"/>
  <c r="R520" i="53"/>
  <c r="P520" i="53"/>
  <c r="P519" i="53" s="1"/>
  <c r="N520" i="53"/>
  <c r="N519" i="53" s="1"/>
  <c r="M520" i="53"/>
  <c r="M519" i="53" s="1"/>
  <c r="L520" i="53"/>
  <c r="X519" i="53"/>
  <c r="Y518" i="53"/>
  <c r="V518" i="53"/>
  <c r="T518" i="53"/>
  <c r="R518" i="53"/>
  <c r="P518" i="53"/>
  <c r="O518" i="53"/>
  <c r="X518" i="53" s="1"/>
  <c r="AA517" i="53"/>
  <c r="AB517" i="53" s="1"/>
  <c r="M517" i="53"/>
  <c r="AA516" i="53"/>
  <c r="AB516" i="53" s="1"/>
  <c r="O516" i="53"/>
  <c r="Z515" i="53"/>
  <c r="Y515" i="53"/>
  <c r="Y514" i="53" s="1"/>
  <c r="V515" i="53"/>
  <c r="V514" i="53" s="1"/>
  <c r="T515" i="53"/>
  <c r="T514" i="53" s="1"/>
  <c r="R515" i="53"/>
  <c r="R514" i="53" s="1"/>
  <c r="O515" i="53"/>
  <c r="N514" i="53"/>
  <c r="N513" i="53" s="1"/>
  <c r="L514" i="53"/>
  <c r="L513" i="53" s="1"/>
  <c r="AA512" i="53"/>
  <c r="AB512" i="53" s="1"/>
  <c r="W512" i="53"/>
  <c r="U512" i="53"/>
  <c r="S512" i="53"/>
  <c r="Q512" i="53"/>
  <c r="O512" i="53"/>
  <c r="AA511" i="53"/>
  <c r="AB511" i="53" s="1"/>
  <c r="W511" i="53"/>
  <c r="U511" i="53"/>
  <c r="S511" i="53"/>
  <c r="Q511" i="53"/>
  <c r="O511" i="53"/>
  <c r="Z510" i="53"/>
  <c r="Y510" i="53"/>
  <c r="X510" i="53"/>
  <c r="V510" i="53"/>
  <c r="W510" i="53" s="1"/>
  <c r="T510" i="53"/>
  <c r="R510" i="53"/>
  <c r="P510" i="53"/>
  <c r="N510" i="53"/>
  <c r="M510" i="53"/>
  <c r="L510" i="53"/>
  <c r="AA509" i="53"/>
  <c r="AB509" i="53" s="1"/>
  <c r="W509" i="53"/>
  <c r="U509" i="53"/>
  <c r="S509" i="53"/>
  <c r="Q509" i="53"/>
  <c r="O509" i="53"/>
  <c r="AA508" i="53"/>
  <c r="AB508" i="53" s="1"/>
  <c r="W508" i="53"/>
  <c r="U508" i="53"/>
  <c r="S508" i="53"/>
  <c r="Q508" i="53"/>
  <c r="O508" i="53"/>
  <c r="AA507" i="53"/>
  <c r="AB507" i="53" s="1"/>
  <c r="W507" i="53"/>
  <c r="U507" i="53"/>
  <c r="S507" i="53"/>
  <c r="Q507" i="53"/>
  <c r="O507" i="53"/>
  <c r="AA506" i="53"/>
  <c r="AB506" i="53" s="1"/>
  <c r="W506" i="53"/>
  <c r="U506" i="53"/>
  <c r="S506" i="53"/>
  <c r="Q506" i="53"/>
  <c r="O506" i="53"/>
  <c r="AA505" i="53"/>
  <c r="AB505" i="53" s="1"/>
  <c r="W505" i="53"/>
  <c r="U505" i="53"/>
  <c r="S505" i="53"/>
  <c r="Q505" i="53"/>
  <c r="O505" i="53"/>
  <c r="AA504" i="53"/>
  <c r="AB504" i="53" s="1"/>
  <c r="W504" i="53"/>
  <c r="U504" i="53"/>
  <c r="S504" i="53"/>
  <c r="Q504" i="53"/>
  <c r="O504" i="53"/>
  <c r="AA503" i="53"/>
  <c r="AB503" i="53" s="1"/>
  <c r="W503" i="53"/>
  <c r="U503" i="53"/>
  <c r="S503" i="53"/>
  <c r="Q503" i="53"/>
  <c r="O503" i="53"/>
  <c r="AA502" i="53"/>
  <c r="AB502" i="53" s="1"/>
  <c r="W502" i="53"/>
  <c r="U502" i="53"/>
  <c r="S502" i="53"/>
  <c r="Q502" i="53"/>
  <c r="O502" i="53"/>
  <c r="AA501" i="53"/>
  <c r="AB501" i="53" s="1"/>
  <c r="W501" i="53"/>
  <c r="U501" i="53"/>
  <c r="S501" i="53"/>
  <c r="Q501" i="53"/>
  <c r="O501" i="53"/>
  <c r="AA500" i="53"/>
  <c r="AB500" i="53" s="1"/>
  <c r="W500" i="53"/>
  <c r="U500" i="53"/>
  <c r="S500" i="53"/>
  <c r="Q500" i="53"/>
  <c r="O500" i="53"/>
  <c r="AA499" i="53"/>
  <c r="AB499" i="53" s="1"/>
  <c r="W499" i="53"/>
  <c r="U499" i="53"/>
  <c r="S499" i="53"/>
  <c r="Q499" i="53"/>
  <c r="O499" i="53"/>
  <c r="AA498" i="53"/>
  <c r="AB498" i="53" s="1"/>
  <c r="W498" i="53"/>
  <c r="U498" i="53"/>
  <c r="S498" i="53"/>
  <c r="Q498" i="53"/>
  <c r="O498" i="53"/>
  <c r="AA497" i="53"/>
  <c r="AB497" i="53" s="1"/>
  <c r="W497" i="53"/>
  <c r="U497" i="53"/>
  <c r="S497" i="53"/>
  <c r="Q497" i="53"/>
  <c r="O497" i="53"/>
  <c r="AA496" i="53"/>
  <c r="AB496" i="53" s="1"/>
  <c r="W496" i="53"/>
  <c r="U496" i="53"/>
  <c r="S496" i="53"/>
  <c r="Q496" i="53"/>
  <c r="O496" i="53"/>
  <c r="AA495" i="53"/>
  <c r="AB495" i="53" s="1"/>
  <c r="W495" i="53"/>
  <c r="U495" i="53"/>
  <c r="S495" i="53"/>
  <c r="Q495" i="53"/>
  <c r="O495" i="53"/>
  <c r="AA494" i="53"/>
  <c r="AB494" i="53" s="1"/>
  <c r="W494" i="53"/>
  <c r="U494" i="53"/>
  <c r="S494" i="53"/>
  <c r="Q494" i="53"/>
  <c r="O494" i="53"/>
  <c r="AA493" i="53"/>
  <c r="AB493" i="53" s="1"/>
  <c r="W493" i="53"/>
  <c r="U493" i="53"/>
  <c r="S493" i="53"/>
  <c r="Q493" i="53"/>
  <c r="O493" i="53"/>
  <c r="AA492" i="53"/>
  <c r="AB492" i="53" s="1"/>
  <c r="W492" i="53"/>
  <c r="U492" i="53"/>
  <c r="S492" i="53"/>
  <c r="Q492" i="53"/>
  <c r="O492" i="53"/>
  <c r="AA491" i="53"/>
  <c r="AB491" i="53" s="1"/>
  <c r="W491" i="53"/>
  <c r="U491" i="53"/>
  <c r="S491" i="53"/>
  <c r="Q491" i="53"/>
  <c r="O491" i="53"/>
  <c r="AA490" i="53"/>
  <c r="AB490" i="53" s="1"/>
  <c r="W490" i="53"/>
  <c r="U490" i="53"/>
  <c r="S490" i="53"/>
  <c r="Q490" i="53"/>
  <c r="O490" i="53"/>
  <c r="AA489" i="53"/>
  <c r="AB489" i="53" s="1"/>
  <c r="W489" i="53"/>
  <c r="U489" i="53"/>
  <c r="S489" i="53"/>
  <c r="Q489" i="53"/>
  <c r="O489" i="53"/>
  <c r="AA488" i="53"/>
  <c r="AB488" i="53" s="1"/>
  <c r="W488" i="53"/>
  <c r="U488" i="53"/>
  <c r="S488" i="53"/>
  <c r="Q488" i="53"/>
  <c r="O488" i="53"/>
  <c r="AA487" i="53"/>
  <c r="AB487" i="53" s="1"/>
  <c r="W487" i="53"/>
  <c r="U487" i="53"/>
  <c r="S487" i="53"/>
  <c r="Q487" i="53"/>
  <c r="O487" i="53"/>
  <c r="AA486" i="53"/>
  <c r="AB486" i="53" s="1"/>
  <c r="W486" i="53"/>
  <c r="U486" i="53"/>
  <c r="S486" i="53"/>
  <c r="Q486" i="53"/>
  <c r="O486" i="53"/>
  <c r="AA485" i="53"/>
  <c r="AB485" i="53" s="1"/>
  <c r="W485" i="53"/>
  <c r="U485" i="53"/>
  <c r="S485" i="53"/>
  <c r="Q485" i="53"/>
  <c r="O485" i="53"/>
  <c r="AA484" i="53"/>
  <c r="AB484" i="53" s="1"/>
  <c r="W484" i="53"/>
  <c r="U484" i="53"/>
  <c r="S484" i="53"/>
  <c r="Q484" i="53"/>
  <c r="O484" i="53"/>
  <c r="AA483" i="53"/>
  <c r="AB483" i="53" s="1"/>
  <c r="W483" i="53"/>
  <c r="U483" i="53"/>
  <c r="S483" i="53"/>
  <c r="Q483" i="53"/>
  <c r="O483" i="53"/>
  <c r="AA482" i="53"/>
  <c r="AB482" i="53" s="1"/>
  <c r="W482" i="53"/>
  <c r="U482" i="53"/>
  <c r="S482" i="53"/>
  <c r="Q482" i="53"/>
  <c r="O482" i="53"/>
  <c r="AA481" i="53"/>
  <c r="AB481" i="53" s="1"/>
  <c r="W481" i="53"/>
  <c r="U481" i="53"/>
  <c r="S481" i="53"/>
  <c r="Q481" i="53"/>
  <c r="O481" i="53"/>
  <c r="AA480" i="53"/>
  <c r="AB480" i="53" s="1"/>
  <c r="W480" i="53"/>
  <c r="U480" i="53"/>
  <c r="S480" i="53"/>
  <c r="Q480" i="53"/>
  <c r="O480" i="53"/>
  <c r="AA479" i="53"/>
  <c r="AB479" i="53" s="1"/>
  <c r="W479" i="53"/>
  <c r="U479" i="53"/>
  <c r="S479" i="53"/>
  <c r="Q479" i="53"/>
  <c r="O479" i="53"/>
  <c r="Z478" i="53"/>
  <c r="Y478" i="53"/>
  <c r="X478" i="53"/>
  <c r="V478" i="53"/>
  <c r="W478" i="53" s="1"/>
  <c r="T478" i="53"/>
  <c r="R478" i="53"/>
  <c r="S478" i="53" s="1"/>
  <c r="P478" i="53"/>
  <c r="N478" i="53"/>
  <c r="M478" i="53"/>
  <c r="L478" i="53"/>
  <c r="AA477" i="53"/>
  <c r="AB477" i="53" s="1"/>
  <c r="W477" i="53"/>
  <c r="U477" i="53"/>
  <c r="S477" i="53"/>
  <c r="Q477" i="53"/>
  <c r="O477" i="53"/>
  <c r="AA476" i="53"/>
  <c r="AB476" i="53" s="1"/>
  <c r="W476" i="53"/>
  <c r="U476" i="53"/>
  <c r="S476" i="53"/>
  <c r="Q476" i="53"/>
  <c r="O476" i="53"/>
  <c r="AA475" i="53"/>
  <c r="AB475" i="53" s="1"/>
  <c r="W475" i="53"/>
  <c r="U475" i="53"/>
  <c r="S475" i="53"/>
  <c r="Q475" i="53"/>
  <c r="O475" i="53"/>
  <c r="AA474" i="53"/>
  <c r="AB474" i="53" s="1"/>
  <c r="W474" i="53"/>
  <c r="U474" i="53"/>
  <c r="S474" i="53"/>
  <c r="Q474" i="53"/>
  <c r="O474" i="53"/>
  <c r="AA473" i="53"/>
  <c r="AB473" i="53" s="1"/>
  <c r="W473" i="53"/>
  <c r="U473" i="53"/>
  <c r="S473" i="53"/>
  <c r="Q473" i="53"/>
  <c r="O473" i="53"/>
  <c r="AA472" i="53"/>
  <c r="AB472" i="53" s="1"/>
  <c r="W472" i="53"/>
  <c r="U472" i="53"/>
  <c r="S472" i="53"/>
  <c r="Q472" i="53"/>
  <c r="O472" i="53"/>
  <c r="AA471" i="53"/>
  <c r="AB471" i="53" s="1"/>
  <c r="W471" i="53"/>
  <c r="U471" i="53"/>
  <c r="S471" i="53"/>
  <c r="Q471" i="53"/>
  <c r="O471" i="53"/>
  <c r="AA470" i="53"/>
  <c r="AB470" i="53" s="1"/>
  <c r="W470" i="53"/>
  <c r="U470" i="53"/>
  <c r="S470" i="53"/>
  <c r="Q470" i="53"/>
  <c r="O470" i="53"/>
  <c r="AA469" i="53"/>
  <c r="AB469" i="53" s="1"/>
  <c r="W469" i="53"/>
  <c r="U469" i="53"/>
  <c r="S469" i="53"/>
  <c r="Q469" i="53"/>
  <c r="O469" i="53"/>
  <c r="AA468" i="53"/>
  <c r="AB468" i="53" s="1"/>
  <c r="W468" i="53"/>
  <c r="U468" i="53"/>
  <c r="S468" i="53"/>
  <c r="Q468" i="53"/>
  <c r="O468" i="53"/>
  <c r="AA467" i="53"/>
  <c r="AB467" i="53" s="1"/>
  <c r="W467" i="53"/>
  <c r="U467" i="53"/>
  <c r="S467" i="53"/>
  <c r="Q467" i="53"/>
  <c r="O467" i="53"/>
  <c r="AA466" i="53"/>
  <c r="AB466" i="53" s="1"/>
  <c r="W466" i="53"/>
  <c r="U466" i="53"/>
  <c r="S466" i="53"/>
  <c r="Q466" i="53"/>
  <c r="O466" i="53"/>
  <c r="AA465" i="53"/>
  <c r="AB465" i="53" s="1"/>
  <c r="W465" i="53"/>
  <c r="U465" i="53"/>
  <c r="S465" i="53"/>
  <c r="Q465" i="53"/>
  <c r="O465" i="53"/>
  <c r="AA464" i="53"/>
  <c r="AB464" i="53" s="1"/>
  <c r="W464" i="53"/>
  <c r="U464" i="53"/>
  <c r="S464" i="53"/>
  <c r="Q464" i="53"/>
  <c r="O464" i="53"/>
  <c r="AA463" i="53"/>
  <c r="AB463" i="53" s="1"/>
  <c r="W463" i="53"/>
  <c r="U463" i="53"/>
  <c r="S463" i="53"/>
  <c r="Q463" i="53"/>
  <c r="O463" i="53"/>
  <c r="AA462" i="53"/>
  <c r="AB462" i="53" s="1"/>
  <c r="W462" i="53"/>
  <c r="U462" i="53"/>
  <c r="S462" i="53"/>
  <c r="Q462" i="53"/>
  <c r="O462" i="53"/>
  <c r="AA461" i="53"/>
  <c r="AB461" i="53" s="1"/>
  <c r="W461" i="53"/>
  <c r="U461" i="53"/>
  <c r="S461" i="53"/>
  <c r="Q461" i="53"/>
  <c r="O461" i="53"/>
  <c r="AA460" i="53"/>
  <c r="AB460" i="53" s="1"/>
  <c r="W460" i="53"/>
  <c r="U460" i="53"/>
  <c r="S460" i="53"/>
  <c r="Q460" i="53"/>
  <c r="O460" i="53"/>
  <c r="AA459" i="53"/>
  <c r="AB459" i="53" s="1"/>
  <c r="W459" i="53"/>
  <c r="U459" i="53"/>
  <c r="S459" i="53"/>
  <c r="Q459" i="53"/>
  <c r="O459" i="53"/>
  <c r="AA458" i="53"/>
  <c r="AB458" i="53" s="1"/>
  <c r="W458" i="53"/>
  <c r="U458" i="53"/>
  <c r="S458" i="53"/>
  <c r="Q458" i="53"/>
  <c r="O458" i="53"/>
  <c r="AA457" i="53"/>
  <c r="AB457" i="53" s="1"/>
  <c r="W457" i="53"/>
  <c r="U457" i="53"/>
  <c r="S457" i="53"/>
  <c r="Q457" i="53"/>
  <c r="O457" i="53"/>
  <c r="AA456" i="53"/>
  <c r="AB456" i="53" s="1"/>
  <c r="W456" i="53"/>
  <c r="U456" i="53"/>
  <c r="S456" i="53"/>
  <c r="Q456" i="53"/>
  <c r="O456" i="53"/>
  <c r="AA455" i="53"/>
  <c r="AB455" i="53" s="1"/>
  <c r="W455" i="53"/>
  <c r="U455" i="53"/>
  <c r="S455" i="53"/>
  <c r="Q455" i="53"/>
  <c r="O455" i="53"/>
  <c r="AA454" i="53"/>
  <c r="AB454" i="53" s="1"/>
  <c r="W454" i="53"/>
  <c r="U454" i="53"/>
  <c r="S454" i="53"/>
  <c r="Q454" i="53"/>
  <c r="O454" i="53"/>
  <c r="AA453" i="53"/>
  <c r="AB453" i="53" s="1"/>
  <c r="W453" i="53"/>
  <c r="U453" i="53"/>
  <c r="S453" i="53"/>
  <c r="Q453" i="53"/>
  <c r="O453" i="53"/>
  <c r="AA452" i="53"/>
  <c r="AB452" i="53" s="1"/>
  <c r="W452" i="53"/>
  <c r="U452" i="53"/>
  <c r="S452" i="53"/>
  <c r="Q452" i="53"/>
  <c r="O452" i="53"/>
  <c r="AA451" i="53"/>
  <c r="AB451" i="53" s="1"/>
  <c r="W451" i="53"/>
  <c r="U451" i="53"/>
  <c r="S451" i="53"/>
  <c r="Q451" i="53"/>
  <c r="O451" i="53"/>
  <c r="AA450" i="53"/>
  <c r="AB450" i="53" s="1"/>
  <c r="W450" i="53"/>
  <c r="U450" i="53"/>
  <c r="S450" i="53"/>
  <c r="Q450" i="53"/>
  <c r="O450" i="53"/>
  <c r="AA449" i="53"/>
  <c r="AB449" i="53" s="1"/>
  <c r="W449" i="53"/>
  <c r="U449" i="53"/>
  <c r="S449" i="53"/>
  <c r="Q449" i="53"/>
  <c r="O449" i="53"/>
  <c r="AA448" i="53"/>
  <c r="AB448" i="53" s="1"/>
  <c r="W448" i="53"/>
  <c r="U448" i="53"/>
  <c r="S448" i="53"/>
  <c r="Q448" i="53"/>
  <c r="O448" i="53"/>
  <c r="AA447" i="53"/>
  <c r="AB447" i="53" s="1"/>
  <c r="W447" i="53"/>
  <c r="U447" i="53"/>
  <c r="S447" i="53"/>
  <c r="Q447" i="53"/>
  <c r="O447" i="53"/>
  <c r="Z446" i="53"/>
  <c r="Y446" i="53"/>
  <c r="X446" i="53"/>
  <c r="V446" i="53"/>
  <c r="W446" i="53" s="1"/>
  <c r="T446" i="53"/>
  <c r="U446" i="53" s="1"/>
  <c r="R446" i="53"/>
  <c r="P446" i="53"/>
  <c r="N446" i="53"/>
  <c r="M446" i="53"/>
  <c r="L446" i="53"/>
  <c r="AA445" i="53"/>
  <c r="AB445" i="53" s="1"/>
  <c r="W445" i="53"/>
  <c r="U445" i="53"/>
  <c r="S445" i="53"/>
  <c r="Q445" i="53"/>
  <c r="O445" i="53"/>
  <c r="AA444" i="53"/>
  <c r="AB444" i="53" s="1"/>
  <c r="W444" i="53"/>
  <c r="U444" i="53"/>
  <c r="S444" i="53"/>
  <c r="Q444" i="53"/>
  <c r="O444" i="53"/>
  <c r="AA443" i="53"/>
  <c r="AB443" i="53" s="1"/>
  <c r="W443" i="53"/>
  <c r="U443" i="53"/>
  <c r="S443" i="53"/>
  <c r="Q443" i="53"/>
  <c r="O443" i="53"/>
  <c r="AA442" i="53"/>
  <c r="AB442" i="53" s="1"/>
  <c r="W442" i="53"/>
  <c r="U442" i="53"/>
  <c r="S442" i="53"/>
  <c r="Q442" i="53"/>
  <c r="O442" i="53"/>
  <c r="AA441" i="53"/>
  <c r="AB441" i="53" s="1"/>
  <c r="W441" i="53"/>
  <c r="U441" i="53"/>
  <c r="S441" i="53"/>
  <c r="Q441" i="53"/>
  <c r="O441" i="53"/>
  <c r="AA440" i="53"/>
  <c r="AB440" i="53" s="1"/>
  <c r="W440" i="53"/>
  <c r="U440" i="53"/>
  <c r="S440" i="53"/>
  <c r="Q440" i="53"/>
  <c r="O440" i="53"/>
  <c r="AA439" i="53"/>
  <c r="AB439" i="53" s="1"/>
  <c r="W439" i="53"/>
  <c r="U439" i="53"/>
  <c r="S439" i="53"/>
  <c r="Q439" i="53"/>
  <c r="O439" i="53"/>
  <c r="AA438" i="53"/>
  <c r="AB438" i="53" s="1"/>
  <c r="W438" i="53"/>
  <c r="U438" i="53"/>
  <c r="S438" i="53"/>
  <c r="Q438" i="53"/>
  <c r="O438" i="53"/>
  <c r="AA437" i="53"/>
  <c r="AB437" i="53" s="1"/>
  <c r="W437" i="53"/>
  <c r="U437" i="53"/>
  <c r="S437" i="53"/>
  <c r="Q437" i="53"/>
  <c r="O437" i="53"/>
  <c r="AA436" i="53"/>
  <c r="AB436" i="53" s="1"/>
  <c r="W436" i="53"/>
  <c r="U436" i="53"/>
  <c r="S436" i="53"/>
  <c r="Q436" i="53"/>
  <c r="O436" i="53"/>
  <c r="AA435" i="53"/>
  <c r="AB435" i="53" s="1"/>
  <c r="W435" i="53"/>
  <c r="U435" i="53"/>
  <c r="S435" i="53"/>
  <c r="Q435" i="53"/>
  <c r="O435" i="53"/>
  <c r="AA434" i="53"/>
  <c r="AB434" i="53" s="1"/>
  <c r="W434" i="53"/>
  <c r="U434" i="53"/>
  <c r="S434" i="53"/>
  <c r="Q434" i="53"/>
  <c r="O434" i="53"/>
  <c r="AA433" i="53"/>
  <c r="AB433" i="53" s="1"/>
  <c r="W433" i="53"/>
  <c r="U433" i="53"/>
  <c r="S433" i="53"/>
  <c r="Q433" i="53"/>
  <c r="O433" i="53"/>
  <c r="AA432" i="53"/>
  <c r="AB432" i="53" s="1"/>
  <c r="W432" i="53"/>
  <c r="U432" i="53"/>
  <c r="S432" i="53"/>
  <c r="Q432" i="53"/>
  <c r="O432" i="53"/>
  <c r="AA431" i="53"/>
  <c r="AB431" i="53" s="1"/>
  <c r="W431" i="53"/>
  <c r="U431" i="53"/>
  <c r="S431" i="53"/>
  <c r="Q431" i="53"/>
  <c r="O431" i="53"/>
  <c r="AA430" i="53"/>
  <c r="AB430" i="53" s="1"/>
  <c r="W430" i="53"/>
  <c r="U430" i="53"/>
  <c r="S430" i="53"/>
  <c r="Q430" i="53"/>
  <c r="O430" i="53"/>
  <c r="AA429" i="53"/>
  <c r="AB429" i="53" s="1"/>
  <c r="W429" i="53"/>
  <c r="U429" i="53"/>
  <c r="S429" i="53"/>
  <c r="Q429" i="53"/>
  <c r="O429" i="53"/>
  <c r="AA428" i="53"/>
  <c r="AB428" i="53" s="1"/>
  <c r="W428" i="53"/>
  <c r="U428" i="53"/>
  <c r="S428" i="53"/>
  <c r="Q428" i="53"/>
  <c r="O428" i="53"/>
  <c r="AA427" i="53"/>
  <c r="AB427" i="53" s="1"/>
  <c r="W427" i="53"/>
  <c r="U427" i="53"/>
  <c r="S427" i="53"/>
  <c r="Q427" i="53"/>
  <c r="O427" i="53"/>
  <c r="AA426" i="53"/>
  <c r="AB426" i="53" s="1"/>
  <c r="W426" i="53"/>
  <c r="U426" i="53"/>
  <c r="S426" i="53"/>
  <c r="Q426" i="53"/>
  <c r="O426" i="53"/>
  <c r="AA425" i="53"/>
  <c r="AB425" i="53" s="1"/>
  <c r="W425" i="53"/>
  <c r="U425" i="53"/>
  <c r="S425" i="53"/>
  <c r="Q425" i="53"/>
  <c r="O425" i="53"/>
  <c r="AA424" i="53"/>
  <c r="AB424" i="53" s="1"/>
  <c r="W424" i="53"/>
  <c r="U424" i="53"/>
  <c r="S424" i="53"/>
  <c r="Q424" i="53"/>
  <c r="O424" i="53"/>
  <c r="AA423" i="53"/>
  <c r="AB423" i="53" s="1"/>
  <c r="W423" i="53"/>
  <c r="U423" i="53"/>
  <c r="S423" i="53"/>
  <c r="Q423" i="53"/>
  <c r="O423" i="53"/>
  <c r="AA422" i="53"/>
  <c r="AB422" i="53" s="1"/>
  <c r="W422" i="53"/>
  <c r="U422" i="53"/>
  <c r="S422" i="53"/>
  <c r="Q422" i="53"/>
  <c r="O422" i="53"/>
  <c r="AA421" i="53"/>
  <c r="AB421" i="53" s="1"/>
  <c r="W421" i="53"/>
  <c r="U421" i="53"/>
  <c r="S421" i="53"/>
  <c r="Q421" i="53"/>
  <c r="O421" i="53"/>
  <c r="AA420" i="53"/>
  <c r="AB420" i="53" s="1"/>
  <c r="W420" i="53"/>
  <c r="U420" i="53"/>
  <c r="S420" i="53"/>
  <c r="Q420" i="53"/>
  <c r="O420" i="53"/>
  <c r="AA419" i="53"/>
  <c r="AB419" i="53" s="1"/>
  <c r="W419" i="53"/>
  <c r="U419" i="53"/>
  <c r="S419" i="53"/>
  <c r="Q419" i="53"/>
  <c r="O419" i="53"/>
  <c r="AA418" i="53"/>
  <c r="AB418" i="53" s="1"/>
  <c r="W418" i="53"/>
  <c r="U418" i="53"/>
  <c r="S418" i="53"/>
  <c r="Q418" i="53"/>
  <c r="O418" i="53"/>
  <c r="AA417" i="53"/>
  <c r="AB417" i="53" s="1"/>
  <c r="W417" i="53"/>
  <c r="U417" i="53"/>
  <c r="S417" i="53"/>
  <c r="Q417" i="53"/>
  <c r="O417" i="53"/>
  <c r="AA416" i="53"/>
  <c r="AB416" i="53" s="1"/>
  <c r="W416" i="53"/>
  <c r="U416" i="53"/>
  <c r="S416" i="53"/>
  <c r="Q416" i="53"/>
  <c r="O416" i="53"/>
  <c r="AA415" i="53"/>
  <c r="AB415" i="53" s="1"/>
  <c r="W415" i="53"/>
  <c r="U415" i="53"/>
  <c r="S415" i="53"/>
  <c r="Q415" i="53"/>
  <c r="O415" i="53"/>
  <c r="AA414" i="53"/>
  <c r="AB414" i="53" s="1"/>
  <c r="W414" i="53"/>
  <c r="U414" i="53"/>
  <c r="S414" i="53"/>
  <c r="Q414" i="53"/>
  <c r="O414" i="53"/>
  <c r="Z413" i="53"/>
  <c r="Y413" i="53"/>
  <c r="X413" i="53"/>
  <c r="V413" i="53"/>
  <c r="T413" i="53"/>
  <c r="U413" i="53" s="1"/>
  <c r="R413" i="53"/>
  <c r="S413" i="53" s="1"/>
  <c r="P413" i="53"/>
  <c r="N413" i="53"/>
  <c r="M413" i="53"/>
  <c r="L413" i="53"/>
  <c r="AA411" i="53"/>
  <c r="AB411" i="53" s="1"/>
  <c r="W411" i="53"/>
  <c r="U411" i="53"/>
  <c r="S411" i="53"/>
  <c r="Q411" i="53"/>
  <c r="O411" i="53"/>
  <c r="AA409" i="53"/>
  <c r="AB409" i="53" s="1"/>
  <c r="W409" i="53"/>
  <c r="U409" i="53"/>
  <c r="S409" i="53"/>
  <c r="Q409" i="53"/>
  <c r="O409" i="53"/>
  <c r="AA408" i="53"/>
  <c r="AB408" i="53" s="1"/>
  <c r="W408" i="53"/>
  <c r="U408" i="53"/>
  <c r="S408" i="53"/>
  <c r="Q408" i="53"/>
  <c r="O408" i="53"/>
  <c r="AA407" i="53"/>
  <c r="AB407" i="53" s="1"/>
  <c r="W407" i="53"/>
  <c r="U407" i="53"/>
  <c r="S407" i="53"/>
  <c r="Q407" i="53"/>
  <c r="O407" i="53"/>
  <c r="AA406" i="53"/>
  <c r="AB406" i="53" s="1"/>
  <c r="W406" i="53"/>
  <c r="U406" i="53"/>
  <c r="S406" i="53"/>
  <c r="Q406" i="53"/>
  <c r="O406" i="53"/>
  <c r="AA405" i="53"/>
  <c r="AB405" i="53" s="1"/>
  <c r="W405" i="53"/>
  <c r="U405" i="53"/>
  <c r="S405" i="53"/>
  <c r="Q405" i="53"/>
  <c r="O405" i="53"/>
  <c r="Z404" i="53"/>
  <c r="Y404" i="53"/>
  <c r="X404" i="53"/>
  <c r="V404" i="53"/>
  <c r="W404" i="53" s="1"/>
  <c r="T404" i="53"/>
  <c r="U404" i="53" s="1"/>
  <c r="R404" i="53"/>
  <c r="S404" i="53" s="1"/>
  <c r="P404" i="53"/>
  <c r="N404" i="53"/>
  <c r="M404" i="53"/>
  <c r="L404" i="53"/>
  <c r="AA403" i="53"/>
  <c r="AB403" i="53" s="1"/>
  <c r="T403" i="53"/>
  <c r="R403" i="53"/>
  <c r="P403" i="53"/>
  <c r="O403" i="53"/>
  <c r="V403" i="53" s="1"/>
  <c r="Y401" i="53"/>
  <c r="AA401" i="53" s="1"/>
  <c r="T401" i="53"/>
  <c r="T400" i="53" s="1"/>
  <c r="P401" i="53"/>
  <c r="P400" i="53" s="1"/>
  <c r="O401" i="53"/>
  <c r="V401" i="53" s="1"/>
  <c r="V400" i="53" s="1"/>
  <c r="N400" i="53"/>
  <c r="N399" i="53" s="1"/>
  <c r="L399" i="53"/>
  <c r="AA398" i="53"/>
  <c r="AB398" i="53" s="1"/>
  <c r="T398" i="53"/>
  <c r="R398" i="53"/>
  <c r="P398" i="53"/>
  <c r="O398" i="53"/>
  <c r="V398" i="53" s="1"/>
  <c r="AA397" i="53"/>
  <c r="AB397" i="53" s="1"/>
  <c r="T397" i="53"/>
  <c r="R397" i="53"/>
  <c r="P397" i="53"/>
  <c r="O397" i="53"/>
  <c r="V397" i="53" s="1"/>
  <c r="Y396" i="53"/>
  <c r="AA396" i="53" s="1"/>
  <c r="X396" i="53"/>
  <c r="N396" i="53"/>
  <c r="M396" i="53"/>
  <c r="L396" i="53"/>
  <c r="AA395" i="53"/>
  <c r="AB395" i="53" s="1"/>
  <c r="T395" i="53"/>
  <c r="R395" i="53"/>
  <c r="P395" i="53"/>
  <c r="O395" i="53"/>
  <c r="V395" i="53" s="1"/>
  <c r="AA394" i="53"/>
  <c r="AB394" i="53" s="1"/>
  <c r="T394" i="53"/>
  <c r="R394" i="53"/>
  <c r="P394" i="53"/>
  <c r="O394" i="53"/>
  <c r="V394" i="53" s="1"/>
  <c r="AA393" i="53"/>
  <c r="AB393" i="53" s="1"/>
  <c r="T393" i="53"/>
  <c r="R393" i="53"/>
  <c r="P393" i="53"/>
  <c r="O393" i="53"/>
  <c r="V393" i="53" s="1"/>
  <c r="Z392" i="53"/>
  <c r="Y392" i="53"/>
  <c r="X392" i="53"/>
  <c r="N392" i="53"/>
  <c r="M392" i="53"/>
  <c r="L392" i="53"/>
  <c r="AA391" i="53"/>
  <c r="AB391" i="53" s="1"/>
  <c r="T391" i="53"/>
  <c r="R391" i="53"/>
  <c r="P391" i="53"/>
  <c r="O391" i="53"/>
  <c r="V391" i="53" s="1"/>
  <c r="AA390" i="53"/>
  <c r="AB390" i="53" s="1"/>
  <c r="T390" i="53"/>
  <c r="R390" i="53"/>
  <c r="P390" i="53"/>
  <c r="O390" i="53"/>
  <c r="V390" i="53" s="1"/>
  <c r="Z389" i="53"/>
  <c r="Y389" i="53"/>
  <c r="X389" i="53"/>
  <c r="N389" i="53"/>
  <c r="M389" i="53"/>
  <c r="L389" i="53"/>
  <c r="AA388" i="53"/>
  <c r="AB388" i="53" s="1"/>
  <c r="T388" i="53"/>
  <c r="R388" i="53"/>
  <c r="P388" i="53"/>
  <c r="O388" i="53"/>
  <c r="V388" i="53" s="1"/>
  <c r="AA387" i="53"/>
  <c r="AB387" i="53" s="1"/>
  <c r="T387" i="53"/>
  <c r="R387" i="53"/>
  <c r="P387" i="53"/>
  <c r="O387" i="53"/>
  <c r="V387" i="53" s="1"/>
  <c r="Z386" i="53"/>
  <c r="Y386" i="53"/>
  <c r="X386" i="53"/>
  <c r="N386" i="53"/>
  <c r="M386" i="53"/>
  <c r="L386" i="53"/>
  <c r="AA383" i="53"/>
  <c r="AB383" i="53" s="1"/>
  <c r="T383" i="53"/>
  <c r="R383" i="53"/>
  <c r="P383" i="53"/>
  <c r="O383" i="53"/>
  <c r="V383" i="53" s="1"/>
  <c r="AA382" i="53"/>
  <c r="AB382" i="53" s="1"/>
  <c r="T382" i="53"/>
  <c r="R382" i="53"/>
  <c r="P382" i="53"/>
  <c r="O382" i="53"/>
  <c r="V382" i="53" s="1"/>
  <c r="AA381" i="53"/>
  <c r="AB381" i="53" s="1"/>
  <c r="T381" i="53"/>
  <c r="R381" i="53"/>
  <c r="P381" i="53"/>
  <c r="O381" i="53"/>
  <c r="V381" i="53" s="1"/>
  <c r="AA380" i="53"/>
  <c r="AB380" i="53" s="1"/>
  <c r="T380" i="53"/>
  <c r="R380" i="53"/>
  <c r="P380" i="53"/>
  <c r="O380" i="53"/>
  <c r="V380" i="53" s="1"/>
  <c r="AA379" i="53"/>
  <c r="AB379" i="53" s="1"/>
  <c r="T379" i="53"/>
  <c r="R379" i="53"/>
  <c r="P379" i="53"/>
  <c r="O379" i="53"/>
  <c r="V379" i="53" s="1"/>
  <c r="AA378" i="53"/>
  <c r="AB378" i="53" s="1"/>
  <c r="T378" i="53"/>
  <c r="R378" i="53"/>
  <c r="P378" i="53"/>
  <c r="O378" i="53"/>
  <c r="V378" i="53" s="1"/>
  <c r="Z377" i="53"/>
  <c r="Z376" i="53" s="1"/>
  <c r="Y377" i="53"/>
  <c r="Y376" i="53" s="1"/>
  <c r="X377" i="53"/>
  <c r="X376" i="53" s="1"/>
  <c r="N377" i="53"/>
  <c r="N376" i="53" s="1"/>
  <c r="M377" i="53"/>
  <c r="M376" i="53" s="1"/>
  <c r="L377" i="53"/>
  <c r="AA375" i="53"/>
  <c r="AB375" i="53" s="1"/>
  <c r="T375" i="53"/>
  <c r="R375" i="53"/>
  <c r="P375" i="53"/>
  <c r="O375" i="53"/>
  <c r="V375" i="53" s="1"/>
  <c r="AA374" i="53"/>
  <c r="AB374" i="53" s="1"/>
  <c r="T374" i="53"/>
  <c r="R374" i="53"/>
  <c r="P374" i="53"/>
  <c r="O374" i="53"/>
  <c r="V374" i="53" s="1"/>
  <c r="AA373" i="53"/>
  <c r="AB373" i="53" s="1"/>
  <c r="T373" i="53"/>
  <c r="R373" i="53"/>
  <c r="P373" i="53"/>
  <c r="O373" i="53"/>
  <c r="V373" i="53" s="1"/>
  <c r="AA372" i="53"/>
  <c r="AB372" i="53" s="1"/>
  <c r="T372" i="53"/>
  <c r="R372" i="53"/>
  <c r="P372" i="53"/>
  <c r="O372" i="53"/>
  <c r="V372" i="53" s="1"/>
  <c r="AA371" i="53"/>
  <c r="T371" i="53"/>
  <c r="P371" i="53"/>
  <c r="M371" i="53"/>
  <c r="Z370" i="53"/>
  <c r="Y370" i="53"/>
  <c r="N370" i="53"/>
  <c r="L370" i="53"/>
  <c r="AA368" i="53"/>
  <c r="AB368" i="53" s="1"/>
  <c r="T368" i="53"/>
  <c r="R368" i="53"/>
  <c r="P368" i="53"/>
  <c r="O368" i="53"/>
  <c r="V368" i="53" s="1"/>
  <c r="AA367" i="53"/>
  <c r="AB367" i="53" s="1"/>
  <c r="T367" i="53"/>
  <c r="T366" i="53" s="1"/>
  <c r="R367" i="53"/>
  <c r="R366" i="53" s="1"/>
  <c r="P367" i="53"/>
  <c r="P366" i="53" s="1"/>
  <c r="O367" i="53"/>
  <c r="V367" i="53" s="1"/>
  <c r="V366" i="53" s="1"/>
  <c r="Z366" i="53"/>
  <c r="Y366" i="53"/>
  <c r="X366" i="53"/>
  <c r="N366" i="53"/>
  <c r="M366" i="53"/>
  <c r="L366" i="53"/>
  <c r="AA365" i="53"/>
  <c r="AB365" i="53" s="1"/>
  <c r="T365" i="53"/>
  <c r="R365" i="53"/>
  <c r="P365" i="53"/>
  <c r="O365" i="53"/>
  <c r="V365" i="53" s="1"/>
  <c r="AA364" i="53"/>
  <c r="AB364" i="53" s="1"/>
  <c r="T364" i="53"/>
  <c r="R364" i="53"/>
  <c r="P364" i="53"/>
  <c r="O364" i="53"/>
  <c r="V364" i="53" s="1"/>
  <c r="AA363" i="53"/>
  <c r="AB363" i="53" s="1"/>
  <c r="T363" i="53"/>
  <c r="R363" i="53"/>
  <c r="P363" i="53"/>
  <c r="O363" i="53"/>
  <c r="V363" i="53" s="1"/>
  <c r="Z362" i="53"/>
  <c r="Y362" i="53"/>
  <c r="X362" i="53"/>
  <c r="N362" i="53"/>
  <c r="M362" i="53"/>
  <c r="L362" i="53"/>
  <c r="AA361" i="53"/>
  <c r="AB361" i="53" s="1"/>
  <c r="T361" i="53"/>
  <c r="P361" i="53"/>
  <c r="O361" i="53"/>
  <c r="V361" i="53" s="1"/>
  <c r="AA360" i="53"/>
  <c r="AB360" i="53" s="1"/>
  <c r="T360" i="53"/>
  <c r="R360" i="53"/>
  <c r="P360" i="53"/>
  <c r="O360" i="53"/>
  <c r="V360" i="53" s="1"/>
  <c r="AA359" i="53"/>
  <c r="AB359" i="53" s="1"/>
  <c r="T359" i="53"/>
  <c r="R359" i="53"/>
  <c r="P359" i="53"/>
  <c r="O359" i="53"/>
  <c r="V359" i="53" s="1"/>
  <c r="Z358" i="53"/>
  <c r="Y358" i="53"/>
  <c r="X358" i="53"/>
  <c r="N358" i="53"/>
  <c r="M358" i="53"/>
  <c r="L358" i="53"/>
  <c r="AA357" i="53"/>
  <c r="AB357" i="53" s="1"/>
  <c r="T357" i="53"/>
  <c r="R357" i="53"/>
  <c r="P357" i="53"/>
  <c r="O357" i="53"/>
  <c r="V357" i="53" s="1"/>
  <c r="AA356" i="53"/>
  <c r="AB356" i="53" s="1"/>
  <c r="T356" i="53"/>
  <c r="R356" i="53"/>
  <c r="P356" i="53"/>
  <c r="O356" i="53"/>
  <c r="V356" i="53" s="1"/>
  <c r="Z355" i="53"/>
  <c r="Y355" i="53"/>
  <c r="X355" i="53"/>
  <c r="X352" i="53" s="1"/>
  <c r="N355" i="53"/>
  <c r="M355" i="53"/>
  <c r="L355" i="53"/>
  <c r="L352" i="53" s="1"/>
  <c r="AA354" i="53"/>
  <c r="AB354" i="53" s="1"/>
  <c r="T354" i="53"/>
  <c r="R354" i="53"/>
  <c r="P354" i="53"/>
  <c r="O354" i="53"/>
  <c r="V354" i="53" s="1"/>
  <c r="AA353" i="53"/>
  <c r="AB353" i="53" s="1"/>
  <c r="T353" i="53"/>
  <c r="R353" i="53"/>
  <c r="P353" i="53"/>
  <c r="O353" i="53"/>
  <c r="V353" i="53" s="1"/>
  <c r="AA350" i="53"/>
  <c r="AB350" i="53" s="1"/>
  <c r="T350" i="53"/>
  <c r="R350" i="53"/>
  <c r="P350" i="53"/>
  <c r="O350" i="53"/>
  <c r="V350" i="53" s="1"/>
  <c r="AA349" i="53"/>
  <c r="AB349" i="53" s="1"/>
  <c r="T349" i="53"/>
  <c r="R349" i="53"/>
  <c r="P349" i="53"/>
  <c r="O349" i="53"/>
  <c r="V349" i="53" s="1"/>
  <c r="AA348" i="53"/>
  <c r="AB348" i="53" s="1"/>
  <c r="T348" i="53"/>
  <c r="R348" i="53"/>
  <c r="P348" i="53"/>
  <c r="O348" i="53"/>
  <c r="V348" i="53" s="1"/>
  <c r="AA347" i="53"/>
  <c r="AB347" i="53" s="1"/>
  <c r="T347" i="53"/>
  <c r="R347" i="53"/>
  <c r="P347" i="53"/>
  <c r="O347" i="53"/>
  <c r="V347" i="53" s="1"/>
  <c r="AA346" i="53"/>
  <c r="AB346" i="53" s="1"/>
  <c r="V346" i="53"/>
  <c r="T346" i="53"/>
  <c r="R346" i="53"/>
  <c r="P346" i="53"/>
  <c r="O346" i="53"/>
  <c r="AA345" i="53"/>
  <c r="AB345" i="53" s="1"/>
  <c r="V345" i="53"/>
  <c r="T345" i="53"/>
  <c r="R345" i="53"/>
  <c r="P345" i="53"/>
  <c r="O345" i="53"/>
  <c r="AA344" i="53"/>
  <c r="AB344" i="53" s="1"/>
  <c r="V344" i="53"/>
  <c r="T344" i="53"/>
  <c r="R344" i="53"/>
  <c r="P344" i="53"/>
  <c r="O344" i="53"/>
  <c r="AA343" i="53"/>
  <c r="AB343" i="53" s="1"/>
  <c r="V343" i="53"/>
  <c r="T343" i="53"/>
  <c r="R343" i="53"/>
  <c r="P343" i="53"/>
  <c r="O343" i="53"/>
  <c r="AA342" i="53"/>
  <c r="AB342" i="53" s="1"/>
  <c r="V342" i="53"/>
  <c r="T342" i="53"/>
  <c r="R342" i="53"/>
  <c r="P342" i="53"/>
  <c r="O342" i="53"/>
  <c r="AA341" i="53"/>
  <c r="AB341" i="53" s="1"/>
  <c r="V341" i="53"/>
  <c r="T341" i="53"/>
  <c r="R341" i="53"/>
  <c r="P341" i="53"/>
  <c r="O341" i="53"/>
  <c r="AA340" i="53"/>
  <c r="AB340" i="53" s="1"/>
  <c r="V340" i="53"/>
  <c r="T340" i="53"/>
  <c r="R340" i="53"/>
  <c r="P340" i="53"/>
  <c r="O340" i="53"/>
  <c r="AA339" i="53"/>
  <c r="AB339" i="53" s="1"/>
  <c r="V339" i="53"/>
  <c r="T339" i="53"/>
  <c r="R339" i="53"/>
  <c r="P339" i="53"/>
  <c r="O339" i="53"/>
  <c r="AA338" i="53"/>
  <c r="AB338" i="53" s="1"/>
  <c r="V338" i="53"/>
  <c r="T338" i="53"/>
  <c r="R338" i="53"/>
  <c r="P338" i="53"/>
  <c r="O338" i="53"/>
  <c r="AA337" i="53"/>
  <c r="AB337" i="53" s="1"/>
  <c r="V337" i="53"/>
  <c r="T337" i="53"/>
  <c r="R337" i="53"/>
  <c r="P337" i="53"/>
  <c r="O337" i="53"/>
  <c r="AA336" i="53"/>
  <c r="AB336" i="53" s="1"/>
  <c r="V336" i="53"/>
  <c r="T336" i="53"/>
  <c r="R336" i="53"/>
  <c r="P336" i="53"/>
  <c r="O336" i="53"/>
  <c r="AA335" i="53"/>
  <c r="AB335" i="53" s="1"/>
  <c r="V335" i="53"/>
  <c r="T335" i="53"/>
  <c r="R335" i="53"/>
  <c r="P335" i="53"/>
  <c r="O335" i="53"/>
  <c r="AA334" i="53"/>
  <c r="AB334" i="53" s="1"/>
  <c r="V334" i="53"/>
  <c r="T334" i="53"/>
  <c r="R334" i="53"/>
  <c r="P334" i="53"/>
  <c r="O334" i="53"/>
  <c r="AA333" i="53"/>
  <c r="AB333" i="53" s="1"/>
  <c r="V333" i="53"/>
  <c r="T333" i="53"/>
  <c r="R333" i="53"/>
  <c r="P333" i="53"/>
  <c r="O333" i="53"/>
  <c r="AA332" i="53"/>
  <c r="AB332" i="53" s="1"/>
  <c r="V332" i="53"/>
  <c r="T332" i="53"/>
  <c r="R332" i="53"/>
  <c r="P332" i="53"/>
  <c r="O332" i="53"/>
  <c r="AA331" i="53"/>
  <c r="AB331" i="53" s="1"/>
  <c r="V331" i="53"/>
  <c r="T331" i="53"/>
  <c r="R331" i="53"/>
  <c r="P331" i="53"/>
  <c r="O331" i="53"/>
  <c r="AA330" i="53"/>
  <c r="AB330" i="53" s="1"/>
  <c r="V330" i="53"/>
  <c r="T330" i="53"/>
  <c r="R330" i="53"/>
  <c r="P330" i="53"/>
  <c r="O330" i="53"/>
  <c r="AA329" i="53"/>
  <c r="AB329" i="53" s="1"/>
  <c r="V329" i="53"/>
  <c r="T329" i="53"/>
  <c r="R329" i="53"/>
  <c r="P329" i="53"/>
  <c r="O329" i="53"/>
  <c r="AA328" i="53"/>
  <c r="AB328" i="53" s="1"/>
  <c r="V328" i="53"/>
  <c r="T328" i="53"/>
  <c r="R328" i="53"/>
  <c r="P328" i="53"/>
  <c r="O328" i="53"/>
  <c r="AA327" i="53"/>
  <c r="AB327" i="53" s="1"/>
  <c r="V327" i="53"/>
  <c r="T327" i="53"/>
  <c r="R327" i="53"/>
  <c r="P327" i="53"/>
  <c r="O327" i="53"/>
  <c r="AA326" i="53"/>
  <c r="AB326" i="53" s="1"/>
  <c r="V326" i="53"/>
  <c r="T326" i="53"/>
  <c r="R326" i="53"/>
  <c r="P326" i="53"/>
  <c r="O326" i="53"/>
  <c r="AA325" i="53"/>
  <c r="AB325" i="53" s="1"/>
  <c r="V325" i="53"/>
  <c r="T325" i="53"/>
  <c r="R325" i="53"/>
  <c r="P325" i="53"/>
  <c r="O325" i="53"/>
  <c r="AA324" i="53"/>
  <c r="AB324" i="53" s="1"/>
  <c r="V324" i="53"/>
  <c r="T324" i="53"/>
  <c r="R324" i="53"/>
  <c r="P324" i="53"/>
  <c r="O324" i="53"/>
  <c r="AA323" i="53"/>
  <c r="AB323" i="53" s="1"/>
  <c r="V323" i="53"/>
  <c r="T323" i="53"/>
  <c r="R323" i="53"/>
  <c r="P323" i="53"/>
  <c r="O323" i="53"/>
  <c r="AA322" i="53"/>
  <c r="AB322" i="53" s="1"/>
  <c r="V322" i="53"/>
  <c r="T322" i="53"/>
  <c r="R322" i="53"/>
  <c r="P322" i="53"/>
  <c r="O322" i="53"/>
  <c r="AA321" i="53"/>
  <c r="AB321" i="53" s="1"/>
  <c r="V321" i="53"/>
  <c r="T321" i="53"/>
  <c r="R321" i="53"/>
  <c r="P321" i="53"/>
  <c r="O321" i="53"/>
  <c r="AA320" i="53"/>
  <c r="AB320" i="53" s="1"/>
  <c r="V320" i="53"/>
  <c r="T320" i="53"/>
  <c r="R320" i="53"/>
  <c r="P320" i="53"/>
  <c r="O320" i="53"/>
  <c r="AA319" i="53"/>
  <c r="AB319" i="53" s="1"/>
  <c r="V319" i="53"/>
  <c r="T319" i="53"/>
  <c r="R319" i="53"/>
  <c r="P319" i="53"/>
  <c r="O319" i="53"/>
  <c r="AA318" i="53"/>
  <c r="AB318" i="53" s="1"/>
  <c r="V318" i="53"/>
  <c r="T318" i="53"/>
  <c r="R318" i="53"/>
  <c r="P318" i="53"/>
  <c r="O318" i="53"/>
  <c r="Z317" i="53"/>
  <c r="Z316" i="53" s="1"/>
  <c r="Y317" i="53"/>
  <c r="Y316" i="53" s="1"/>
  <c r="V317" i="53"/>
  <c r="T317" i="53"/>
  <c r="R317" i="53"/>
  <c r="CA163" i="54" s="1"/>
  <c r="P317" i="53"/>
  <c r="O317" i="53"/>
  <c r="N316" i="53"/>
  <c r="N314" i="53" s="1"/>
  <c r="N310" i="53" s="1"/>
  <c r="M316" i="53"/>
  <c r="M314" i="53" s="1"/>
  <c r="M310" i="53" s="1"/>
  <c r="L316" i="53"/>
  <c r="V315" i="53"/>
  <c r="T315" i="53"/>
  <c r="R315" i="53"/>
  <c r="P315" i="53"/>
  <c r="O315" i="53"/>
  <c r="AA313" i="53"/>
  <c r="AB313" i="53" s="1"/>
  <c r="V313" i="53"/>
  <c r="T313" i="53"/>
  <c r="R313" i="53"/>
  <c r="P313" i="53"/>
  <c r="O313" i="53"/>
  <c r="AA312" i="53"/>
  <c r="AB312" i="53" s="1"/>
  <c r="V312" i="53"/>
  <c r="T312" i="53"/>
  <c r="R312" i="53"/>
  <c r="P312" i="53"/>
  <c r="O312" i="53"/>
  <c r="AA311" i="53"/>
  <c r="AB311" i="53" s="1"/>
  <c r="V311" i="53"/>
  <c r="T311" i="53"/>
  <c r="R311" i="53"/>
  <c r="P311" i="53"/>
  <c r="O311" i="53"/>
  <c r="Z310" i="53"/>
  <c r="Y310" i="53"/>
  <c r="X310" i="53"/>
  <c r="L310" i="53"/>
  <c r="AA309" i="53"/>
  <c r="AB309" i="53" s="1"/>
  <c r="V309" i="53"/>
  <c r="T309" i="53"/>
  <c r="R309" i="53"/>
  <c r="P309" i="53"/>
  <c r="O309" i="53"/>
  <c r="AA308" i="53"/>
  <c r="AB308" i="53" s="1"/>
  <c r="V308" i="53"/>
  <c r="T308" i="53"/>
  <c r="R308" i="53"/>
  <c r="P308" i="53"/>
  <c r="O308" i="53"/>
  <c r="AA307" i="53"/>
  <c r="AB307" i="53" s="1"/>
  <c r="V307" i="53"/>
  <c r="T307" i="53"/>
  <c r="R307" i="53"/>
  <c r="P307" i="53"/>
  <c r="O307" i="53"/>
  <c r="Z306" i="53"/>
  <c r="Y306" i="53"/>
  <c r="X306" i="53"/>
  <c r="N306" i="53"/>
  <c r="M306" i="53"/>
  <c r="L306" i="53"/>
  <c r="AA305" i="53"/>
  <c r="AB305" i="53" s="1"/>
  <c r="V305" i="53"/>
  <c r="T305" i="53"/>
  <c r="R305" i="53"/>
  <c r="P305" i="53"/>
  <c r="O305" i="53"/>
  <c r="AA304" i="53"/>
  <c r="AB304" i="53" s="1"/>
  <c r="V304" i="53"/>
  <c r="T304" i="53"/>
  <c r="R304" i="53"/>
  <c r="P304" i="53"/>
  <c r="O304" i="53"/>
  <c r="AA303" i="53"/>
  <c r="AB303" i="53" s="1"/>
  <c r="V303" i="53"/>
  <c r="T303" i="53"/>
  <c r="R303" i="53"/>
  <c r="P303" i="53"/>
  <c r="O303" i="53"/>
  <c r="Z302" i="53"/>
  <c r="Y302" i="53"/>
  <c r="X302" i="53"/>
  <c r="N302" i="53"/>
  <c r="M302" i="53"/>
  <c r="L302" i="53"/>
  <c r="AA301" i="53"/>
  <c r="AB301" i="53" s="1"/>
  <c r="V301" i="53"/>
  <c r="T301" i="53"/>
  <c r="R301" i="53"/>
  <c r="P301" i="53"/>
  <c r="O301" i="53"/>
  <c r="AA300" i="53"/>
  <c r="AB300" i="53" s="1"/>
  <c r="V300" i="53"/>
  <c r="T300" i="53"/>
  <c r="R300" i="53"/>
  <c r="P300" i="53"/>
  <c r="O300" i="53"/>
  <c r="AA299" i="53"/>
  <c r="AB299" i="53" s="1"/>
  <c r="V299" i="53"/>
  <c r="T299" i="53"/>
  <c r="R299" i="53"/>
  <c r="P299" i="53"/>
  <c r="O299" i="53"/>
  <c r="Z298" i="53"/>
  <c r="Y298" i="53"/>
  <c r="X298" i="53"/>
  <c r="N298" i="53"/>
  <c r="M298" i="53"/>
  <c r="L298" i="53"/>
  <c r="AA297" i="53"/>
  <c r="AB297" i="53" s="1"/>
  <c r="V297" i="53"/>
  <c r="T297" i="53"/>
  <c r="R297" i="53"/>
  <c r="P297" i="53"/>
  <c r="O297" i="53"/>
  <c r="AA296" i="53"/>
  <c r="AB296" i="53" s="1"/>
  <c r="V296" i="53"/>
  <c r="T296" i="53"/>
  <c r="R296" i="53"/>
  <c r="P296" i="53"/>
  <c r="O296" i="53"/>
  <c r="Z295" i="53"/>
  <c r="Z294" i="53" s="1"/>
  <c r="Y295" i="53"/>
  <c r="Y294" i="53" s="1"/>
  <c r="X295" i="53"/>
  <c r="X294" i="53" s="1"/>
  <c r="N295" i="53"/>
  <c r="N294" i="53" s="1"/>
  <c r="M295" i="53"/>
  <c r="M294" i="53" s="1"/>
  <c r="L295" i="53"/>
  <c r="L294" i="53" s="1"/>
  <c r="AA292" i="53"/>
  <c r="AB292" i="53" s="1"/>
  <c r="V292" i="53"/>
  <c r="T292" i="53"/>
  <c r="R292" i="53"/>
  <c r="P292" i="53"/>
  <c r="O292" i="53"/>
  <c r="AA291" i="53"/>
  <c r="AB291" i="53" s="1"/>
  <c r="V291" i="53"/>
  <c r="T291" i="53"/>
  <c r="R291" i="53"/>
  <c r="P291" i="53"/>
  <c r="O291" i="53"/>
  <c r="AA290" i="53"/>
  <c r="AB290" i="53" s="1"/>
  <c r="V290" i="53"/>
  <c r="T290" i="53"/>
  <c r="R290" i="53"/>
  <c r="P290" i="53"/>
  <c r="O290" i="53"/>
  <c r="Z289" i="53"/>
  <c r="Y289" i="53"/>
  <c r="X289" i="53"/>
  <c r="N289" i="53"/>
  <c r="M289" i="53"/>
  <c r="L289" i="53"/>
  <c r="AA288" i="53"/>
  <c r="AB288" i="53" s="1"/>
  <c r="V288" i="53"/>
  <c r="T288" i="53"/>
  <c r="R288" i="53"/>
  <c r="P288" i="53"/>
  <c r="O288" i="53"/>
  <c r="AA287" i="53"/>
  <c r="AB287" i="53" s="1"/>
  <c r="V287" i="53"/>
  <c r="T287" i="53"/>
  <c r="R287" i="53"/>
  <c r="P287" i="53"/>
  <c r="O287" i="53"/>
  <c r="AA286" i="53"/>
  <c r="AB286" i="53" s="1"/>
  <c r="V286" i="53"/>
  <c r="T286" i="53"/>
  <c r="R286" i="53"/>
  <c r="P286" i="53"/>
  <c r="O286" i="53"/>
  <c r="Z285" i="53"/>
  <c r="Y285" i="53"/>
  <c r="X285" i="53"/>
  <c r="X284" i="53" s="1"/>
  <c r="N285" i="53"/>
  <c r="M285" i="53"/>
  <c r="L285" i="53"/>
  <c r="L284" i="53" s="1"/>
  <c r="AA283" i="53"/>
  <c r="AB283" i="53" s="1"/>
  <c r="V283" i="53"/>
  <c r="T283" i="53"/>
  <c r="R283" i="53"/>
  <c r="P283" i="53"/>
  <c r="O283" i="53"/>
  <c r="AA282" i="53"/>
  <c r="AB282" i="53" s="1"/>
  <c r="V282" i="53"/>
  <c r="T282" i="53"/>
  <c r="R282" i="53"/>
  <c r="P282" i="53"/>
  <c r="O282" i="53"/>
  <c r="AA281" i="53"/>
  <c r="AB281" i="53" s="1"/>
  <c r="V281" i="53"/>
  <c r="T281" i="53"/>
  <c r="R281" i="53"/>
  <c r="P281" i="53"/>
  <c r="O281" i="53"/>
  <c r="Z280" i="53"/>
  <c r="Y280" i="53"/>
  <c r="X280" i="53"/>
  <c r="N280" i="53"/>
  <c r="M280" i="53"/>
  <c r="L280" i="53"/>
  <c r="AA279" i="53"/>
  <c r="AB279" i="53" s="1"/>
  <c r="V279" i="53"/>
  <c r="T279" i="53"/>
  <c r="R279" i="53"/>
  <c r="P279" i="53"/>
  <c r="N279" i="53"/>
  <c r="N278" i="53" s="1"/>
  <c r="AA278" i="53"/>
  <c r="AB278" i="53" s="1"/>
  <c r="V278" i="53"/>
  <c r="T278" i="53"/>
  <c r="R278" i="53"/>
  <c r="P278" i="53"/>
  <c r="AA277" i="53"/>
  <c r="AB277" i="53" s="1"/>
  <c r="V277" i="53"/>
  <c r="T277" i="53"/>
  <c r="R277" i="53"/>
  <c r="P277" i="53"/>
  <c r="O277" i="53"/>
  <c r="Z276" i="53"/>
  <c r="Y276" i="53"/>
  <c r="X276" i="53"/>
  <c r="L276" i="53"/>
  <c r="O276" i="53" s="1"/>
  <c r="AA275" i="53"/>
  <c r="AB275" i="53" s="1"/>
  <c r="V275" i="53"/>
  <c r="T275" i="53"/>
  <c r="R275" i="53"/>
  <c r="P275" i="53"/>
  <c r="O275" i="53"/>
  <c r="AA274" i="53"/>
  <c r="AB274" i="53" s="1"/>
  <c r="V274" i="53"/>
  <c r="T274" i="53"/>
  <c r="R274" i="53"/>
  <c r="P274" i="53"/>
  <c r="O274" i="53"/>
  <c r="AA273" i="53"/>
  <c r="AB273" i="53" s="1"/>
  <c r="V273" i="53"/>
  <c r="T273" i="53"/>
  <c r="R273" i="53"/>
  <c r="P273" i="53"/>
  <c r="O273" i="53"/>
  <c r="Z272" i="53"/>
  <c r="Y272" i="53"/>
  <c r="X272" i="53"/>
  <c r="N272" i="53"/>
  <c r="M272" i="53"/>
  <c r="L272" i="53"/>
  <c r="AA270" i="53"/>
  <c r="AB270" i="53" s="1"/>
  <c r="V270" i="53"/>
  <c r="T270" i="53"/>
  <c r="R270" i="53"/>
  <c r="P270" i="53"/>
  <c r="O270" i="53"/>
  <c r="AA269" i="53"/>
  <c r="AB269" i="53" s="1"/>
  <c r="V269" i="53"/>
  <c r="T269" i="53"/>
  <c r="R269" i="53"/>
  <c r="P269" i="53"/>
  <c r="O269" i="53"/>
  <c r="AA268" i="53"/>
  <c r="AB268" i="53" s="1"/>
  <c r="V268" i="53"/>
  <c r="T268" i="53"/>
  <c r="R268" i="53"/>
  <c r="P268" i="53"/>
  <c r="O268" i="53"/>
  <c r="Z267" i="53"/>
  <c r="Y267" i="53"/>
  <c r="X267" i="53"/>
  <c r="N267" i="53"/>
  <c r="M267" i="53"/>
  <c r="L267" i="53"/>
  <c r="AA266" i="53"/>
  <c r="AB266" i="53" s="1"/>
  <c r="V266" i="53"/>
  <c r="T266" i="53"/>
  <c r="R266" i="53"/>
  <c r="P266" i="53"/>
  <c r="O266" i="53"/>
  <c r="AA265" i="53"/>
  <c r="AB265" i="53" s="1"/>
  <c r="V265" i="53"/>
  <c r="T265" i="53"/>
  <c r="R265" i="53"/>
  <c r="P265" i="53"/>
  <c r="O265" i="53"/>
  <c r="AA264" i="53"/>
  <c r="AB264" i="53" s="1"/>
  <c r="V264" i="53"/>
  <c r="T264" i="53"/>
  <c r="R264" i="53"/>
  <c r="P264" i="53"/>
  <c r="O264" i="53"/>
  <c r="Z263" i="53"/>
  <c r="Y263" i="53"/>
  <c r="X263" i="53"/>
  <c r="N263" i="53"/>
  <c r="M263" i="53"/>
  <c r="L263" i="53"/>
  <c r="L262" i="53" s="1"/>
  <c r="AA261" i="53"/>
  <c r="AB261" i="53" s="1"/>
  <c r="V261" i="53"/>
  <c r="T261" i="53"/>
  <c r="R261" i="53"/>
  <c r="P261" i="53"/>
  <c r="O261" i="53"/>
  <c r="AA260" i="53"/>
  <c r="AB260" i="53" s="1"/>
  <c r="V260" i="53"/>
  <c r="T260" i="53"/>
  <c r="R260" i="53"/>
  <c r="P260" i="53"/>
  <c r="O260" i="53"/>
  <c r="AA259" i="53"/>
  <c r="AB259" i="53" s="1"/>
  <c r="V259" i="53"/>
  <c r="T259" i="53"/>
  <c r="R259" i="53"/>
  <c r="P259" i="53"/>
  <c r="O259" i="53"/>
  <c r="Z258" i="53"/>
  <c r="Y258" i="53"/>
  <c r="X258" i="53"/>
  <c r="N258" i="53"/>
  <c r="M258" i="53"/>
  <c r="L258" i="53"/>
  <c r="AA257" i="53"/>
  <c r="AB257" i="53" s="1"/>
  <c r="V257" i="53"/>
  <c r="T257" i="53"/>
  <c r="R257" i="53"/>
  <c r="P257" i="53"/>
  <c r="O257" i="53"/>
  <c r="AA256" i="53"/>
  <c r="AB256" i="53" s="1"/>
  <c r="V256" i="53"/>
  <c r="T256" i="53"/>
  <c r="R256" i="53"/>
  <c r="P256" i="53"/>
  <c r="O256" i="53"/>
  <c r="AA255" i="53"/>
  <c r="AB255" i="53" s="1"/>
  <c r="V255" i="53"/>
  <c r="T255" i="53"/>
  <c r="R255" i="53"/>
  <c r="P255" i="53"/>
  <c r="O255" i="53"/>
  <c r="Z254" i="53"/>
  <c r="Y254" i="53"/>
  <c r="X254" i="53"/>
  <c r="N254" i="53"/>
  <c r="M254" i="53"/>
  <c r="L254" i="53"/>
  <c r="AA251" i="53"/>
  <c r="AB251" i="53" s="1"/>
  <c r="V251" i="53"/>
  <c r="T251" i="53"/>
  <c r="R251" i="53"/>
  <c r="P251" i="53"/>
  <c r="O251" i="53"/>
  <c r="AA250" i="53"/>
  <c r="AB250" i="53" s="1"/>
  <c r="V250" i="53"/>
  <c r="T250" i="53"/>
  <c r="R250" i="53"/>
  <c r="P250" i="53"/>
  <c r="O250" i="53"/>
  <c r="AA249" i="53"/>
  <c r="AB249" i="53" s="1"/>
  <c r="V249" i="53"/>
  <c r="T249" i="53"/>
  <c r="R249" i="53"/>
  <c r="P249" i="53"/>
  <c r="O249" i="53"/>
  <c r="Z248" i="53"/>
  <c r="Y248" i="53"/>
  <c r="X248" i="53"/>
  <c r="N248" i="53"/>
  <c r="M248" i="53"/>
  <c r="L248" i="53"/>
  <c r="AA247" i="53"/>
  <c r="AB247" i="53" s="1"/>
  <c r="V247" i="53"/>
  <c r="T247" i="53"/>
  <c r="R247" i="53"/>
  <c r="P247" i="53"/>
  <c r="O247" i="53"/>
  <c r="AA246" i="53"/>
  <c r="AB246" i="53" s="1"/>
  <c r="V246" i="53"/>
  <c r="T246" i="53"/>
  <c r="R246" i="53"/>
  <c r="P246" i="53"/>
  <c r="O246" i="53"/>
  <c r="AA245" i="53"/>
  <c r="AB245" i="53" s="1"/>
  <c r="V245" i="53"/>
  <c r="T245" i="53"/>
  <c r="R245" i="53"/>
  <c r="P245" i="53"/>
  <c r="O245" i="53"/>
  <c r="Z244" i="53"/>
  <c r="Y244" i="53"/>
  <c r="X244" i="53"/>
  <c r="N244" i="53"/>
  <c r="M244" i="53"/>
  <c r="L244" i="53"/>
  <c r="AA243" i="53"/>
  <c r="AB243" i="53" s="1"/>
  <c r="V243" i="53"/>
  <c r="T243" i="53"/>
  <c r="R243" i="53"/>
  <c r="P243" i="53"/>
  <c r="O243" i="53"/>
  <c r="AA242" i="53"/>
  <c r="AB242" i="53" s="1"/>
  <c r="V242" i="53"/>
  <c r="T242" i="53"/>
  <c r="R242" i="53"/>
  <c r="P242" i="53"/>
  <c r="O242" i="53"/>
  <c r="AA241" i="53"/>
  <c r="AB241" i="53" s="1"/>
  <c r="V241" i="53"/>
  <c r="T241" i="53"/>
  <c r="R241" i="53"/>
  <c r="P241" i="53"/>
  <c r="O241" i="53"/>
  <c r="Z240" i="53"/>
  <c r="Y240" i="53"/>
  <c r="X240" i="53"/>
  <c r="W240" i="53"/>
  <c r="W248" i="53" s="1"/>
  <c r="N240" i="53"/>
  <c r="M240" i="53"/>
  <c r="L240" i="53"/>
  <c r="AA239" i="53"/>
  <c r="AB239" i="53" s="1"/>
  <c r="V239" i="53"/>
  <c r="T239" i="53"/>
  <c r="R239" i="53"/>
  <c r="P239" i="53"/>
  <c r="O239" i="53"/>
  <c r="AA238" i="53"/>
  <c r="AB238" i="53" s="1"/>
  <c r="V238" i="53"/>
  <c r="T238" i="53"/>
  <c r="R238" i="53"/>
  <c r="P238" i="53"/>
  <c r="O238" i="53"/>
  <c r="AA237" i="53"/>
  <c r="AB237" i="53" s="1"/>
  <c r="V237" i="53"/>
  <c r="T237" i="53"/>
  <c r="R237" i="53"/>
  <c r="P237" i="53"/>
  <c r="O237" i="53"/>
  <c r="Z236" i="53"/>
  <c r="Y236" i="53"/>
  <c r="X236" i="53"/>
  <c r="N236" i="53"/>
  <c r="M236" i="53"/>
  <c r="L236" i="53"/>
  <c r="AA232" i="53"/>
  <c r="AB232" i="53" s="1"/>
  <c r="V232" i="53"/>
  <c r="T232" i="53"/>
  <c r="R232" i="53"/>
  <c r="P232" i="53"/>
  <c r="O232" i="53"/>
  <c r="AA231" i="53"/>
  <c r="AB231" i="53" s="1"/>
  <c r="V231" i="53"/>
  <c r="T231" i="53"/>
  <c r="R231" i="53"/>
  <c r="P231" i="53"/>
  <c r="O231" i="53"/>
  <c r="AA230" i="53"/>
  <c r="AB230" i="53" s="1"/>
  <c r="V230" i="53"/>
  <c r="T230" i="53"/>
  <c r="R230" i="53"/>
  <c r="P230" i="53"/>
  <c r="O230" i="53"/>
  <c r="Z229" i="53"/>
  <c r="Y229" i="53"/>
  <c r="X229" i="53"/>
  <c r="N229" i="53"/>
  <c r="M229" i="53"/>
  <c r="L229" i="53"/>
  <c r="AA228" i="53"/>
  <c r="AB228" i="53" s="1"/>
  <c r="V228" i="53"/>
  <c r="T228" i="53"/>
  <c r="R228" i="53"/>
  <c r="P228" i="53"/>
  <c r="O228" i="53"/>
  <c r="AA227" i="53"/>
  <c r="AB227" i="53" s="1"/>
  <c r="V227" i="53"/>
  <c r="T227" i="53"/>
  <c r="R227" i="53"/>
  <c r="P227" i="53"/>
  <c r="O227" i="53"/>
  <c r="AA226" i="53"/>
  <c r="AB226" i="53" s="1"/>
  <c r="V226" i="53"/>
  <c r="T226" i="53"/>
  <c r="R226" i="53"/>
  <c r="P226" i="53"/>
  <c r="O226" i="53"/>
  <c r="Z225" i="53"/>
  <c r="Y225" i="53"/>
  <c r="X225" i="53"/>
  <c r="N225" i="53"/>
  <c r="M225" i="53"/>
  <c r="L225" i="53"/>
  <c r="AA224" i="53"/>
  <c r="AB224" i="53" s="1"/>
  <c r="V224" i="53"/>
  <c r="T224" i="53"/>
  <c r="R224" i="53"/>
  <c r="P224" i="53"/>
  <c r="O224" i="53"/>
  <c r="AA223" i="53"/>
  <c r="AB223" i="53" s="1"/>
  <c r="V223" i="53"/>
  <c r="T223" i="53"/>
  <c r="R223" i="53"/>
  <c r="P223" i="53"/>
  <c r="O223" i="53"/>
  <c r="AA222" i="53"/>
  <c r="AB222" i="53" s="1"/>
  <c r="V222" i="53"/>
  <c r="T222" i="53"/>
  <c r="R222" i="53"/>
  <c r="P222" i="53"/>
  <c r="O222" i="53"/>
  <c r="Z221" i="53"/>
  <c r="Y221" i="53"/>
  <c r="X221" i="53"/>
  <c r="N221" i="53"/>
  <c r="M221" i="53"/>
  <c r="L221" i="53"/>
  <c r="AA220" i="53"/>
  <c r="AB220" i="53" s="1"/>
  <c r="V220" i="53"/>
  <c r="T220" i="53"/>
  <c r="P220" i="53"/>
  <c r="O220" i="53"/>
  <c r="AA219" i="53"/>
  <c r="AB219" i="53" s="1"/>
  <c r="V219" i="53"/>
  <c r="T219" i="53"/>
  <c r="P219" i="53"/>
  <c r="O219" i="53"/>
  <c r="AA218" i="53"/>
  <c r="AB218" i="53" s="1"/>
  <c r="V218" i="53"/>
  <c r="T218" i="53"/>
  <c r="P218" i="53"/>
  <c r="O218" i="53"/>
  <c r="Z217" i="53"/>
  <c r="Y217" i="53"/>
  <c r="X217" i="53"/>
  <c r="R217" i="53"/>
  <c r="N217" i="53"/>
  <c r="M217" i="53"/>
  <c r="L217" i="53"/>
  <c r="AA216" i="53"/>
  <c r="AB216" i="53" s="1"/>
  <c r="V216" i="53"/>
  <c r="T216" i="53"/>
  <c r="R216" i="53"/>
  <c r="P216" i="53"/>
  <c r="O216" i="53"/>
  <c r="AA215" i="53"/>
  <c r="AB215" i="53" s="1"/>
  <c r="V215" i="53"/>
  <c r="T215" i="53"/>
  <c r="R215" i="53"/>
  <c r="P215" i="53"/>
  <c r="O215" i="53"/>
  <c r="AA214" i="53"/>
  <c r="AB214" i="53" s="1"/>
  <c r="V214" i="53"/>
  <c r="T214" i="53"/>
  <c r="R214" i="53"/>
  <c r="P214" i="53"/>
  <c r="O214" i="53"/>
  <c r="Z213" i="53"/>
  <c r="Y213" i="53"/>
  <c r="X213" i="53"/>
  <c r="N213" i="53"/>
  <c r="M213" i="53"/>
  <c r="L213" i="53"/>
  <c r="AA210" i="53"/>
  <c r="AB210" i="53" s="1"/>
  <c r="V210" i="53"/>
  <c r="T210" i="53"/>
  <c r="R210" i="53"/>
  <c r="P210" i="53"/>
  <c r="O210" i="53"/>
  <c r="AA209" i="53"/>
  <c r="AB209" i="53" s="1"/>
  <c r="V209" i="53"/>
  <c r="T209" i="53"/>
  <c r="R209" i="53"/>
  <c r="P209" i="53"/>
  <c r="O209" i="53"/>
  <c r="AA208" i="53"/>
  <c r="AB208" i="53" s="1"/>
  <c r="V208" i="53"/>
  <c r="T208" i="53"/>
  <c r="R208" i="53"/>
  <c r="P208" i="53"/>
  <c r="O208" i="53"/>
  <c r="Z207" i="53"/>
  <c r="Y207" i="53"/>
  <c r="Y206" i="53" s="1"/>
  <c r="Y205" i="53" s="1"/>
  <c r="X207" i="53"/>
  <c r="X206" i="53" s="1"/>
  <c r="X205" i="53" s="1"/>
  <c r="N207" i="53"/>
  <c r="N206" i="53" s="1"/>
  <c r="N205" i="53" s="1"/>
  <c r="M207" i="53"/>
  <c r="M206" i="53" s="1"/>
  <c r="M205" i="53" s="1"/>
  <c r="L207" i="53"/>
  <c r="L206" i="53" s="1"/>
  <c r="L205" i="53" s="1"/>
  <c r="AA204" i="53"/>
  <c r="AB204" i="53" s="1"/>
  <c r="V204" i="53"/>
  <c r="T204" i="53"/>
  <c r="R204" i="53"/>
  <c r="P204" i="53"/>
  <c r="O204" i="53"/>
  <c r="AA203" i="53"/>
  <c r="AB203" i="53" s="1"/>
  <c r="V203" i="53"/>
  <c r="T203" i="53"/>
  <c r="R203" i="53"/>
  <c r="P203" i="53"/>
  <c r="O203" i="53"/>
  <c r="AA202" i="53"/>
  <c r="AB202" i="53" s="1"/>
  <c r="V202" i="53"/>
  <c r="T202" i="53"/>
  <c r="R202" i="53"/>
  <c r="P202" i="53"/>
  <c r="O202" i="53"/>
  <c r="Z201" i="53"/>
  <c r="Z200" i="53" s="1"/>
  <c r="Y201" i="53"/>
  <c r="X201" i="53"/>
  <c r="X200" i="53" s="1"/>
  <c r="N201" i="53"/>
  <c r="N200" i="53" s="1"/>
  <c r="M201" i="53"/>
  <c r="M200" i="53" s="1"/>
  <c r="L201" i="53"/>
  <c r="AA199" i="53"/>
  <c r="AB199" i="53" s="1"/>
  <c r="V199" i="53"/>
  <c r="T199" i="53"/>
  <c r="R199" i="53"/>
  <c r="P199" i="53"/>
  <c r="O199" i="53"/>
  <c r="Z198" i="53"/>
  <c r="Y198" i="53"/>
  <c r="V198" i="53"/>
  <c r="T198" i="53"/>
  <c r="BW163" i="54"/>
  <c r="P198" i="53"/>
  <c r="O198" i="53"/>
  <c r="Z197" i="53"/>
  <c r="Y197" i="53"/>
  <c r="W197" i="53"/>
  <c r="T197" i="53"/>
  <c r="P197" i="53"/>
  <c r="O197" i="53"/>
  <c r="N196" i="53"/>
  <c r="N195" i="53" s="1"/>
  <c r="M196" i="53"/>
  <c r="M195" i="53" s="1"/>
  <c r="L196" i="53"/>
  <c r="AA192" i="53"/>
  <c r="AB192" i="53" s="1"/>
  <c r="V192" i="53"/>
  <c r="T192" i="53"/>
  <c r="R192" i="53"/>
  <c r="P192" i="53"/>
  <c r="O192" i="53"/>
  <c r="AA191" i="53"/>
  <c r="AB191" i="53" s="1"/>
  <c r="V191" i="53"/>
  <c r="T191" i="53"/>
  <c r="R191" i="53"/>
  <c r="P191" i="53"/>
  <c r="O191" i="53"/>
  <c r="AA190" i="53"/>
  <c r="AB190" i="53" s="1"/>
  <c r="V190" i="53"/>
  <c r="T190" i="53"/>
  <c r="R190" i="53"/>
  <c r="P190" i="53"/>
  <c r="O190" i="53"/>
  <c r="Z189" i="53"/>
  <c r="Y189" i="53"/>
  <c r="X189" i="53"/>
  <c r="N189" i="53"/>
  <c r="M189" i="53"/>
  <c r="L189" i="53"/>
  <c r="AA188" i="53"/>
  <c r="AB188" i="53" s="1"/>
  <c r="V188" i="53"/>
  <c r="T188" i="53"/>
  <c r="R188" i="53"/>
  <c r="P188" i="53"/>
  <c r="O188" i="53"/>
  <c r="AA187" i="53"/>
  <c r="AB187" i="53" s="1"/>
  <c r="V187" i="53"/>
  <c r="T187" i="53"/>
  <c r="R187" i="53"/>
  <c r="P187" i="53"/>
  <c r="O187" i="53"/>
  <c r="AA186" i="53"/>
  <c r="AB186" i="53" s="1"/>
  <c r="V186" i="53"/>
  <c r="T186" i="53"/>
  <c r="R186" i="53"/>
  <c r="P186" i="53"/>
  <c r="O186" i="53"/>
  <c r="Z185" i="53"/>
  <c r="Y185" i="53"/>
  <c r="X185" i="53"/>
  <c r="N185" i="53"/>
  <c r="M185" i="53"/>
  <c r="L185" i="53"/>
  <c r="AA184" i="53"/>
  <c r="AB184" i="53" s="1"/>
  <c r="V184" i="53"/>
  <c r="T184" i="53"/>
  <c r="R184" i="53"/>
  <c r="P184" i="53"/>
  <c r="O184" i="53"/>
  <c r="AA183" i="53"/>
  <c r="AB183" i="53" s="1"/>
  <c r="V183" i="53"/>
  <c r="T183" i="53"/>
  <c r="R183" i="53"/>
  <c r="P183" i="53"/>
  <c r="O183" i="53"/>
  <c r="AA182" i="53"/>
  <c r="AB182" i="53" s="1"/>
  <c r="V182" i="53"/>
  <c r="T182" i="53"/>
  <c r="R182" i="53"/>
  <c r="P182" i="53"/>
  <c r="O182" i="53"/>
  <c r="Z181" i="53"/>
  <c r="Y181" i="53"/>
  <c r="X181" i="53"/>
  <c r="N181" i="53"/>
  <c r="M181" i="53"/>
  <c r="L181" i="53"/>
  <c r="AA180" i="53"/>
  <c r="AB180" i="53" s="1"/>
  <c r="V180" i="53"/>
  <c r="T180" i="53"/>
  <c r="R180" i="53"/>
  <c r="P180" i="53"/>
  <c r="O180" i="53"/>
  <c r="AA179" i="53"/>
  <c r="AB179" i="53" s="1"/>
  <c r="V179" i="53"/>
  <c r="T179" i="53"/>
  <c r="R179" i="53"/>
  <c r="P179" i="53"/>
  <c r="O179" i="53"/>
  <c r="AA178" i="53"/>
  <c r="AB178" i="53" s="1"/>
  <c r="V178" i="53"/>
  <c r="T178" i="53"/>
  <c r="R178" i="53"/>
  <c r="P178" i="53"/>
  <c r="O178" i="53"/>
  <c r="Z177" i="53"/>
  <c r="Y177" i="53"/>
  <c r="X177" i="53"/>
  <c r="N177" i="53"/>
  <c r="M177" i="53"/>
  <c r="L177" i="53"/>
  <c r="AA176" i="53"/>
  <c r="AB176" i="53" s="1"/>
  <c r="V176" i="53"/>
  <c r="T176" i="53"/>
  <c r="R176" i="53"/>
  <c r="P176" i="53"/>
  <c r="O176" i="53"/>
  <c r="AA175" i="53"/>
  <c r="AB175" i="53" s="1"/>
  <c r="V175" i="53"/>
  <c r="T175" i="53"/>
  <c r="R175" i="53"/>
  <c r="P175" i="53"/>
  <c r="O175" i="53"/>
  <c r="AA174" i="53"/>
  <c r="AB174" i="53" s="1"/>
  <c r="V174" i="53"/>
  <c r="T174" i="53"/>
  <c r="R174" i="53"/>
  <c r="P174" i="53"/>
  <c r="O174" i="53"/>
  <c r="Z173" i="53"/>
  <c r="Y173" i="53"/>
  <c r="X173" i="53"/>
  <c r="N173" i="53"/>
  <c r="M173" i="53"/>
  <c r="L173" i="53"/>
  <c r="AA172" i="53"/>
  <c r="AB172" i="53" s="1"/>
  <c r="V172" i="53"/>
  <c r="T172" i="53"/>
  <c r="R172" i="53"/>
  <c r="P172" i="53"/>
  <c r="O172" i="53"/>
  <c r="AA171" i="53"/>
  <c r="AB171" i="53" s="1"/>
  <c r="V171" i="53"/>
  <c r="T171" i="53"/>
  <c r="R171" i="53"/>
  <c r="P171" i="53"/>
  <c r="O171" i="53"/>
  <c r="AA170" i="53"/>
  <c r="AB170" i="53" s="1"/>
  <c r="V170" i="53"/>
  <c r="T170" i="53"/>
  <c r="R170" i="53"/>
  <c r="P170" i="53"/>
  <c r="O170" i="53"/>
  <c r="Z169" i="53"/>
  <c r="Y169" i="53"/>
  <c r="X169" i="53"/>
  <c r="N169" i="53"/>
  <c r="M169" i="53"/>
  <c r="L169" i="53"/>
  <c r="AA168" i="53"/>
  <c r="AB168" i="53" s="1"/>
  <c r="V168" i="53"/>
  <c r="T168" i="53"/>
  <c r="R168" i="53"/>
  <c r="P168" i="53"/>
  <c r="O168" i="53"/>
  <c r="AA167" i="53"/>
  <c r="AB167" i="53" s="1"/>
  <c r="V167" i="53"/>
  <c r="T167" i="53"/>
  <c r="R167" i="53"/>
  <c r="P167" i="53"/>
  <c r="O167" i="53"/>
  <c r="AA166" i="53"/>
  <c r="AB166" i="53" s="1"/>
  <c r="V166" i="53"/>
  <c r="T166" i="53"/>
  <c r="R166" i="53"/>
  <c r="P166" i="53"/>
  <c r="O166" i="53"/>
  <c r="Z165" i="53"/>
  <c r="Y165" i="53"/>
  <c r="X165" i="53"/>
  <c r="N165" i="53"/>
  <c r="M165" i="53"/>
  <c r="L165" i="53"/>
  <c r="AA164" i="53"/>
  <c r="AB164" i="53" s="1"/>
  <c r="V164" i="53"/>
  <c r="T164" i="53"/>
  <c r="R164" i="53"/>
  <c r="P164" i="53"/>
  <c r="O164" i="53"/>
  <c r="AA163" i="53"/>
  <c r="AB163" i="53" s="1"/>
  <c r="V163" i="53"/>
  <c r="T163" i="53"/>
  <c r="R163" i="53"/>
  <c r="P163" i="53"/>
  <c r="O163" i="53"/>
  <c r="AA162" i="53"/>
  <c r="AB162" i="53" s="1"/>
  <c r="V162" i="53"/>
  <c r="T162" i="53"/>
  <c r="R162" i="53"/>
  <c r="P162" i="53"/>
  <c r="O162" i="53"/>
  <c r="Z161" i="53"/>
  <c r="Y161" i="53"/>
  <c r="X161" i="53"/>
  <c r="N161" i="53"/>
  <c r="M161" i="53"/>
  <c r="L161" i="53"/>
  <c r="AA160" i="53"/>
  <c r="AB160" i="53" s="1"/>
  <c r="V160" i="53"/>
  <c r="T160" i="53"/>
  <c r="R160" i="53"/>
  <c r="P160" i="53"/>
  <c r="O160" i="53"/>
  <c r="AA159" i="53"/>
  <c r="AB159" i="53" s="1"/>
  <c r="V159" i="53"/>
  <c r="T159" i="53"/>
  <c r="R159" i="53"/>
  <c r="P159" i="53"/>
  <c r="O159" i="53"/>
  <c r="AA158" i="53"/>
  <c r="AB158" i="53" s="1"/>
  <c r="V158" i="53"/>
  <c r="T158" i="53"/>
  <c r="R158" i="53"/>
  <c r="P158" i="53"/>
  <c r="O158" i="53"/>
  <c r="Z157" i="53"/>
  <c r="Y157" i="53"/>
  <c r="X157" i="53"/>
  <c r="N157" i="53"/>
  <c r="M157" i="53"/>
  <c r="L157" i="53"/>
  <c r="AA156" i="53"/>
  <c r="AB156" i="53" s="1"/>
  <c r="V156" i="53"/>
  <c r="T156" i="53"/>
  <c r="R156" i="53"/>
  <c r="P156" i="53"/>
  <c r="O156" i="53"/>
  <c r="AA155" i="53"/>
  <c r="AB155" i="53" s="1"/>
  <c r="V155" i="53"/>
  <c r="T155" i="53"/>
  <c r="R155" i="53"/>
  <c r="P155" i="53"/>
  <c r="O155" i="53"/>
  <c r="Z154" i="53"/>
  <c r="Y154" i="53"/>
  <c r="X154" i="53"/>
  <c r="N154" i="53"/>
  <c r="M154" i="53"/>
  <c r="L154" i="53"/>
  <c r="AA152" i="53"/>
  <c r="AB152" i="53" s="1"/>
  <c r="V152" i="53"/>
  <c r="T152" i="53"/>
  <c r="R152" i="53"/>
  <c r="P152" i="53"/>
  <c r="O152" i="53"/>
  <c r="AA151" i="53"/>
  <c r="AB151" i="53" s="1"/>
  <c r="V151" i="53"/>
  <c r="T151" i="53"/>
  <c r="R151" i="53"/>
  <c r="P151" i="53"/>
  <c r="O151" i="53"/>
  <c r="AA150" i="53"/>
  <c r="AB150" i="53" s="1"/>
  <c r="V150" i="53"/>
  <c r="T150" i="53"/>
  <c r="R150" i="53"/>
  <c r="P150" i="53"/>
  <c r="O150" i="53"/>
  <c r="Z149" i="53"/>
  <c r="Y149" i="53"/>
  <c r="X149" i="53"/>
  <c r="N149" i="53"/>
  <c r="M149" i="53"/>
  <c r="L149" i="53"/>
  <c r="AA148" i="53"/>
  <c r="AB148" i="53" s="1"/>
  <c r="V148" i="53"/>
  <c r="T148" i="53"/>
  <c r="R148" i="53"/>
  <c r="P148" i="53"/>
  <c r="O148" i="53"/>
  <c r="AA147" i="53"/>
  <c r="AB147" i="53" s="1"/>
  <c r="V147" i="53"/>
  <c r="T147" i="53"/>
  <c r="R147" i="53"/>
  <c r="P147" i="53"/>
  <c r="O147" i="53"/>
  <c r="AA146" i="53"/>
  <c r="AB146" i="53" s="1"/>
  <c r="V146" i="53"/>
  <c r="T146" i="53"/>
  <c r="R146" i="53"/>
  <c r="P146" i="53"/>
  <c r="O146" i="53"/>
  <c r="Z145" i="53"/>
  <c r="Y145" i="53"/>
  <c r="X145" i="53"/>
  <c r="N145" i="53"/>
  <c r="M145" i="53"/>
  <c r="L145" i="53"/>
  <c r="AA144" i="53"/>
  <c r="AB144" i="53" s="1"/>
  <c r="V144" i="53"/>
  <c r="T144" i="53"/>
  <c r="R144" i="53"/>
  <c r="P144" i="53"/>
  <c r="O144" i="53"/>
  <c r="AA143" i="53"/>
  <c r="AB143" i="53" s="1"/>
  <c r="V143" i="53"/>
  <c r="T143" i="53"/>
  <c r="R143" i="53"/>
  <c r="P143" i="53"/>
  <c r="O143" i="53"/>
  <c r="AA142" i="53"/>
  <c r="AB142" i="53" s="1"/>
  <c r="V142" i="53"/>
  <c r="T142" i="53"/>
  <c r="R142" i="53"/>
  <c r="P142" i="53"/>
  <c r="O142" i="53"/>
  <c r="Z141" i="53"/>
  <c r="Y141" i="53"/>
  <c r="X141" i="53"/>
  <c r="N141" i="53"/>
  <c r="M141" i="53"/>
  <c r="L141" i="53"/>
  <c r="AA140" i="53"/>
  <c r="AB140" i="53" s="1"/>
  <c r="V140" i="53"/>
  <c r="T140" i="53"/>
  <c r="R140" i="53"/>
  <c r="P140" i="53"/>
  <c r="O140" i="53"/>
  <c r="AA139" i="53"/>
  <c r="AB139" i="53" s="1"/>
  <c r="V139" i="53"/>
  <c r="T139" i="53"/>
  <c r="R139" i="53"/>
  <c r="P139" i="53"/>
  <c r="O139" i="53"/>
  <c r="AA138" i="53"/>
  <c r="AB138" i="53" s="1"/>
  <c r="V138" i="53"/>
  <c r="T138" i="53"/>
  <c r="R138" i="53"/>
  <c r="P138" i="53"/>
  <c r="O138" i="53"/>
  <c r="Z137" i="53"/>
  <c r="Y137" i="53"/>
  <c r="X137" i="53"/>
  <c r="N137" i="53"/>
  <c r="M137" i="53"/>
  <c r="L137" i="53"/>
  <c r="AA136" i="53"/>
  <c r="AB136" i="53" s="1"/>
  <c r="V136" i="53"/>
  <c r="T136" i="53"/>
  <c r="R136" i="53"/>
  <c r="P136" i="53"/>
  <c r="O136" i="53"/>
  <c r="AA135" i="53"/>
  <c r="AB135" i="53" s="1"/>
  <c r="V135" i="53"/>
  <c r="T135" i="53"/>
  <c r="R135" i="53"/>
  <c r="P135" i="53"/>
  <c r="O135" i="53"/>
  <c r="AA134" i="53"/>
  <c r="AB134" i="53" s="1"/>
  <c r="V134" i="53"/>
  <c r="T134" i="53"/>
  <c r="R134" i="53"/>
  <c r="P134" i="53"/>
  <c r="O134" i="53"/>
  <c r="Z133" i="53"/>
  <c r="Y133" i="53"/>
  <c r="X133" i="53"/>
  <c r="N133" i="53"/>
  <c r="M133" i="53"/>
  <c r="L133" i="53"/>
  <c r="AA132" i="53"/>
  <c r="AB132" i="53" s="1"/>
  <c r="V132" i="53"/>
  <c r="T132" i="53"/>
  <c r="R132" i="53"/>
  <c r="P132" i="53"/>
  <c r="O132" i="53"/>
  <c r="AA131" i="53"/>
  <c r="AB131" i="53" s="1"/>
  <c r="V131" i="53"/>
  <c r="T131" i="53"/>
  <c r="R131" i="53"/>
  <c r="P131" i="53"/>
  <c r="O131" i="53"/>
  <c r="AA130" i="53"/>
  <c r="AB130" i="53" s="1"/>
  <c r="V130" i="53"/>
  <c r="T130" i="53"/>
  <c r="R130" i="53"/>
  <c r="P130" i="53"/>
  <c r="O130" i="53"/>
  <c r="Z129" i="53"/>
  <c r="Y129" i="53"/>
  <c r="X129" i="53"/>
  <c r="N129" i="53"/>
  <c r="M129" i="53"/>
  <c r="L129" i="53"/>
  <c r="AA128" i="53"/>
  <c r="AB128" i="53" s="1"/>
  <c r="V128" i="53"/>
  <c r="T128" i="53"/>
  <c r="R128" i="53"/>
  <c r="P128" i="53"/>
  <c r="O128" i="53"/>
  <c r="AA127" i="53"/>
  <c r="AB127" i="53" s="1"/>
  <c r="V127" i="53"/>
  <c r="T127" i="53"/>
  <c r="R127" i="53"/>
  <c r="P127" i="53"/>
  <c r="O127" i="53"/>
  <c r="AA126" i="53"/>
  <c r="AB126" i="53" s="1"/>
  <c r="V126" i="53"/>
  <c r="T126" i="53"/>
  <c r="T125" i="53" s="1"/>
  <c r="R126" i="53"/>
  <c r="R125" i="53" s="1"/>
  <c r="P126" i="53"/>
  <c r="P125" i="53" s="1"/>
  <c r="O126" i="53"/>
  <c r="Z125" i="53"/>
  <c r="Y125" i="53"/>
  <c r="X125" i="53"/>
  <c r="N125" i="53"/>
  <c r="M125" i="53"/>
  <c r="L125" i="53"/>
  <c r="AA124" i="53"/>
  <c r="AB124" i="53" s="1"/>
  <c r="V124" i="53"/>
  <c r="T124" i="53"/>
  <c r="R124" i="53"/>
  <c r="P124" i="53"/>
  <c r="O124" i="53"/>
  <c r="AA123" i="53"/>
  <c r="AB123" i="53" s="1"/>
  <c r="V123" i="53"/>
  <c r="T123" i="53"/>
  <c r="R123" i="53"/>
  <c r="P123" i="53"/>
  <c r="O123" i="53"/>
  <c r="AA122" i="53"/>
  <c r="AB122" i="53" s="1"/>
  <c r="V122" i="53"/>
  <c r="T122" i="53"/>
  <c r="R122" i="53"/>
  <c r="P122" i="53"/>
  <c r="O122" i="53"/>
  <c r="Z121" i="53"/>
  <c r="Y121" i="53"/>
  <c r="X121" i="53"/>
  <c r="N121" i="53"/>
  <c r="M121" i="53"/>
  <c r="L121" i="53"/>
  <c r="AA120" i="53"/>
  <c r="AB120" i="53" s="1"/>
  <c r="V120" i="53"/>
  <c r="T120" i="53"/>
  <c r="R120" i="53"/>
  <c r="P120" i="53"/>
  <c r="O120" i="53"/>
  <c r="AA119" i="53"/>
  <c r="AB119" i="53" s="1"/>
  <c r="V119" i="53"/>
  <c r="T119" i="53"/>
  <c r="R119" i="53"/>
  <c r="P119" i="53"/>
  <c r="O119" i="53"/>
  <c r="AA118" i="53"/>
  <c r="AB118" i="53" s="1"/>
  <c r="V118" i="53"/>
  <c r="T118" i="53"/>
  <c r="R118" i="53"/>
  <c r="P118" i="53"/>
  <c r="O118" i="53"/>
  <c r="Z117" i="53"/>
  <c r="Y117" i="53"/>
  <c r="X117" i="53"/>
  <c r="N117" i="53"/>
  <c r="M117" i="53"/>
  <c r="L117" i="53"/>
  <c r="AA116" i="53"/>
  <c r="AB116" i="53" s="1"/>
  <c r="V116" i="53"/>
  <c r="T116" i="53"/>
  <c r="R116" i="53"/>
  <c r="P116" i="53"/>
  <c r="O116" i="53"/>
  <c r="AA115" i="53"/>
  <c r="AB115" i="53" s="1"/>
  <c r="V115" i="53"/>
  <c r="T115" i="53"/>
  <c r="R115" i="53"/>
  <c r="P115" i="53"/>
  <c r="O115" i="53"/>
  <c r="AA114" i="53"/>
  <c r="AB114" i="53" s="1"/>
  <c r="V114" i="53"/>
  <c r="T114" i="53"/>
  <c r="R114" i="53"/>
  <c r="P114" i="53"/>
  <c r="O114" i="53"/>
  <c r="Z113" i="53"/>
  <c r="Y113" i="53"/>
  <c r="X113" i="53"/>
  <c r="N113" i="53"/>
  <c r="M113" i="53"/>
  <c r="L113" i="53"/>
  <c r="AA112" i="53"/>
  <c r="AB112" i="53" s="1"/>
  <c r="V112" i="53"/>
  <c r="T112" i="53"/>
  <c r="R112" i="53"/>
  <c r="P112" i="53"/>
  <c r="O112" i="53"/>
  <c r="AA111" i="53"/>
  <c r="AB111" i="53" s="1"/>
  <c r="V111" i="53"/>
  <c r="T111" i="53"/>
  <c r="R111" i="53"/>
  <c r="P111" i="53"/>
  <c r="O111" i="53"/>
  <c r="AA110" i="53"/>
  <c r="AB110" i="53" s="1"/>
  <c r="V110" i="53"/>
  <c r="T110" i="53"/>
  <c r="R110" i="53"/>
  <c r="P110" i="53"/>
  <c r="O110" i="53"/>
  <c r="Z109" i="53"/>
  <c r="Y109" i="53"/>
  <c r="X109" i="53"/>
  <c r="N109" i="53"/>
  <c r="M109" i="53"/>
  <c r="L109" i="53"/>
  <c r="AA106" i="53"/>
  <c r="AB106" i="53" s="1"/>
  <c r="V106" i="53"/>
  <c r="T106" i="53"/>
  <c r="R106" i="53"/>
  <c r="P106" i="53"/>
  <c r="O106" i="53"/>
  <c r="AA105" i="53"/>
  <c r="AB105" i="53" s="1"/>
  <c r="V105" i="53"/>
  <c r="T105" i="53"/>
  <c r="R105" i="53"/>
  <c r="P105" i="53"/>
  <c r="O105" i="53"/>
  <c r="Z104" i="53"/>
  <c r="Y104" i="53"/>
  <c r="V104" i="53"/>
  <c r="O104" i="53"/>
  <c r="Z103" i="53"/>
  <c r="Y103" i="53"/>
  <c r="V103" i="53"/>
  <c r="BK163" i="54"/>
  <c r="N103" i="53"/>
  <c r="N102" i="53" s="1"/>
  <c r="N101" i="53" s="1"/>
  <c r="N98" i="53" s="1"/>
  <c r="M103" i="53"/>
  <c r="L102" i="53"/>
  <c r="AA101" i="53"/>
  <c r="AB101" i="53" s="1"/>
  <c r="V101" i="53"/>
  <c r="T101" i="53"/>
  <c r="R101" i="53"/>
  <c r="P101" i="53"/>
  <c r="AA100" i="53"/>
  <c r="AB100" i="53" s="1"/>
  <c r="V100" i="53"/>
  <c r="T100" i="53"/>
  <c r="R100" i="53"/>
  <c r="P100" i="53"/>
  <c r="O100" i="53"/>
  <c r="AA99" i="53"/>
  <c r="AB99" i="53" s="1"/>
  <c r="V99" i="53"/>
  <c r="T99" i="53"/>
  <c r="R99" i="53"/>
  <c r="P99" i="53"/>
  <c r="O99" i="53"/>
  <c r="Z98" i="53"/>
  <c r="Y98" i="53"/>
  <c r="X98" i="53"/>
  <c r="L98" i="53"/>
  <c r="AA97" i="53"/>
  <c r="AB97" i="53" s="1"/>
  <c r="V97" i="53"/>
  <c r="T97" i="53"/>
  <c r="R97" i="53"/>
  <c r="P97" i="53"/>
  <c r="O97" i="53"/>
  <c r="AA96" i="53"/>
  <c r="AB96" i="53" s="1"/>
  <c r="V96" i="53"/>
  <c r="T96" i="53"/>
  <c r="R96" i="53"/>
  <c r="P96" i="53"/>
  <c r="O96" i="53"/>
  <c r="AA95" i="53"/>
  <c r="AB95" i="53" s="1"/>
  <c r="V95" i="53"/>
  <c r="T95" i="53"/>
  <c r="R95" i="53"/>
  <c r="P95" i="53"/>
  <c r="O95" i="53"/>
  <c r="Z94" i="53"/>
  <c r="Y94" i="53"/>
  <c r="X94" i="53"/>
  <c r="N94" i="53"/>
  <c r="M94" i="53"/>
  <c r="L94" i="53"/>
  <c r="AA93" i="53"/>
  <c r="AB93" i="53" s="1"/>
  <c r="V93" i="53"/>
  <c r="T93" i="53"/>
  <c r="R93" i="53"/>
  <c r="P93" i="53"/>
  <c r="O93" i="53"/>
  <c r="AA92" i="53"/>
  <c r="AB92" i="53" s="1"/>
  <c r="V92" i="53"/>
  <c r="T92" i="53"/>
  <c r="R92" i="53"/>
  <c r="P92" i="53"/>
  <c r="O92" i="53"/>
  <c r="AA91" i="53"/>
  <c r="AB91" i="53" s="1"/>
  <c r="V91" i="53"/>
  <c r="T91" i="53"/>
  <c r="R91" i="53"/>
  <c r="P91" i="53"/>
  <c r="O91" i="53"/>
  <c r="Z90" i="53"/>
  <c r="Y90" i="53"/>
  <c r="X90" i="53"/>
  <c r="N90" i="53"/>
  <c r="M90" i="53"/>
  <c r="L90" i="53"/>
  <c r="AA89" i="53"/>
  <c r="AB89" i="53" s="1"/>
  <c r="V89" i="53"/>
  <c r="T89" i="53"/>
  <c r="R89" i="53"/>
  <c r="P89" i="53"/>
  <c r="O89" i="53"/>
  <c r="AA88" i="53"/>
  <c r="AB88" i="53" s="1"/>
  <c r="V88" i="53"/>
  <c r="T88" i="53"/>
  <c r="R88" i="53"/>
  <c r="P88" i="53"/>
  <c r="O88" i="53"/>
  <c r="AA87" i="53"/>
  <c r="AB87" i="53" s="1"/>
  <c r="V87" i="53"/>
  <c r="T87" i="53"/>
  <c r="R87" i="53"/>
  <c r="P87" i="53"/>
  <c r="O87" i="53"/>
  <c r="Z86" i="53"/>
  <c r="Y86" i="53"/>
  <c r="X86" i="53"/>
  <c r="N86" i="53"/>
  <c r="M86" i="53"/>
  <c r="L86" i="53"/>
  <c r="AA83" i="53"/>
  <c r="AB83" i="53" s="1"/>
  <c r="O83" i="53"/>
  <c r="AA82" i="53"/>
  <c r="AB82" i="53" s="1"/>
  <c r="V82" i="53"/>
  <c r="T82" i="53"/>
  <c r="R82" i="53"/>
  <c r="P82" i="53"/>
  <c r="O82" i="53"/>
  <c r="AA81" i="53"/>
  <c r="AB81" i="53" s="1"/>
  <c r="V81" i="53"/>
  <c r="T81" i="53"/>
  <c r="R81" i="53"/>
  <c r="P81" i="53"/>
  <c r="O81" i="53"/>
  <c r="Z80" i="53"/>
  <c r="Y80" i="53"/>
  <c r="X80" i="53"/>
  <c r="N80" i="53"/>
  <c r="M80" i="53"/>
  <c r="L80" i="53"/>
  <c r="AA79" i="53"/>
  <c r="AB79" i="53" s="1"/>
  <c r="AA78" i="53"/>
  <c r="AB78" i="53" s="1"/>
  <c r="V78" i="53"/>
  <c r="T78" i="53"/>
  <c r="R78" i="53"/>
  <c r="R76" i="53" s="1"/>
  <c r="P78" i="53"/>
  <c r="AA77" i="53"/>
  <c r="AB77" i="53" s="1"/>
  <c r="V77" i="53"/>
  <c r="T77" i="53"/>
  <c r="R77" i="53"/>
  <c r="P77" i="53"/>
  <c r="O77" i="53"/>
  <c r="Z76" i="53"/>
  <c r="Y76" i="53"/>
  <c r="X76" i="53"/>
  <c r="L76" i="53"/>
  <c r="AA75" i="53"/>
  <c r="AB75" i="53" s="1"/>
  <c r="O75" i="53"/>
  <c r="AA74" i="53"/>
  <c r="AB74" i="53" s="1"/>
  <c r="V74" i="53"/>
  <c r="T74" i="53"/>
  <c r="R74" i="53"/>
  <c r="P74" i="53"/>
  <c r="AA73" i="53"/>
  <c r="AB73" i="53" s="1"/>
  <c r="V73" i="53"/>
  <c r="T73" i="53"/>
  <c r="R73" i="53"/>
  <c r="R72" i="53" s="1"/>
  <c r="P73" i="53"/>
  <c r="O73" i="53"/>
  <c r="Z72" i="53"/>
  <c r="Y72" i="53"/>
  <c r="X72" i="53"/>
  <c r="L72" i="53"/>
  <c r="AA71" i="53"/>
  <c r="AB71" i="53" s="1"/>
  <c r="O71" i="53"/>
  <c r="AA70" i="53"/>
  <c r="AB70" i="53" s="1"/>
  <c r="V70" i="53"/>
  <c r="T70" i="53"/>
  <c r="R70" i="53"/>
  <c r="P70" i="53"/>
  <c r="AA69" i="53"/>
  <c r="AB69" i="53" s="1"/>
  <c r="V69" i="53"/>
  <c r="T69" i="53"/>
  <c r="T68" i="53" s="1"/>
  <c r="R69" i="53"/>
  <c r="P69" i="53"/>
  <c r="O69" i="53"/>
  <c r="Z68" i="53"/>
  <c r="Y68" i="53"/>
  <c r="X68" i="53"/>
  <c r="L68" i="53"/>
  <c r="AA67" i="53"/>
  <c r="AB67" i="53" s="1"/>
  <c r="O67" i="53"/>
  <c r="Z66" i="53"/>
  <c r="Y66" i="53"/>
  <c r="V66" i="53"/>
  <c r="BG163" i="54"/>
  <c r="P66" i="53"/>
  <c r="Z65" i="53"/>
  <c r="Y65" i="53"/>
  <c r="V65" i="53"/>
  <c r="BC163" i="54"/>
  <c r="BC164" i="54" s="1"/>
  <c r="P65" i="53"/>
  <c r="O65" i="53"/>
  <c r="X64" i="53"/>
  <c r="L64" i="53"/>
  <c r="AA63" i="53"/>
  <c r="AB63" i="53" s="1"/>
  <c r="O63" i="53"/>
  <c r="Z62" i="53"/>
  <c r="Y62" i="53"/>
  <c r="V62" i="53"/>
  <c r="AQ163" i="54"/>
  <c r="P62" i="53"/>
  <c r="Z61" i="53"/>
  <c r="Y61" i="53"/>
  <c r="V61" i="53"/>
  <c r="AM163" i="54"/>
  <c r="P61" i="53"/>
  <c r="O61" i="53"/>
  <c r="L60" i="53"/>
  <c r="AA59" i="53"/>
  <c r="AB59" i="53" s="1"/>
  <c r="O59" i="53"/>
  <c r="Z58" i="53"/>
  <c r="Y58" i="53"/>
  <c r="V58" i="53"/>
  <c r="T58" i="53"/>
  <c r="R58" i="53"/>
  <c r="AY163" i="54" s="1"/>
  <c r="P58" i="53"/>
  <c r="Z57" i="53"/>
  <c r="Y57" i="53"/>
  <c r="V57" i="53"/>
  <c r="T57" i="53"/>
  <c r="AU163" i="54"/>
  <c r="P57" i="53"/>
  <c r="O57" i="53"/>
  <c r="L56" i="53"/>
  <c r="AA55" i="53"/>
  <c r="AB55" i="53" s="1"/>
  <c r="T55" i="53"/>
  <c r="P55" i="53"/>
  <c r="O55" i="53"/>
  <c r="Z54" i="53"/>
  <c r="Y54" i="53"/>
  <c r="T54" i="53"/>
  <c r="Z53" i="53"/>
  <c r="Z52" i="53" s="1"/>
  <c r="Y53" i="53"/>
  <c r="T53" i="53"/>
  <c r="S53" i="53"/>
  <c r="O53" i="53"/>
  <c r="V52" i="53"/>
  <c r="R52" i="53"/>
  <c r="L52" i="53"/>
  <c r="AA51" i="53"/>
  <c r="AB51" i="53" s="1"/>
  <c r="V51" i="53"/>
  <c r="T51" i="53"/>
  <c r="R51" i="53"/>
  <c r="P51" i="53"/>
  <c r="O51" i="53"/>
  <c r="Z50" i="53"/>
  <c r="Z48" i="53" s="1"/>
  <c r="Y50" i="53"/>
  <c r="V50" i="53"/>
  <c r="T50" i="53"/>
  <c r="R50" i="53"/>
  <c r="Z49" i="53"/>
  <c r="Y49" i="53"/>
  <c r="V49" i="53"/>
  <c r="T49" i="53"/>
  <c r="R49" i="53"/>
  <c r="O49" i="53"/>
  <c r="L48" i="53"/>
  <c r="AA47" i="53"/>
  <c r="AB47" i="53" s="1"/>
  <c r="O47" i="53"/>
  <c r="AA46" i="53"/>
  <c r="AB46" i="53" s="1"/>
  <c r="Z45" i="53"/>
  <c r="Z44" i="53" s="1"/>
  <c r="Y45" i="53"/>
  <c r="V45" i="53"/>
  <c r="V44" i="53" s="1"/>
  <c r="T44" i="53"/>
  <c r="R45" i="53"/>
  <c r="R44" i="53" s="1"/>
  <c r="P44" i="53"/>
  <c r="O45" i="53"/>
  <c r="L44" i="53"/>
  <c r="AA42" i="53"/>
  <c r="AB42" i="53" s="1"/>
  <c r="V42" i="53"/>
  <c r="T42" i="53"/>
  <c r="R42" i="53"/>
  <c r="P42" i="53"/>
  <c r="Z41" i="53"/>
  <c r="AA41" i="53" s="1"/>
  <c r="Y41" i="53"/>
  <c r="V41" i="53"/>
  <c r="T41" i="53"/>
  <c r="AE163" i="54"/>
  <c r="O41" i="53"/>
  <c r="Z40" i="53"/>
  <c r="Y40" i="53"/>
  <c r="V40" i="53"/>
  <c r="T40" i="53"/>
  <c r="AA163" i="54"/>
  <c r="O40" i="53"/>
  <c r="L39" i="53"/>
  <c r="L38" i="53" s="1"/>
  <c r="AA37" i="53"/>
  <c r="AB37" i="53" s="1"/>
  <c r="V37" i="53"/>
  <c r="T37" i="53"/>
  <c r="R37" i="53"/>
  <c r="P37" i="53"/>
  <c r="Z36" i="53"/>
  <c r="Y36" i="53"/>
  <c r="V36" i="53"/>
  <c r="T36" i="53"/>
  <c r="W163" i="54"/>
  <c r="O36" i="53"/>
  <c r="Z35" i="53"/>
  <c r="Y35" i="53"/>
  <c r="V35" i="53"/>
  <c r="O35" i="53"/>
  <c r="L34" i="53"/>
  <c r="AA33" i="53"/>
  <c r="AB33" i="53" s="1"/>
  <c r="V33" i="53"/>
  <c r="T33" i="53"/>
  <c r="R33" i="53"/>
  <c r="P33" i="53"/>
  <c r="Z32" i="53"/>
  <c r="Y32" i="53"/>
  <c r="V32" i="53"/>
  <c r="O32" i="53"/>
  <c r="Z31" i="53"/>
  <c r="Y31" i="53"/>
  <c r="L30" i="53"/>
  <c r="AA24" i="53"/>
  <c r="AB24" i="53" s="1"/>
  <c r="V24" i="53"/>
  <c r="T24" i="53"/>
  <c r="R24" i="53"/>
  <c r="P24" i="53"/>
  <c r="O24" i="53"/>
  <c r="AA23" i="53"/>
  <c r="AB23" i="53" s="1"/>
  <c r="V23" i="53"/>
  <c r="T23" i="53"/>
  <c r="R23" i="53"/>
  <c r="P23" i="53"/>
  <c r="P21" i="53" s="1"/>
  <c r="O23" i="53"/>
  <c r="AA22" i="53"/>
  <c r="AB22" i="53" s="1"/>
  <c r="V22" i="53"/>
  <c r="T22" i="53"/>
  <c r="R22" i="53"/>
  <c r="P22" i="53"/>
  <c r="O22" i="53"/>
  <c r="Y21" i="53"/>
  <c r="AA21" i="53" s="1"/>
  <c r="X21" i="53"/>
  <c r="N21" i="53"/>
  <c r="M21" i="53"/>
  <c r="L21" i="53"/>
  <c r="AA20" i="53"/>
  <c r="AB20" i="53" s="1"/>
  <c r="V20" i="53"/>
  <c r="T20" i="53"/>
  <c r="R20" i="53"/>
  <c r="P20" i="53"/>
  <c r="O20" i="53"/>
  <c r="AA19" i="53"/>
  <c r="AB19" i="53" s="1"/>
  <c r="V19" i="53"/>
  <c r="T19" i="53"/>
  <c r="R19" i="53"/>
  <c r="P19" i="53"/>
  <c r="O19" i="53"/>
  <c r="AA18" i="53"/>
  <c r="AB18" i="53" s="1"/>
  <c r="V18" i="53"/>
  <c r="T18" i="53"/>
  <c r="R18" i="53"/>
  <c r="P18" i="53"/>
  <c r="O18" i="53"/>
  <c r="Y17" i="53"/>
  <c r="X17" i="53"/>
  <c r="N17" i="53"/>
  <c r="M17" i="53"/>
  <c r="L17" i="53"/>
  <c r="AA16" i="53"/>
  <c r="AB16" i="53" s="1"/>
  <c r="V16" i="53"/>
  <c r="U16" i="53"/>
  <c r="R16" i="53"/>
  <c r="P16" i="53"/>
  <c r="O16" i="53"/>
  <c r="Y15" i="53"/>
  <c r="AA15" i="53" s="1"/>
  <c r="J163" i="54" s="1"/>
  <c r="V15" i="53"/>
  <c r="T15" i="53"/>
  <c r="G163" i="54"/>
  <c r="P15" i="53"/>
  <c r="O15" i="53"/>
  <c r="Z13" i="53"/>
  <c r="Z12" i="53" s="1"/>
  <c r="Z11" i="53" s="1"/>
  <c r="Z10" i="53" s="1"/>
  <c r="Y14" i="53"/>
  <c r="Y13" i="53" s="1"/>
  <c r="V14" i="53"/>
  <c r="T14" i="53"/>
  <c r="C163" i="54"/>
  <c r="P14" i="53"/>
  <c r="O14" i="53"/>
  <c r="N13" i="53"/>
  <c r="M13" i="53"/>
  <c r="L13" i="53"/>
  <c r="AB525" i="53" l="1"/>
  <c r="CT163" i="54"/>
  <c r="CT164" i="54" s="1"/>
  <c r="T181" i="53"/>
  <c r="P185" i="53"/>
  <c r="BU4" i="54"/>
  <c r="CW4" i="54" s="1"/>
  <c r="CV161" i="54"/>
  <c r="CV4" i="54"/>
  <c r="O164" i="54"/>
  <c r="P1" i="54"/>
  <c r="K164" i="54"/>
  <c r="L1" i="54"/>
  <c r="Y39" i="53"/>
  <c r="Y38" i="53" s="1"/>
  <c r="AA49" i="53"/>
  <c r="Y513" i="53"/>
  <c r="AA45" i="53"/>
  <c r="Y56" i="53"/>
  <c r="AA31" i="53"/>
  <c r="N163" i="54" s="1"/>
  <c r="N164" i="54" s="1"/>
  <c r="Y34" i="53"/>
  <c r="AA50" i="53"/>
  <c r="V181" i="53"/>
  <c r="AB396" i="53"/>
  <c r="AM4" i="54"/>
  <c r="AM1" i="54" s="1"/>
  <c r="Y44" i="53"/>
  <c r="AA44" i="53" s="1"/>
  <c r="U68" i="53"/>
  <c r="F161" i="54"/>
  <c r="M400" i="53"/>
  <c r="M399" i="53" s="1"/>
  <c r="V526" i="53"/>
  <c r="W526" i="53" s="1"/>
  <c r="R201" i="53"/>
  <c r="T221" i="53"/>
  <c r="T229" i="53"/>
  <c r="P181" i="53"/>
  <c r="P189" i="53"/>
  <c r="Q189" i="53" s="1"/>
  <c r="V177" i="53"/>
  <c r="W177" i="53" s="1"/>
  <c r="V519" i="53"/>
  <c r="W519" i="53" s="1"/>
  <c r="AA36" i="53"/>
  <c r="Z163" i="54" s="1"/>
  <c r="AA400" i="53"/>
  <c r="AA399" i="53" s="1"/>
  <c r="CH163" i="54"/>
  <c r="AQ164" i="54"/>
  <c r="AU164" i="54"/>
  <c r="AY164" i="54"/>
  <c r="BG164" i="54"/>
  <c r="BK164" i="54"/>
  <c r="CA164" i="54"/>
  <c r="CM166" i="54" s="1"/>
  <c r="P129" i="53"/>
  <c r="P133" i="53"/>
  <c r="Q133" i="53" s="1"/>
  <c r="P137" i="53"/>
  <c r="Q137" i="53" s="1"/>
  <c r="P141" i="53"/>
  <c r="Q141" i="53" s="1"/>
  <c r="T157" i="53"/>
  <c r="S197" i="53"/>
  <c r="BS163" i="54"/>
  <c r="X371" i="53"/>
  <c r="CL163" i="54"/>
  <c r="CL164" i="54" s="1"/>
  <c r="M412" i="53"/>
  <c r="M410" i="53" s="1"/>
  <c r="G164" i="54"/>
  <c r="S164" i="54"/>
  <c r="W164" i="54"/>
  <c r="AA164" i="54"/>
  <c r="AE164" i="54"/>
  <c r="CH164" i="54"/>
  <c r="AB41" i="53"/>
  <c r="AH163" i="54"/>
  <c r="AH164" i="54" s="1"/>
  <c r="AB21" i="53"/>
  <c r="R90" i="53"/>
  <c r="S90" i="53" s="1"/>
  <c r="AA478" i="53"/>
  <c r="AA510" i="53"/>
  <c r="X402" i="53"/>
  <c r="AB402" i="53" s="1"/>
  <c r="CP163" i="54"/>
  <c r="C164" i="54"/>
  <c r="J164" i="54"/>
  <c r="Z164" i="54"/>
  <c r="CU1" i="54"/>
  <c r="AM161" i="54"/>
  <c r="AM164" i="54" s="1"/>
  <c r="BU161" i="54"/>
  <c r="CW161" i="54" s="1"/>
  <c r="BV31" i="54"/>
  <c r="BV4" i="54" s="1"/>
  <c r="BW161" i="54"/>
  <c r="BW164" i="54" s="1"/>
  <c r="F4" i="54"/>
  <c r="DB26" i="54"/>
  <c r="DC31" i="54"/>
  <c r="BS4" i="54"/>
  <c r="CU4" i="54" s="1"/>
  <c r="BS161" i="54"/>
  <c r="CZ26" i="54"/>
  <c r="DC26" i="54" s="1"/>
  <c r="X50" i="53"/>
  <c r="AB50" i="53" s="1"/>
  <c r="X15" i="53"/>
  <c r="AB15" i="53" s="1"/>
  <c r="Z102" i="53"/>
  <c r="Z85" i="53" s="1"/>
  <c r="Z84" i="53" s="1"/>
  <c r="AB478" i="53"/>
  <c r="AB510" i="53"/>
  <c r="P17" i="53"/>
  <c r="P80" i="53"/>
  <c r="P86" i="53"/>
  <c r="T86" i="53"/>
  <c r="U86" i="53" s="1"/>
  <c r="V90" i="53"/>
  <c r="N194" i="53"/>
  <c r="P236" i="53"/>
  <c r="V244" i="53"/>
  <c r="V254" i="53"/>
  <c r="P514" i="53"/>
  <c r="P513" i="53" s="1"/>
  <c r="Q513" i="53" s="1"/>
  <c r="X515" i="53"/>
  <c r="X45" i="53"/>
  <c r="X44" i="53" s="1"/>
  <c r="X49" i="53"/>
  <c r="P56" i="53"/>
  <c r="Q56" i="53" s="1"/>
  <c r="AA58" i="53"/>
  <c r="BB163" i="54" s="1"/>
  <c r="BB164" i="54" s="1"/>
  <c r="Y64" i="53"/>
  <c r="V80" i="53"/>
  <c r="AA198" i="53"/>
  <c r="BZ163" i="54" s="1"/>
  <c r="BZ164" i="54" s="1"/>
  <c r="T189" i="53"/>
  <c r="Z196" i="53"/>
  <c r="Z195" i="53" s="1"/>
  <c r="Z194" i="53" s="1"/>
  <c r="AA518" i="53"/>
  <c r="X401" i="53"/>
  <c r="Z30" i="53"/>
  <c r="AA86" i="53"/>
  <c r="AB86" i="53" s="1"/>
  <c r="AA133" i="53"/>
  <c r="AB133" i="53" s="1"/>
  <c r="P196" i="53"/>
  <c r="P195" i="53" s="1"/>
  <c r="Y196" i="53"/>
  <c r="Y195" i="53" s="1"/>
  <c r="R244" i="53"/>
  <c r="V60" i="53"/>
  <c r="R60" i="53"/>
  <c r="S60" i="53" s="1"/>
  <c r="Z60" i="53"/>
  <c r="P157" i="53"/>
  <c r="P244" i="53"/>
  <c r="P254" i="53"/>
  <c r="Q254" i="53" s="1"/>
  <c r="T295" i="53"/>
  <c r="P399" i="53"/>
  <c r="S31" i="53"/>
  <c r="AA32" i="53"/>
  <c r="R163" i="54" s="1"/>
  <c r="R164" i="54" s="1"/>
  <c r="AA40" i="53"/>
  <c r="AD163" i="54" s="1"/>
  <c r="AD164" i="54" s="1"/>
  <c r="AA61" i="53"/>
  <c r="AA66" i="53"/>
  <c r="AA104" i="53"/>
  <c r="BR163" i="54" s="1"/>
  <c r="BR164" i="54" s="1"/>
  <c r="T185" i="53"/>
  <c r="U185" i="53" s="1"/>
  <c r="T196" i="53"/>
  <c r="V196" i="53"/>
  <c r="V195" i="53" s="1"/>
  <c r="T17" i="53"/>
  <c r="U17" i="53" s="1"/>
  <c r="AA35" i="53"/>
  <c r="V163" i="54" s="1"/>
  <c r="V164" i="54" s="1"/>
  <c r="Z39" i="53"/>
  <c r="AA39" i="53" s="1"/>
  <c r="T39" i="53"/>
  <c r="Z56" i="53"/>
  <c r="Z64" i="53"/>
  <c r="T141" i="53"/>
  <c r="P221" i="53"/>
  <c r="AA236" i="53"/>
  <c r="AB236" i="53" s="1"/>
  <c r="AA317" i="53"/>
  <c r="CD163" i="54" s="1"/>
  <c r="CD164" i="54" s="1"/>
  <c r="Y400" i="53"/>
  <c r="Y399" i="53" s="1"/>
  <c r="AA14" i="53"/>
  <c r="F163" i="54" s="1"/>
  <c r="V21" i="53"/>
  <c r="W21" i="53" s="1"/>
  <c r="Y30" i="53"/>
  <c r="V34" i="53"/>
  <c r="Y48" i="53"/>
  <c r="AA48" i="53" s="1"/>
  <c r="T48" i="53"/>
  <c r="U48" i="53" s="1"/>
  <c r="T52" i="53"/>
  <c r="AA57" i="53"/>
  <c r="AX163" i="54" s="1"/>
  <c r="AX164" i="54" s="1"/>
  <c r="T60" i="53"/>
  <c r="U60" i="53" s="1"/>
  <c r="AA65" i="53"/>
  <c r="V72" i="53"/>
  <c r="T76" i="53"/>
  <c r="R121" i="53"/>
  <c r="V121" i="53"/>
  <c r="W121" i="53" s="1"/>
  <c r="O125" i="53"/>
  <c r="R133" i="53"/>
  <c r="V133" i="53"/>
  <c r="O137" i="53"/>
  <c r="T161" i="53"/>
  <c r="U161" i="53" s="1"/>
  <c r="P169" i="53"/>
  <c r="T173" i="53"/>
  <c r="U173" i="53" s="1"/>
  <c r="T236" i="53"/>
  <c r="U236" i="53" s="1"/>
  <c r="R240" i="53"/>
  <c r="S240" i="53" s="1"/>
  <c r="P285" i="53"/>
  <c r="V302" i="53"/>
  <c r="W302" i="53" s="1"/>
  <c r="V310" i="53"/>
  <c r="W310" i="53" s="1"/>
  <c r="R310" i="53"/>
  <c r="Z34" i="53"/>
  <c r="AA34" i="53" s="1"/>
  <c r="AA53" i="53"/>
  <c r="AL163" i="54" s="1"/>
  <c r="AL164" i="54" s="1"/>
  <c r="AA54" i="53"/>
  <c r="R68" i="53"/>
  <c r="V76" i="53"/>
  <c r="O103" i="53"/>
  <c r="AA197" i="53"/>
  <c r="AA285" i="53"/>
  <c r="AB285" i="53" s="1"/>
  <c r="O400" i="53"/>
  <c r="R13" i="53"/>
  <c r="S13" i="53" s="1"/>
  <c r="R34" i="53"/>
  <c r="S34" i="53" s="1"/>
  <c r="W76" i="53"/>
  <c r="AA141" i="53"/>
  <c r="AB141" i="53" s="1"/>
  <c r="P161" i="53"/>
  <c r="P173" i="53"/>
  <c r="AA306" i="53"/>
  <c r="AB306" i="53" s="1"/>
  <c r="T316" i="53"/>
  <c r="P355" i="53"/>
  <c r="Q355" i="53" s="1"/>
  <c r="T389" i="53"/>
  <c r="U389" i="53" s="1"/>
  <c r="T392" i="53"/>
  <c r="U392" i="53" s="1"/>
  <c r="T396" i="53"/>
  <c r="U396" i="53" s="1"/>
  <c r="Q404" i="53"/>
  <c r="M12" i="53"/>
  <c r="M11" i="53" s="1"/>
  <c r="M10" i="53" s="1"/>
  <c r="R17" i="53"/>
  <c r="V39" i="53"/>
  <c r="W39" i="53" s="1"/>
  <c r="P48" i="53"/>
  <c r="Q48" i="53" s="1"/>
  <c r="P64" i="53"/>
  <c r="Q64" i="53" s="1"/>
  <c r="P72" i="53"/>
  <c r="T154" i="53"/>
  <c r="V225" i="53"/>
  <c r="W225" i="53" s="1"/>
  <c r="V229" i="53"/>
  <c r="W229" i="53" s="1"/>
  <c r="Y235" i="53"/>
  <c r="T272" i="53"/>
  <c r="P272" i="53"/>
  <c r="Q272" i="53" s="1"/>
  <c r="R280" i="53"/>
  <c r="X293" i="53"/>
  <c r="T302" i="53"/>
  <c r="N412" i="53"/>
  <c r="N410" i="53" s="1"/>
  <c r="O446" i="53"/>
  <c r="Y412" i="53"/>
  <c r="O510" i="53"/>
  <c r="P30" i="53"/>
  <c r="Q30" i="53" s="1"/>
  <c r="V64" i="53"/>
  <c r="W64" i="53" s="1"/>
  <c r="R64" i="53"/>
  <c r="S64" i="53" s="1"/>
  <c r="T72" i="53"/>
  <c r="P109" i="53"/>
  <c r="Q109" i="53" s="1"/>
  <c r="T109" i="53"/>
  <c r="U109" i="53" s="1"/>
  <c r="Q125" i="53"/>
  <c r="T129" i="53"/>
  <c r="T133" i="53"/>
  <c r="U133" i="53" s="1"/>
  <c r="R181" i="53"/>
  <c r="S181" i="53" s="1"/>
  <c r="S217" i="53"/>
  <c r="U221" i="53"/>
  <c r="U229" i="53"/>
  <c r="AA276" i="53"/>
  <c r="AB276" i="53" s="1"/>
  <c r="R276" i="53"/>
  <c r="S276" i="53" s="1"/>
  <c r="AA294" i="53"/>
  <c r="AB294" i="53" s="1"/>
  <c r="T355" i="53"/>
  <c r="U355" i="53" s="1"/>
  <c r="T358" i="53"/>
  <c r="U358" i="53" s="1"/>
  <c r="R370" i="53"/>
  <c r="P389" i="53"/>
  <c r="M102" i="53"/>
  <c r="M101" i="53" s="1"/>
  <c r="M98" i="53" s="1"/>
  <c r="O98" i="53" s="1"/>
  <c r="AA213" i="53"/>
  <c r="AB213" i="53" s="1"/>
  <c r="V240" i="53"/>
  <c r="AA244" i="53"/>
  <c r="AB244" i="53" s="1"/>
  <c r="AA254" i="53"/>
  <c r="AB254" i="53" s="1"/>
  <c r="P358" i="53"/>
  <c r="Q358" i="53" s="1"/>
  <c r="W366" i="53"/>
  <c r="V389" i="53"/>
  <c r="W389" i="53" s="1"/>
  <c r="R401" i="53"/>
  <c r="Q413" i="53"/>
  <c r="AA113" i="53"/>
  <c r="AB113" i="53" s="1"/>
  <c r="T113" i="53"/>
  <c r="U113" i="53" s="1"/>
  <c r="P113" i="53"/>
  <c r="Q113" i="53" s="1"/>
  <c r="T117" i="53"/>
  <c r="P117" i="53"/>
  <c r="R149" i="53"/>
  <c r="P154" i="53"/>
  <c r="Q154" i="53" s="1"/>
  <c r="P165" i="53"/>
  <c r="T165" i="53"/>
  <c r="V189" i="53"/>
  <c r="W189" i="53" s="1"/>
  <c r="V201" i="53"/>
  <c r="V200" i="53" s="1"/>
  <c r="T207" i="53"/>
  <c r="R225" i="53"/>
  <c r="S225" i="53" s="1"/>
  <c r="P280" i="53"/>
  <c r="Q280" i="53" s="1"/>
  <c r="O285" i="53"/>
  <c r="V285" i="53"/>
  <c r="R285" i="53"/>
  <c r="S285" i="53" s="1"/>
  <c r="V289" i="53"/>
  <c r="W289" i="53" s="1"/>
  <c r="R289" i="53"/>
  <c r="S289" i="53" s="1"/>
  <c r="O298" i="53"/>
  <c r="V298" i="53"/>
  <c r="W298" i="53" s="1"/>
  <c r="R298" i="53"/>
  <c r="S298" i="53" s="1"/>
  <c r="O102" i="53"/>
  <c r="AA13" i="53"/>
  <c r="N12" i="53"/>
  <c r="N11" i="53" s="1"/>
  <c r="N10" i="53" s="1"/>
  <c r="U76" i="53"/>
  <c r="T94" i="53"/>
  <c r="U94" i="53" s="1"/>
  <c r="P94" i="53"/>
  <c r="Q94" i="53" s="1"/>
  <c r="V102" i="53"/>
  <c r="W102" i="53" s="1"/>
  <c r="T145" i="53"/>
  <c r="U145" i="53" s="1"/>
  <c r="P145" i="53"/>
  <c r="T149" i="53"/>
  <c r="P149" i="53"/>
  <c r="V161" i="53"/>
  <c r="V165" i="53"/>
  <c r="W165" i="53" s="1"/>
  <c r="T169" i="53"/>
  <c r="U169" i="53" s="1"/>
  <c r="T177" i="53"/>
  <c r="U177" i="53" s="1"/>
  <c r="W181" i="53"/>
  <c r="U189" i="53"/>
  <c r="R196" i="53"/>
  <c r="R195" i="53" s="1"/>
  <c r="V221" i="53"/>
  <c r="W221" i="53" s="1"/>
  <c r="T225" i="53"/>
  <c r="R254" i="53"/>
  <c r="S254" i="53" s="1"/>
  <c r="AA272" i="53"/>
  <c r="AB272" i="53" s="1"/>
  <c r="S280" i="53"/>
  <c r="T310" i="53"/>
  <c r="AA366" i="53"/>
  <c r="AB366" i="53" s="1"/>
  <c r="R386" i="53"/>
  <c r="S386" i="53" s="1"/>
  <c r="R392" i="53"/>
  <c r="S392" i="53" s="1"/>
  <c r="P392" i="53"/>
  <c r="Q392" i="53" s="1"/>
  <c r="R396" i="53"/>
  <c r="T513" i="53"/>
  <c r="U513" i="53" s="1"/>
  <c r="O399" i="53"/>
  <c r="V13" i="53"/>
  <c r="W13" i="53" s="1"/>
  <c r="W44" i="53"/>
  <c r="R21" i="53"/>
  <c r="S21" i="53" s="1"/>
  <c r="T13" i="53"/>
  <c r="U13" i="53" s="1"/>
  <c r="T30" i="53"/>
  <c r="U30" i="53" s="1"/>
  <c r="V30" i="53"/>
  <c r="W30" i="53" s="1"/>
  <c r="R39" i="53"/>
  <c r="S39" i="53" s="1"/>
  <c r="P39" i="53"/>
  <c r="Q39" i="53" s="1"/>
  <c r="P68" i="53"/>
  <c r="Q68" i="53" s="1"/>
  <c r="U181" i="53"/>
  <c r="AA189" i="53"/>
  <c r="AB189" i="53" s="1"/>
  <c r="O205" i="53"/>
  <c r="O207" i="53"/>
  <c r="Z212" i="53"/>
  <c r="Z211" i="53" s="1"/>
  <c r="N271" i="53"/>
  <c r="AA295" i="53"/>
  <c r="AB295" i="53" s="1"/>
  <c r="Z293" i="53"/>
  <c r="O306" i="53"/>
  <c r="S310" i="53"/>
  <c r="O310" i="53"/>
  <c r="Z352" i="53"/>
  <c r="Z351" i="53" s="1"/>
  <c r="R358" i="53"/>
  <c r="S358" i="53" s="1"/>
  <c r="Q366" i="53"/>
  <c r="P377" i="53"/>
  <c r="P376" i="53" s="1"/>
  <c r="P34" i="53"/>
  <c r="V56" i="53"/>
  <c r="W56" i="53" s="1"/>
  <c r="R56" i="53"/>
  <c r="S56" i="53" s="1"/>
  <c r="P60" i="53"/>
  <c r="Q60" i="53" s="1"/>
  <c r="T64" i="53"/>
  <c r="U64" i="53" s="1"/>
  <c r="R80" i="53"/>
  <c r="S80" i="53" s="1"/>
  <c r="O90" i="53"/>
  <c r="R98" i="53"/>
  <c r="S98" i="53" s="1"/>
  <c r="Y108" i="53"/>
  <c r="R109" i="53"/>
  <c r="S109" i="53" s="1"/>
  <c r="V109" i="53"/>
  <c r="W109" i="53" s="1"/>
  <c r="O113" i="53"/>
  <c r="R117" i="53"/>
  <c r="S117" i="53" s="1"/>
  <c r="AA129" i="53"/>
  <c r="AB129" i="53" s="1"/>
  <c r="R141" i="53"/>
  <c r="S141" i="53" s="1"/>
  <c r="V141" i="53"/>
  <c r="W141" i="53" s="1"/>
  <c r="O145" i="53"/>
  <c r="V157" i="53"/>
  <c r="W157" i="53" s="1"/>
  <c r="R161" i="53"/>
  <c r="S161" i="53" s="1"/>
  <c r="AA165" i="53"/>
  <c r="AB165" i="53" s="1"/>
  <c r="V169" i="53"/>
  <c r="W169" i="53" s="1"/>
  <c r="P177" i="53"/>
  <c r="V185" i="53"/>
  <c r="W185" i="53" s="1"/>
  <c r="P201" i="53"/>
  <c r="T213" i="53"/>
  <c r="U213" i="53" s="1"/>
  <c r="O217" i="53"/>
  <c r="R229" i="53"/>
  <c r="R258" i="53"/>
  <c r="S258" i="53" s="1"/>
  <c r="V258" i="53"/>
  <c r="W258" i="53" s="1"/>
  <c r="P263" i="53"/>
  <c r="Q263" i="53" s="1"/>
  <c r="T263" i="53"/>
  <c r="P267" i="53"/>
  <c r="Q267" i="53" s="1"/>
  <c r="X271" i="53"/>
  <c r="V272" i="53"/>
  <c r="W272" i="53" s="1"/>
  <c r="R272" i="53"/>
  <c r="V276" i="53"/>
  <c r="W276" i="53" s="1"/>
  <c r="P298" i="53"/>
  <c r="Q298" i="53" s="1"/>
  <c r="R302" i="53"/>
  <c r="S302" i="53" s="1"/>
  <c r="V306" i="53"/>
  <c r="W306" i="53" s="1"/>
  <c r="R306" i="53"/>
  <c r="S306" i="53" s="1"/>
  <c r="AA316" i="53"/>
  <c r="X351" i="53"/>
  <c r="O366" i="53"/>
  <c r="S366" i="53"/>
  <c r="Y369" i="53"/>
  <c r="O386" i="53"/>
  <c r="Y385" i="53"/>
  <c r="P386" i="53"/>
  <c r="S121" i="53"/>
  <c r="P13" i="53"/>
  <c r="Q13" i="53" s="1"/>
  <c r="V17" i="53"/>
  <c r="W17" i="53" s="1"/>
  <c r="T21" i="53"/>
  <c r="L29" i="53"/>
  <c r="L28" i="53" s="1"/>
  <c r="T34" i="53"/>
  <c r="U34" i="53" s="1"/>
  <c r="V38" i="53"/>
  <c r="W38" i="53" s="1"/>
  <c r="R48" i="53"/>
  <c r="T56" i="53"/>
  <c r="U56" i="53" s="1"/>
  <c r="V68" i="53"/>
  <c r="W68" i="53" s="1"/>
  <c r="P76" i="53"/>
  <c r="Q76" i="53" s="1"/>
  <c r="AA80" i="53"/>
  <c r="AB80" i="53" s="1"/>
  <c r="T80" i="53"/>
  <c r="U80" i="53" s="1"/>
  <c r="AA90" i="53"/>
  <c r="AB90" i="53" s="1"/>
  <c r="AA98" i="53"/>
  <c r="AB98" i="53" s="1"/>
  <c r="T98" i="53"/>
  <c r="U98" i="53" s="1"/>
  <c r="R113" i="53"/>
  <c r="S113" i="53" s="1"/>
  <c r="V113" i="53"/>
  <c r="W113" i="53" s="1"/>
  <c r="P121" i="53"/>
  <c r="Q121" i="53" s="1"/>
  <c r="T121" i="53"/>
  <c r="R129" i="53"/>
  <c r="S129" i="53" s="1"/>
  <c r="AA137" i="53"/>
  <c r="AB137" i="53" s="1"/>
  <c r="T137" i="53"/>
  <c r="R145" i="53"/>
  <c r="S145" i="53" s="1"/>
  <c r="V145" i="53"/>
  <c r="W145" i="53" s="1"/>
  <c r="O149" i="53"/>
  <c r="AA154" i="53"/>
  <c r="AB154" i="53" s="1"/>
  <c r="AA157" i="53"/>
  <c r="AB157" i="53" s="1"/>
  <c r="R165" i="53"/>
  <c r="S165" i="53" s="1"/>
  <c r="V173" i="53"/>
  <c r="W173" i="53" s="1"/>
  <c r="R177" i="53"/>
  <c r="S177" i="53" s="1"/>
  <c r="AA181" i="53"/>
  <c r="AB181" i="53" s="1"/>
  <c r="V213" i="53"/>
  <c r="W213" i="53" s="1"/>
  <c r="R213" i="53"/>
  <c r="S213" i="53" s="1"/>
  <c r="AA225" i="53"/>
  <c r="AB225" i="53" s="1"/>
  <c r="P225" i="53"/>
  <c r="Q225" i="53" s="1"/>
  <c r="T244" i="53"/>
  <c r="U244" i="53" s="1"/>
  <c r="AA248" i="53"/>
  <c r="AB248" i="53" s="1"/>
  <c r="T248" i="53"/>
  <c r="U248" i="53" s="1"/>
  <c r="T258" i="53"/>
  <c r="U258" i="53" s="1"/>
  <c r="V280" i="53"/>
  <c r="W280" i="53" s="1"/>
  <c r="Z284" i="53"/>
  <c r="T289" i="53"/>
  <c r="AA298" i="53"/>
  <c r="AB298" i="53" s="1"/>
  <c r="P316" i="53"/>
  <c r="Q316" i="53" s="1"/>
  <c r="U316" i="53" s="1"/>
  <c r="AA355" i="53"/>
  <c r="AB355" i="53" s="1"/>
  <c r="O358" i="53"/>
  <c r="P362" i="53"/>
  <c r="Q362" i="53" s="1"/>
  <c r="AA370" i="53"/>
  <c r="T370" i="53"/>
  <c r="T386" i="53"/>
  <c r="T385" i="53" s="1"/>
  <c r="M385" i="53"/>
  <c r="M384" i="53" s="1"/>
  <c r="Z412" i="53"/>
  <c r="Z410" i="53" s="1"/>
  <c r="Y410" i="53"/>
  <c r="O86" i="53"/>
  <c r="L85" i="53"/>
  <c r="L84" i="53" s="1"/>
  <c r="O154" i="53"/>
  <c r="L153" i="53"/>
  <c r="U157" i="53"/>
  <c r="O240" i="53"/>
  <c r="M235" i="53"/>
  <c r="L351" i="53"/>
  <c r="Q527" i="53"/>
  <c r="P526" i="53"/>
  <c r="Z29" i="53"/>
  <c r="R102" i="53"/>
  <c r="S102" i="53" s="1"/>
  <c r="AA173" i="53"/>
  <c r="AB173" i="53" s="1"/>
  <c r="O201" i="53"/>
  <c r="L200" i="53"/>
  <c r="Z206" i="53"/>
  <c r="Z205" i="53" s="1"/>
  <c r="AA205" i="53" s="1"/>
  <c r="AB205" i="53" s="1"/>
  <c r="AA207" i="53"/>
  <c r="AB207" i="53" s="1"/>
  <c r="R377" i="53"/>
  <c r="R376" i="53" s="1"/>
  <c r="R369" i="53" s="1"/>
  <c r="O527" i="53"/>
  <c r="L526" i="53"/>
  <c r="O526" i="53" s="1"/>
  <c r="AA527" i="53"/>
  <c r="AB527" i="53" s="1"/>
  <c r="Y526" i="53"/>
  <c r="AA526" i="53" s="1"/>
  <c r="AB526" i="53" s="1"/>
  <c r="O17" i="53"/>
  <c r="W52" i="53"/>
  <c r="AA72" i="53"/>
  <c r="AB72" i="53" s="1"/>
  <c r="Q72" i="53"/>
  <c r="W80" i="53"/>
  <c r="V98" i="53"/>
  <c r="W98" i="53" s="1"/>
  <c r="AA145" i="53"/>
  <c r="AB145" i="53" s="1"/>
  <c r="W161" i="53"/>
  <c r="W201" i="53"/>
  <c r="S272" i="53"/>
  <c r="U272" i="53"/>
  <c r="M352" i="53"/>
  <c r="M351" i="53" s="1"/>
  <c r="O362" i="53"/>
  <c r="Q389" i="53"/>
  <c r="Y12" i="53"/>
  <c r="AA12" i="53" s="1"/>
  <c r="W90" i="53"/>
  <c r="AA217" i="53"/>
  <c r="AB217" i="53" s="1"/>
  <c r="Y212" i="53"/>
  <c r="Y211" i="53" s="1"/>
  <c r="AA211" i="53" s="1"/>
  <c r="S510" i="53"/>
  <c r="S514" i="53"/>
  <c r="R513" i="53"/>
  <c r="S513" i="53" s="1"/>
  <c r="W34" i="53"/>
  <c r="Q44" i="53"/>
  <c r="S201" i="53"/>
  <c r="R200" i="53"/>
  <c r="T217" i="53"/>
  <c r="U217" i="53" s="1"/>
  <c r="AA520" i="53"/>
  <c r="AB520" i="53" s="1"/>
  <c r="Z519" i="53"/>
  <c r="AA519" i="53" s="1"/>
  <c r="AB519" i="53" s="1"/>
  <c r="O13" i="53"/>
  <c r="O21" i="53"/>
  <c r="U21" i="53"/>
  <c r="U52" i="53"/>
  <c r="AA68" i="53"/>
  <c r="AB68" i="53" s="1"/>
  <c r="Q80" i="53"/>
  <c r="AA94" i="53"/>
  <c r="AB94" i="53" s="1"/>
  <c r="O117" i="53"/>
  <c r="N108" i="53"/>
  <c r="M153" i="53"/>
  <c r="O248" i="53"/>
  <c r="AA263" i="53"/>
  <c r="AB263" i="53" s="1"/>
  <c r="O272" i="53"/>
  <c r="L271" i="53"/>
  <c r="Z369" i="53"/>
  <c r="W514" i="53"/>
  <c r="V513" i="53"/>
  <c r="W513" i="53" s="1"/>
  <c r="U72" i="53"/>
  <c r="W72" i="53"/>
  <c r="V94" i="53"/>
  <c r="W94" i="53" s="1"/>
  <c r="R94" i="53"/>
  <c r="S94" i="53" s="1"/>
  <c r="M108" i="53"/>
  <c r="Z108" i="53"/>
  <c r="AA121" i="53"/>
  <c r="AB121" i="53" s="1"/>
  <c r="V129" i="53"/>
  <c r="O133" i="53"/>
  <c r="X153" i="53"/>
  <c r="R157" i="53"/>
  <c r="S157" i="53" s="1"/>
  <c r="Z153" i="53"/>
  <c r="R173" i="53"/>
  <c r="S173" i="53" s="1"/>
  <c r="R189" i="53"/>
  <c r="S189" i="53" s="1"/>
  <c r="S229" i="53"/>
  <c r="X235" i="53"/>
  <c r="V236" i="53"/>
  <c r="W236" i="53" s="1"/>
  <c r="W244" i="53" s="1"/>
  <c r="W252" i="53" s="1"/>
  <c r="R236" i="53"/>
  <c r="S236" i="53" s="1"/>
  <c r="N235" i="53"/>
  <c r="T240" i="53"/>
  <c r="U240" i="53" s="1"/>
  <c r="P276" i="53"/>
  <c r="Q276" i="53" s="1"/>
  <c r="N284" i="53"/>
  <c r="O295" i="53"/>
  <c r="P370" i="53"/>
  <c r="Q370" i="53" s="1"/>
  <c r="T377" i="53"/>
  <c r="W400" i="53"/>
  <c r="AA76" i="53"/>
  <c r="AB76" i="53" s="1"/>
  <c r="V86" i="53"/>
  <c r="W86" i="53" s="1"/>
  <c r="R86" i="53"/>
  <c r="S86" i="53" s="1"/>
  <c r="T90" i="53"/>
  <c r="U90" i="53" s="1"/>
  <c r="T102" i="53"/>
  <c r="U102" i="53" s="1"/>
  <c r="AA117" i="53"/>
  <c r="AB117" i="53" s="1"/>
  <c r="V117" i="53"/>
  <c r="W117" i="53" s="1"/>
  <c r="O121" i="53"/>
  <c r="AA125" i="53"/>
  <c r="AB125" i="53" s="1"/>
  <c r="S125" i="53"/>
  <c r="V125" i="53"/>
  <c r="W125" i="53" s="1"/>
  <c r="O129" i="53"/>
  <c r="R137" i="53"/>
  <c r="S137" i="53" s="1"/>
  <c r="V137" i="53"/>
  <c r="W137" i="53" s="1"/>
  <c r="O141" i="53"/>
  <c r="AA149" i="53"/>
  <c r="AB149" i="53" s="1"/>
  <c r="V149" i="53"/>
  <c r="W149" i="53" s="1"/>
  <c r="N153" i="53"/>
  <c r="R154" i="53"/>
  <c r="V154" i="53"/>
  <c r="W154" i="53" s="1"/>
  <c r="R169" i="53"/>
  <c r="S169" i="53" s="1"/>
  <c r="R185" i="53"/>
  <c r="S185" i="53" s="1"/>
  <c r="O206" i="53"/>
  <c r="V207" i="53"/>
  <c r="R207" i="53"/>
  <c r="S207" i="53" s="1"/>
  <c r="X212" i="53"/>
  <c r="X211" i="53" s="1"/>
  <c r="P217" i="53"/>
  <c r="Q217" i="53" s="1"/>
  <c r="N212" i="53"/>
  <c r="N211" i="53" s="1"/>
  <c r="N193" i="53" s="1"/>
  <c r="U225" i="53"/>
  <c r="P229" i="53"/>
  <c r="Q229" i="53" s="1"/>
  <c r="L293" i="53"/>
  <c r="O294" i="53"/>
  <c r="N352" i="53"/>
  <c r="N351" i="53" s="1"/>
  <c r="Y352" i="53"/>
  <c r="Y351" i="53" s="1"/>
  <c r="AA362" i="53"/>
  <c r="AB362" i="53" s="1"/>
  <c r="N385" i="53"/>
  <c r="N384" i="53" s="1"/>
  <c r="Q446" i="53"/>
  <c r="X412" i="53"/>
  <c r="X410" i="53" s="1"/>
  <c r="Q510" i="53"/>
  <c r="U514" i="53"/>
  <c r="O520" i="53"/>
  <c r="L519" i="53"/>
  <c r="O519" i="53" s="1"/>
  <c r="S520" i="53"/>
  <c r="R519" i="53"/>
  <c r="S519" i="53" s="1"/>
  <c r="O263" i="53"/>
  <c r="R267" i="53"/>
  <c r="S267" i="53" s="1"/>
  <c r="V267" i="53"/>
  <c r="W267" i="53" s="1"/>
  <c r="P289" i="53"/>
  <c r="Q289" i="53" s="1"/>
  <c r="V295" i="53"/>
  <c r="R295" i="53"/>
  <c r="R294" i="53" s="1"/>
  <c r="P302" i="53"/>
  <c r="Q302" i="53" s="1"/>
  <c r="U302" i="53" s="1"/>
  <c r="P310" i="53"/>
  <c r="Q310" i="53" s="1"/>
  <c r="U310" i="53" s="1"/>
  <c r="R316" i="53"/>
  <c r="R314" i="53" s="1"/>
  <c r="V316" i="53"/>
  <c r="W316" i="53" s="1"/>
  <c r="R355" i="53"/>
  <c r="N369" i="53"/>
  <c r="O377" i="53"/>
  <c r="O392" i="53"/>
  <c r="AA392" i="53"/>
  <c r="AB392" i="53" s="1"/>
  <c r="O396" i="53"/>
  <c r="AA446" i="53"/>
  <c r="AB446" i="53" s="1"/>
  <c r="U510" i="53"/>
  <c r="L212" i="53"/>
  <c r="L211" i="53" s="1"/>
  <c r="R221" i="53"/>
  <c r="S221" i="53" s="1"/>
  <c r="R248" i="53"/>
  <c r="S248" i="53" s="1"/>
  <c r="V248" i="53"/>
  <c r="T254" i="53"/>
  <c r="U254" i="53" s="1"/>
  <c r="O258" i="53"/>
  <c r="X262" i="53"/>
  <c r="X253" i="53" s="1"/>
  <c r="V263" i="53"/>
  <c r="V262" i="53" s="1"/>
  <c r="R263" i="53"/>
  <c r="N262" i="53"/>
  <c r="N253" i="53" s="1"/>
  <c r="N252" i="53" s="1"/>
  <c r="Z262" i="53"/>
  <c r="Z253" i="53" s="1"/>
  <c r="T276" i="53"/>
  <c r="U276" i="53" s="1"/>
  <c r="Z271" i="53"/>
  <c r="T280" i="53"/>
  <c r="U280" i="53" s="1"/>
  <c r="T285" i="53"/>
  <c r="U285" i="53" s="1"/>
  <c r="T298" i="53"/>
  <c r="T306" i="53"/>
  <c r="AA310" i="53"/>
  <c r="AB310" i="53" s="1"/>
  <c r="O355" i="53"/>
  <c r="V355" i="53"/>
  <c r="W355" i="53" s="1"/>
  <c r="AA358" i="53"/>
  <c r="AB358" i="53" s="1"/>
  <c r="R362" i="53"/>
  <c r="S362" i="53" s="1"/>
  <c r="X385" i="53"/>
  <c r="R389" i="53"/>
  <c r="S389" i="53" s="1"/>
  <c r="V392" i="53"/>
  <c r="W392" i="53" s="1"/>
  <c r="P396" i="53"/>
  <c r="Q396" i="53" s="1"/>
  <c r="V396" i="53"/>
  <c r="W396" i="53" s="1"/>
  <c r="Q399" i="53"/>
  <c r="O404" i="53"/>
  <c r="AA404" i="53"/>
  <c r="AB404" i="53" s="1"/>
  <c r="AA413" i="53"/>
  <c r="AB413" i="53" s="1"/>
  <c r="V48" i="53"/>
  <c r="S154" i="53"/>
  <c r="S17" i="53"/>
  <c r="R38" i="53"/>
  <c r="S38" i="53" s="1"/>
  <c r="U196" i="53"/>
  <c r="T195" i="53"/>
  <c r="AA30" i="53"/>
  <c r="L43" i="53"/>
  <c r="O196" i="53"/>
  <c r="L195" i="53"/>
  <c r="M194" i="53"/>
  <c r="AA201" i="53"/>
  <c r="AB201" i="53" s="1"/>
  <c r="Y200" i="53"/>
  <c r="AA200" i="53" s="1"/>
  <c r="AB200" i="53" s="1"/>
  <c r="O244" i="53"/>
  <c r="S244" i="53"/>
  <c r="AA267" i="53"/>
  <c r="AB267" i="53" s="1"/>
  <c r="Y262" i="53"/>
  <c r="Q21" i="53"/>
  <c r="AA17" i="53"/>
  <c r="AB17" i="53" s="1"/>
  <c r="Z38" i="53"/>
  <c r="AA38" i="53" s="1"/>
  <c r="U39" i="53"/>
  <c r="T38" i="53"/>
  <c r="U38" i="53" s="1"/>
  <c r="S44" i="53"/>
  <c r="Q86" i="53"/>
  <c r="AA108" i="53"/>
  <c r="X108" i="53"/>
  <c r="T206" i="53"/>
  <c r="U207" i="53"/>
  <c r="M212" i="53"/>
  <c r="O213" i="53"/>
  <c r="Q236" i="53"/>
  <c r="M279" i="53"/>
  <c r="O280" i="53"/>
  <c r="M271" i="53"/>
  <c r="L12" i="53"/>
  <c r="Y29" i="53"/>
  <c r="S52" i="53"/>
  <c r="Y60" i="53"/>
  <c r="AA62" i="53"/>
  <c r="AT163" i="54" s="1"/>
  <c r="AT164" i="54" s="1"/>
  <c r="O80" i="53"/>
  <c r="P90" i="53"/>
  <c r="Q90" i="53" s="1"/>
  <c r="P102" i="53"/>
  <c r="Q102" i="53" s="1"/>
  <c r="AA103" i="53"/>
  <c r="BN163" i="54" s="1"/>
  <c r="BN164" i="54" s="1"/>
  <c r="Y102" i="53"/>
  <c r="W133" i="53"/>
  <c r="Q149" i="53"/>
  <c r="O236" i="53"/>
  <c r="L235" i="53"/>
  <c r="AA258" i="53"/>
  <c r="AB258" i="53" s="1"/>
  <c r="U44" i="53"/>
  <c r="Y52" i="53"/>
  <c r="AA52" i="53" s="1"/>
  <c r="W60" i="53"/>
  <c r="S68" i="53"/>
  <c r="S72" i="53"/>
  <c r="S76" i="53"/>
  <c r="N85" i="53"/>
  <c r="N84" i="53" s="1"/>
  <c r="O94" i="53"/>
  <c r="P98" i="53"/>
  <c r="Q98" i="53" s="1"/>
  <c r="O109" i="53"/>
  <c r="AA109" i="53"/>
  <c r="AB109" i="53" s="1"/>
  <c r="L108" i="53"/>
  <c r="Q129" i="53"/>
  <c r="S133" i="53"/>
  <c r="Q145" i="53"/>
  <c r="S149" i="53"/>
  <c r="Q244" i="53"/>
  <c r="O254" i="53"/>
  <c r="L253" i="53"/>
  <c r="Q285" i="53"/>
  <c r="T399" i="53"/>
  <c r="U399" i="53" s="1"/>
  <c r="U400" i="53"/>
  <c r="U117" i="53"/>
  <c r="U121" i="53"/>
  <c r="U125" i="53"/>
  <c r="U129" i="53"/>
  <c r="U137" i="53"/>
  <c r="U141" i="53"/>
  <c r="U154" i="53"/>
  <c r="Q157" i="53"/>
  <c r="Q161" i="53"/>
  <c r="Q165" i="53"/>
  <c r="Q169" i="53"/>
  <c r="Q173" i="53"/>
  <c r="Q181" i="53"/>
  <c r="Q185" i="53"/>
  <c r="T201" i="53"/>
  <c r="P207" i="53"/>
  <c r="P213" i="53"/>
  <c r="Q221" i="53"/>
  <c r="Z235" i="53"/>
  <c r="AA240" i="53"/>
  <c r="AB240" i="53" s="1"/>
  <c r="W254" i="53"/>
  <c r="T314" i="53"/>
  <c r="V358" i="53"/>
  <c r="W358" i="53" s="1"/>
  <c r="O157" i="53"/>
  <c r="O161" i="53"/>
  <c r="AA161" i="53"/>
  <c r="AB161" i="53" s="1"/>
  <c r="O165" i="53"/>
  <c r="O169" i="53"/>
  <c r="AA169" i="53"/>
  <c r="AB169" i="53" s="1"/>
  <c r="O173" i="53"/>
  <c r="O177" i="53"/>
  <c r="AA177" i="53"/>
  <c r="AB177" i="53" s="1"/>
  <c r="O181" i="53"/>
  <c r="O185" i="53"/>
  <c r="AA185" i="53"/>
  <c r="AB185" i="53" s="1"/>
  <c r="O189" i="53"/>
  <c r="V217" i="53"/>
  <c r="O221" i="53"/>
  <c r="AA221" i="53"/>
  <c r="AB221" i="53" s="1"/>
  <c r="O225" i="53"/>
  <c r="O229" i="53"/>
  <c r="AA229" i="53"/>
  <c r="AB229" i="53" s="1"/>
  <c r="U263" i="53"/>
  <c r="O289" i="53"/>
  <c r="M284" i="53"/>
  <c r="O284" i="53" s="1"/>
  <c r="T294" i="53"/>
  <c r="AA389" i="53"/>
  <c r="AB389" i="53" s="1"/>
  <c r="Z385" i="53"/>
  <c r="AA385" i="53" s="1"/>
  <c r="V377" i="53"/>
  <c r="W413" i="53"/>
  <c r="V412" i="53"/>
  <c r="S446" i="53"/>
  <c r="R412" i="53"/>
  <c r="O478" i="53"/>
  <c r="L412" i="53"/>
  <c r="P295" i="53"/>
  <c r="O302" i="53"/>
  <c r="M293" i="53"/>
  <c r="P306" i="53"/>
  <c r="Q306" i="53" s="1"/>
  <c r="T362" i="53"/>
  <c r="S370" i="53"/>
  <c r="U520" i="53"/>
  <c r="T519" i="53"/>
  <c r="U519" i="53" s="1"/>
  <c r="Y153" i="53"/>
  <c r="P240" i="53"/>
  <c r="Q240" i="53" s="1"/>
  <c r="P248" i="53"/>
  <c r="Q248" i="53" s="1"/>
  <c r="P258" i="53"/>
  <c r="Q258" i="53" s="1"/>
  <c r="O267" i="53"/>
  <c r="M262" i="53"/>
  <c r="M253" i="53" s="1"/>
  <c r="T267" i="53"/>
  <c r="AA280" i="53"/>
  <c r="AB280" i="53" s="1"/>
  <c r="Y271" i="53"/>
  <c r="AA289" i="53"/>
  <c r="AB289" i="53" s="1"/>
  <c r="Y284" i="53"/>
  <c r="N293" i="53"/>
  <c r="AA302" i="53"/>
  <c r="AB302" i="53" s="1"/>
  <c r="Y293" i="53"/>
  <c r="O316" i="53"/>
  <c r="V362" i="53"/>
  <c r="W362" i="53" s="1"/>
  <c r="V386" i="53"/>
  <c r="AA515" i="53"/>
  <c r="Z514" i="53"/>
  <c r="L314" i="53"/>
  <c r="O314" i="53" s="1"/>
  <c r="U370" i="53"/>
  <c r="AA377" i="53"/>
  <c r="AB377" i="53" s="1"/>
  <c r="AA386" i="53"/>
  <c r="AB386" i="53" s="1"/>
  <c r="S396" i="53"/>
  <c r="Q400" i="53"/>
  <c r="V399" i="53"/>
  <c r="W399" i="53" s="1"/>
  <c r="T412" i="53"/>
  <c r="U478" i="53"/>
  <c r="O371" i="53"/>
  <c r="V371" i="53" s="1"/>
  <c r="V370" i="53" s="1"/>
  <c r="M370" i="53"/>
  <c r="M369" i="53" s="1"/>
  <c r="O413" i="53"/>
  <c r="Q520" i="53"/>
  <c r="U366" i="53"/>
  <c r="AA369" i="53"/>
  <c r="L376" i="53"/>
  <c r="AA376" i="53"/>
  <c r="AB376" i="53" s="1"/>
  <c r="L385" i="53"/>
  <c r="O389" i="53"/>
  <c r="P412" i="53"/>
  <c r="Q478" i="53"/>
  <c r="M514" i="53"/>
  <c r="M513" i="53" s="1"/>
  <c r="O513" i="53" s="1"/>
  <c r="M168" i="37" s="1"/>
  <c r="O517" i="53"/>
  <c r="R526" i="53"/>
  <c r="S526" i="53" s="1"/>
  <c r="CX31" i="54" l="1"/>
  <c r="Y384" i="53"/>
  <c r="CX4" i="54"/>
  <c r="CU161" i="54"/>
  <c r="BT1" i="54"/>
  <c r="X48" i="53"/>
  <c r="X36" i="53"/>
  <c r="AB36" i="53" s="1"/>
  <c r="X31" i="53"/>
  <c r="V284" i="53"/>
  <c r="W284" i="53" s="1"/>
  <c r="AA64" i="53"/>
  <c r="AB64" i="53" s="1"/>
  <c r="R12" i="53"/>
  <c r="AA60" i="53"/>
  <c r="V194" i="53"/>
  <c r="AB385" i="53"/>
  <c r="W285" i="53"/>
  <c r="DD31" i="54"/>
  <c r="AA196" i="53"/>
  <c r="S295" i="53"/>
  <c r="U306" i="53"/>
  <c r="W196" i="53"/>
  <c r="Z43" i="53"/>
  <c r="W195" i="53"/>
  <c r="BV161" i="54"/>
  <c r="CX161" i="54" s="1"/>
  <c r="P284" i="53"/>
  <c r="Q284" i="53" s="1"/>
  <c r="BS164" i="54"/>
  <c r="Q514" i="53"/>
  <c r="Q519" i="53"/>
  <c r="Q196" i="53"/>
  <c r="AA56" i="53"/>
  <c r="AB66" i="53"/>
  <c r="BJ163" i="54"/>
  <c r="BJ164" i="54" s="1"/>
  <c r="AB518" i="53"/>
  <c r="X197" i="53"/>
  <c r="AB197" i="53" s="1"/>
  <c r="BV163" i="54"/>
  <c r="BV164" i="54" s="1"/>
  <c r="AB65" i="53"/>
  <c r="BF163" i="54"/>
  <c r="BF164" i="54" s="1"/>
  <c r="AB371" i="53"/>
  <c r="X370" i="53"/>
  <c r="X369" i="53" s="1"/>
  <c r="Y11" i="53"/>
  <c r="Y10" i="53" s="1"/>
  <c r="P385" i="53"/>
  <c r="P384" i="53" s="1"/>
  <c r="R400" i="53"/>
  <c r="S400" i="53" s="1"/>
  <c r="CE163" i="54"/>
  <c r="CE164" i="54" s="1"/>
  <c r="X61" i="53"/>
  <c r="AB61" i="53" s="1"/>
  <c r="AP163" i="54"/>
  <c r="AP164" i="54" s="1"/>
  <c r="F164" i="54"/>
  <c r="S196" i="53"/>
  <c r="AB45" i="53"/>
  <c r="CZ161" i="54"/>
  <c r="CZ4" i="54"/>
  <c r="DA26" i="54"/>
  <c r="DD26" i="54" s="1"/>
  <c r="AB211" i="53"/>
  <c r="X317" i="53"/>
  <c r="X316" i="53" s="1"/>
  <c r="AB316" i="53" s="1"/>
  <c r="X35" i="53"/>
  <c r="X34" i="53" s="1"/>
  <c r="AB34" i="53" s="1"/>
  <c r="X40" i="53"/>
  <c r="X39" i="53" s="1"/>
  <c r="X38" i="53" s="1"/>
  <c r="AB38" i="53" s="1"/>
  <c r="AB48" i="53"/>
  <c r="X54" i="53"/>
  <c r="AB54" i="53" s="1"/>
  <c r="X104" i="53"/>
  <c r="AB104" i="53" s="1"/>
  <c r="X32" i="53"/>
  <c r="AB32" i="53" s="1"/>
  <c r="AB401" i="53"/>
  <c r="X400" i="53"/>
  <c r="X58" i="53"/>
  <c r="AB58" i="53" s="1"/>
  <c r="X103" i="53"/>
  <c r="X62" i="53"/>
  <c r="AB62" i="53" s="1"/>
  <c r="AB108" i="53"/>
  <c r="AB369" i="53"/>
  <c r="X53" i="53"/>
  <c r="X14" i="53"/>
  <c r="X13" i="53" s="1"/>
  <c r="X198" i="53"/>
  <c r="AB198" i="53" s="1"/>
  <c r="AB44" i="53"/>
  <c r="X57" i="53"/>
  <c r="AB49" i="53"/>
  <c r="AB515" i="53"/>
  <c r="X514" i="53"/>
  <c r="AB31" i="53"/>
  <c r="M107" i="53"/>
  <c r="Z252" i="53"/>
  <c r="P271" i="53"/>
  <c r="Q271" i="53" s="1"/>
  <c r="P12" i="53"/>
  <c r="Q12" i="53" s="1"/>
  <c r="R43" i="53"/>
  <c r="S43" i="53" s="1"/>
  <c r="P153" i="53"/>
  <c r="R206" i="53"/>
  <c r="S206" i="53" s="1"/>
  <c r="X107" i="53"/>
  <c r="P29" i="53"/>
  <c r="Q29" i="53" s="1"/>
  <c r="Q377" i="53"/>
  <c r="AA293" i="53"/>
  <c r="AB293" i="53" s="1"/>
  <c r="AA284" i="53"/>
  <c r="AB284" i="53" s="1"/>
  <c r="P38" i="53"/>
  <c r="Q38" i="53" s="1"/>
  <c r="S48" i="53"/>
  <c r="R212" i="53"/>
  <c r="R211" i="53" s="1"/>
  <c r="S211" i="53" s="1"/>
  <c r="M85" i="53"/>
  <c r="M84" i="53" s="1"/>
  <c r="M79" i="53" s="1"/>
  <c r="M78" i="53" s="1"/>
  <c r="U386" i="53"/>
  <c r="R271" i="53"/>
  <c r="S271" i="53" s="1"/>
  <c r="T108" i="53"/>
  <c r="U108" i="53" s="1"/>
  <c r="T153" i="53"/>
  <c r="U153" i="53" s="1"/>
  <c r="P108" i="53"/>
  <c r="Q108" i="53" s="1"/>
  <c r="AA352" i="53"/>
  <c r="AB352" i="53" s="1"/>
  <c r="S377" i="53"/>
  <c r="O101" i="53"/>
  <c r="T12" i="53"/>
  <c r="R262" i="53"/>
  <c r="S262" i="53" s="1"/>
  <c r="U289" i="53"/>
  <c r="R284" i="53"/>
  <c r="S284" i="53" s="1"/>
  <c r="Q34" i="53"/>
  <c r="W200" i="53"/>
  <c r="AA271" i="53"/>
  <c r="AB271" i="53" s="1"/>
  <c r="U149" i="53"/>
  <c r="T43" i="53"/>
  <c r="U43" i="53" s="1"/>
  <c r="Q117" i="53"/>
  <c r="S263" i="53"/>
  <c r="V235" i="53"/>
  <c r="W235" i="53" s="1"/>
  <c r="T29" i="53"/>
  <c r="U29" i="53" s="1"/>
  <c r="Q386" i="53"/>
  <c r="AA212" i="53"/>
  <c r="AB212" i="53" s="1"/>
  <c r="P314" i="53"/>
  <c r="U165" i="53"/>
  <c r="R399" i="53"/>
  <c r="S399" i="53" s="1"/>
  <c r="V153" i="53"/>
  <c r="W153" i="53" s="1"/>
  <c r="AA351" i="53"/>
  <c r="AB351" i="53" s="1"/>
  <c r="R235" i="53"/>
  <c r="S235" i="53" s="1"/>
  <c r="AA410" i="53"/>
  <c r="AB410" i="53" s="1"/>
  <c r="P200" i="53"/>
  <c r="Q201" i="53"/>
  <c r="S316" i="53"/>
  <c r="V271" i="53"/>
  <c r="V12" i="53"/>
  <c r="W12" i="53" s="1"/>
  <c r="V29" i="53"/>
  <c r="V43" i="53"/>
  <c r="W43" i="53" s="1"/>
  <c r="U298" i="53"/>
  <c r="R352" i="53"/>
  <c r="S352" i="53" s="1"/>
  <c r="V85" i="53"/>
  <c r="AA412" i="53"/>
  <c r="AB412" i="53" s="1"/>
  <c r="V108" i="53"/>
  <c r="W108" i="53" s="1"/>
  <c r="X252" i="53"/>
  <c r="X234" i="53" s="1"/>
  <c r="Q195" i="53"/>
  <c r="Q177" i="53"/>
  <c r="W129" i="53"/>
  <c r="Z193" i="53"/>
  <c r="P352" i="53"/>
  <c r="P262" i="53"/>
  <c r="Q262" i="53" s="1"/>
  <c r="W262" i="53"/>
  <c r="V253" i="53"/>
  <c r="W253" i="53" s="1"/>
  <c r="O293" i="53"/>
  <c r="R85" i="53"/>
  <c r="S85" i="53" s="1"/>
  <c r="Q153" i="53"/>
  <c r="R153" i="53"/>
  <c r="S153" i="53" s="1"/>
  <c r="V314" i="53"/>
  <c r="W314" i="53" s="1"/>
  <c r="T284" i="53"/>
  <c r="U284" i="53" s="1"/>
  <c r="R253" i="53"/>
  <c r="S253" i="53" s="1"/>
  <c r="T212" i="53"/>
  <c r="T211" i="53" s="1"/>
  <c r="U211" i="53" s="1"/>
  <c r="O153" i="53"/>
  <c r="T271" i="53"/>
  <c r="U271" i="53" s="1"/>
  <c r="W263" i="53"/>
  <c r="V294" i="53"/>
  <c r="W295" i="53"/>
  <c r="V206" i="53"/>
  <c r="W207" i="53"/>
  <c r="Z107" i="53"/>
  <c r="S200" i="53"/>
  <c r="AA206" i="53"/>
  <c r="AB206" i="53" s="1"/>
  <c r="O351" i="53"/>
  <c r="T235" i="53"/>
  <c r="U235" i="53" s="1"/>
  <c r="W48" i="53"/>
  <c r="N107" i="53"/>
  <c r="Q526" i="53"/>
  <c r="R385" i="53"/>
  <c r="N234" i="53"/>
  <c r="N233" i="53" s="1"/>
  <c r="R293" i="53"/>
  <c r="S293" i="53" s="1"/>
  <c r="S294" i="53"/>
  <c r="U377" i="53"/>
  <c r="T376" i="53"/>
  <c r="T369" i="53" s="1"/>
  <c r="S355" i="53"/>
  <c r="M252" i="53"/>
  <c r="M234" i="53" s="1"/>
  <c r="M233" i="53" s="1"/>
  <c r="Z384" i="53"/>
  <c r="AA384" i="53" s="1"/>
  <c r="Z234" i="53"/>
  <c r="R108" i="53"/>
  <c r="S108" i="53" s="1"/>
  <c r="O271" i="53"/>
  <c r="O200" i="53"/>
  <c r="T85" i="53"/>
  <c r="T84" i="53" s="1"/>
  <c r="U84" i="53" s="1"/>
  <c r="O352" i="53"/>
  <c r="O385" i="53"/>
  <c r="L384" i="53"/>
  <c r="O384" i="53" s="1"/>
  <c r="AA514" i="53"/>
  <c r="Z513" i="53"/>
  <c r="AA513" i="53" s="1"/>
  <c r="Q376" i="53"/>
  <c r="P369" i="53"/>
  <c r="AA153" i="53"/>
  <c r="AB153" i="53" s="1"/>
  <c r="Y107" i="53"/>
  <c r="Q314" i="53"/>
  <c r="U314" i="53" s="1"/>
  <c r="R410" i="53"/>
  <c r="S410" i="53" s="1"/>
  <c r="S412" i="53"/>
  <c r="Q385" i="53"/>
  <c r="O262" i="53"/>
  <c r="AA195" i="53"/>
  <c r="Y194" i="53"/>
  <c r="Y43" i="53"/>
  <c r="V352" i="53"/>
  <c r="AA235" i="53"/>
  <c r="AB235" i="53" s="1"/>
  <c r="M211" i="53"/>
  <c r="O211" i="53" s="1"/>
  <c r="O212" i="53"/>
  <c r="N79" i="53"/>
  <c r="N78" i="53" s="1"/>
  <c r="N76" i="53" s="1"/>
  <c r="N74" i="53" s="1"/>
  <c r="N72" i="53" s="1"/>
  <c r="N70" i="53" s="1"/>
  <c r="N68" i="53" s="1"/>
  <c r="N66" i="53" s="1"/>
  <c r="N64" i="53" s="1"/>
  <c r="N62" i="53" s="1"/>
  <c r="N60" i="53" s="1"/>
  <c r="N58" i="53" s="1"/>
  <c r="N56" i="53" s="1"/>
  <c r="N54" i="53" s="1"/>
  <c r="N52" i="53" s="1"/>
  <c r="N50" i="53" s="1"/>
  <c r="N48" i="53" s="1"/>
  <c r="N46" i="53" s="1"/>
  <c r="N44" i="53" s="1"/>
  <c r="N43" i="53" s="1"/>
  <c r="N42" i="53" s="1"/>
  <c r="N39" i="53" s="1"/>
  <c r="N38" i="53" s="1"/>
  <c r="N37" i="53" s="1"/>
  <c r="N34" i="53" s="1"/>
  <c r="N33" i="53" s="1"/>
  <c r="N30" i="53" s="1"/>
  <c r="N29" i="53" s="1"/>
  <c r="N28" i="53" s="1"/>
  <c r="N27" i="53" s="1"/>
  <c r="N26" i="53" s="1"/>
  <c r="N25" i="53" s="1"/>
  <c r="N9" i="53" s="1"/>
  <c r="S12" i="53"/>
  <c r="R11" i="53"/>
  <c r="W370" i="53"/>
  <c r="S376" i="53"/>
  <c r="O514" i="53"/>
  <c r="U362" i="53"/>
  <c r="T352" i="53"/>
  <c r="Q295" i="53"/>
  <c r="U295" i="53" s="1"/>
  <c r="P294" i="53"/>
  <c r="T293" i="53"/>
  <c r="V212" i="53"/>
  <c r="W217" i="53"/>
  <c r="P212" i="53"/>
  <c r="Q213" i="53"/>
  <c r="S314" i="53"/>
  <c r="O108" i="53"/>
  <c r="L107" i="53"/>
  <c r="O235" i="53"/>
  <c r="AA29" i="53"/>
  <c r="Y28" i="53"/>
  <c r="S212" i="53"/>
  <c r="O195" i="53"/>
  <c r="L194" i="53"/>
  <c r="Z28" i="53"/>
  <c r="Z27" i="53" s="1"/>
  <c r="Z26" i="53" s="1"/>
  <c r="O376" i="53"/>
  <c r="L369" i="53"/>
  <c r="S369" i="53" s="1"/>
  <c r="O370" i="53"/>
  <c r="W386" i="53"/>
  <c r="V385" i="53"/>
  <c r="U267" i="53"/>
  <c r="T262" i="53"/>
  <c r="O412" i="53"/>
  <c r="L410" i="53"/>
  <c r="O410" i="53" s="1"/>
  <c r="V410" i="53"/>
  <c r="W410" i="53" s="1"/>
  <c r="W412" i="53"/>
  <c r="W377" i="53"/>
  <c r="V376" i="53"/>
  <c r="W376" i="53" s="1"/>
  <c r="P206" i="53"/>
  <c r="Q207" i="53"/>
  <c r="O253" i="53"/>
  <c r="L252" i="53"/>
  <c r="L11" i="53"/>
  <c r="O12" i="53"/>
  <c r="T205" i="53"/>
  <c r="U205" i="53" s="1"/>
  <c r="U206" i="53"/>
  <c r="AA262" i="53"/>
  <c r="AB262" i="53" s="1"/>
  <c r="Y253" i="53"/>
  <c r="V11" i="53"/>
  <c r="W29" i="53"/>
  <c r="V28" i="53"/>
  <c r="U12" i="53"/>
  <c r="T11" i="53"/>
  <c r="Q412" i="53"/>
  <c r="P410" i="53"/>
  <c r="U412" i="53"/>
  <c r="T410" i="53"/>
  <c r="U410" i="53" s="1"/>
  <c r="U385" i="53"/>
  <c r="T384" i="53"/>
  <c r="T200" i="53"/>
  <c r="U200" i="53" s="1"/>
  <c r="U201" i="53"/>
  <c r="W85" i="53"/>
  <c r="V84" i="53"/>
  <c r="W84" i="53" s="1"/>
  <c r="L27" i="53"/>
  <c r="AA102" i="53"/>
  <c r="Y85" i="53"/>
  <c r="Q53" i="53"/>
  <c r="P52" i="53"/>
  <c r="M278" i="53"/>
  <c r="O278" i="53" s="1"/>
  <c r="O279" i="53"/>
  <c r="P235" i="53"/>
  <c r="S195" i="53"/>
  <c r="R194" i="53"/>
  <c r="U195" i="53"/>
  <c r="P85" i="53"/>
  <c r="AB317" i="53" l="1"/>
  <c r="X52" i="53"/>
  <c r="P107" i="53"/>
  <c r="AB370" i="53"/>
  <c r="AA11" i="53"/>
  <c r="T28" i="53"/>
  <c r="T27" i="53" s="1"/>
  <c r="U27" i="53" s="1"/>
  <c r="P11" i="53"/>
  <c r="X56" i="53"/>
  <c r="AB56" i="53" s="1"/>
  <c r="R205" i="53"/>
  <c r="S205" i="53" s="1"/>
  <c r="AA43" i="53"/>
  <c r="X196" i="53"/>
  <c r="AB196" i="53" s="1"/>
  <c r="U85" i="53"/>
  <c r="P28" i="53"/>
  <c r="P27" i="53" s="1"/>
  <c r="AB57" i="53"/>
  <c r="AB53" i="53"/>
  <c r="X102" i="53"/>
  <c r="AB102" i="53" s="1"/>
  <c r="AB40" i="53"/>
  <c r="R107" i="53"/>
  <c r="S107" i="53" s="1"/>
  <c r="U212" i="53"/>
  <c r="M193" i="53"/>
  <c r="X60" i="53"/>
  <c r="AB60" i="53" s="1"/>
  <c r="DA4" i="54"/>
  <c r="DA161" i="54"/>
  <c r="AB14" i="53"/>
  <c r="AB103" i="53"/>
  <c r="X399" i="53"/>
  <c r="AB400" i="53"/>
  <c r="X30" i="53"/>
  <c r="AB35" i="53"/>
  <c r="AB514" i="53"/>
  <c r="X513" i="53"/>
  <c r="AB513" i="53" s="1"/>
  <c r="AB13" i="53"/>
  <c r="X12" i="53"/>
  <c r="AB52" i="53"/>
  <c r="AB39" i="53"/>
  <c r="U376" i="53"/>
  <c r="T107" i="53"/>
  <c r="U107" i="53" s="1"/>
  <c r="O84" i="53"/>
  <c r="R252" i="53"/>
  <c r="R234" i="53" s="1"/>
  <c r="O85" i="53"/>
  <c r="Q107" i="53"/>
  <c r="R384" i="53"/>
  <c r="S384" i="53" s="1"/>
  <c r="R84" i="53"/>
  <c r="S84" i="53" s="1"/>
  <c r="V252" i="53"/>
  <c r="V234" i="53" s="1"/>
  <c r="R351" i="53"/>
  <c r="S351" i="53" s="1"/>
  <c r="W271" i="53"/>
  <c r="P253" i="53"/>
  <c r="Q352" i="53"/>
  <c r="P351" i="53"/>
  <c r="Q351" i="53" s="1"/>
  <c r="V107" i="53"/>
  <c r="W107" i="53" s="1"/>
  <c r="P194" i="53"/>
  <c r="Q194" i="53" s="1"/>
  <c r="Q200" i="53"/>
  <c r="O79" i="53"/>
  <c r="V293" i="53"/>
  <c r="W293" i="53" s="1"/>
  <c r="W294" i="53"/>
  <c r="S385" i="53"/>
  <c r="O252" i="53"/>
  <c r="Z25" i="53"/>
  <c r="Z9" i="53" s="1"/>
  <c r="Q384" i="53"/>
  <c r="T194" i="53"/>
  <c r="U194" i="53" s="1"/>
  <c r="U384" i="53"/>
  <c r="AA107" i="53"/>
  <c r="AB107" i="53" s="1"/>
  <c r="V205" i="53"/>
  <c r="W205" i="53" s="1"/>
  <c r="W206" i="53"/>
  <c r="Q235" i="53"/>
  <c r="L26" i="53"/>
  <c r="V369" i="53"/>
  <c r="W369" i="53" s="1"/>
  <c r="Q52" i="53"/>
  <c r="P43" i="53"/>
  <c r="Q43" i="53" s="1"/>
  <c r="Q410" i="53"/>
  <c r="U11" i="53"/>
  <c r="T10" i="53"/>
  <c r="V10" i="53"/>
  <c r="W11" i="53"/>
  <c r="L10" i="53"/>
  <c r="O11" i="53"/>
  <c r="O194" i="53"/>
  <c r="L193" i="53"/>
  <c r="W194" i="53"/>
  <c r="AA28" i="53"/>
  <c r="Y27" i="53"/>
  <c r="P211" i="53"/>
  <c r="Q211" i="53" s="1"/>
  <c r="Q212" i="53"/>
  <c r="V211" i="53"/>
  <c r="W212" i="53"/>
  <c r="AA194" i="53"/>
  <c r="Y193" i="53"/>
  <c r="AA193" i="53" s="1"/>
  <c r="S194" i="53"/>
  <c r="T26" i="53"/>
  <c r="W385" i="53"/>
  <c r="V384" i="53"/>
  <c r="W384" i="53" s="1"/>
  <c r="L234" i="53"/>
  <c r="U352" i="53"/>
  <c r="T351" i="53"/>
  <c r="U351" i="53" s="1"/>
  <c r="Q11" i="53"/>
  <c r="P10" i="53"/>
  <c r="U262" i="53"/>
  <c r="T253" i="53"/>
  <c r="Q294" i="53"/>
  <c r="U294" i="53" s="1"/>
  <c r="P293" i="53"/>
  <c r="Q293" i="53" s="1"/>
  <c r="U293" i="53" s="1"/>
  <c r="S11" i="53"/>
  <c r="R10" i="53"/>
  <c r="Q369" i="53"/>
  <c r="AA10" i="53"/>
  <c r="O78" i="53"/>
  <c r="M76" i="53"/>
  <c r="AA85" i="53"/>
  <c r="Y84" i="53"/>
  <c r="AA84" i="53" s="1"/>
  <c r="W28" i="53"/>
  <c r="V27" i="53"/>
  <c r="AA253" i="53"/>
  <c r="AB253" i="53" s="1"/>
  <c r="Y252" i="53"/>
  <c r="P205" i="53"/>
  <c r="Q206" i="53"/>
  <c r="O369" i="53"/>
  <c r="U369" i="53"/>
  <c r="P84" i="53"/>
  <c r="Q84" i="53" s="1"/>
  <c r="Q85" i="53"/>
  <c r="N8" i="53"/>
  <c r="N7" i="53" s="1"/>
  <c r="W352" i="53"/>
  <c r="V351" i="53"/>
  <c r="W351" i="53" s="1"/>
  <c r="U28" i="53" l="1"/>
  <c r="T193" i="53"/>
  <c r="X195" i="53"/>
  <c r="X194" i="53" s="1"/>
  <c r="X43" i="53"/>
  <c r="AB43" i="53" s="1"/>
  <c r="R193" i="53"/>
  <c r="Q28" i="53"/>
  <c r="X85" i="53"/>
  <c r="X84" i="53" s="1"/>
  <c r="AB84" i="53" s="1"/>
  <c r="O193" i="53"/>
  <c r="AB30" i="53"/>
  <c r="X29" i="53"/>
  <c r="AB399" i="53"/>
  <c r="X384" i="53"/>
  <c r="AB384" i="53" s="1"/>
  <c r="X11" i="53"/>
  <c r="AB12" i="53"/>
  <c r="AB194" i="53"/>
  <c r="X193" i="53"/>
  <c r="AB193" i="53" s="1"/>
  <c r="R233" i="53"/>
  <c r="S252" i="53"/>
  <c r="U193" i="53"/>
  <c r="Q253" i="53"/>
  <c r="P252" i="53"/>
  <c r="S193" i="53"/>
  <c r="Q10" i="53"/>
  <c r="O234" i="53"/>
  <c r="L233" i="53"/>
  <c r="O233" i="53" s="1"/>
  <c r="W10" i="53"/>
  <c r="P26" i="53"/>
  <c r="Q27" i="53"/>
  <c r="W27" i="53"/>
  <c r="V26" i="53"/>
  <c r="M74" i="53"/>
  <c r="O76" i="53"/>
  <c r="S10" i="53"/>
  <c r="U253" i="53"/>
  <c r="T252" i="53"/>
  <c r="W211" i="53"/>
  <c r="V193" i="53"/>
  <c r="W193" i="53" s="1"/>
  <c r="U10" i="53"/>
  <c r="S234" i="53"/>
  <c r="P193" i="53"/>
  <c r="Q193" i="53" s="1"/>
  <c r="Q205" i="53"/>
  <c r="AA27" i="53"/>
  <c r="Y26" i="53"/>
  <c r="O10" i="53"/>
  <c r="V233" i="53"/>
  <c r="AA252" i="53"/>
  <c r="AB252" i="53" s="1"/>
  <c r="Y234" i="53"/>
  <c r="T25" i="53"/>
  <c r="U26" i="53"/>
  <c r="L25" i="53"/>
  <c r="L9" i="53" s="1"/>
  <c r="W234" i="53"/>
  <c r="AB195" i="53" l="1"/>
  <c r="AB85" i="53"/>
  <c r="X10" i="53"/>
  <c r="AB10" i="53" s="1"/>
  <c r="AB11" i="53"/>
  <c r="X28" i="53"/>
  <c r="AB29" i="53"/>
  <c r="P234" i="53"/>
  <c r="Q252" i="53"/>
  <c r="U25" i="53"/>
  <c r="L8" i="53"/>
  <c r="O74" i="53"/>
  <c r="M72" i="53"/>
  <c r="P25" i="53"/>
  <c r="Q26" i="53"/>
  <c r="AA234" i="53"/>
  <c r="AB234" i="53" s="1"/>
  <c r="W26" i="53"/>
  <c r="V25" i="53"/>
  <c r="AA26" i="53"/>
  <c r="Y25" i="53"/>
  <c r="W233" i="53"/>
  <c r="T9" i="53"/>
  <c r="U252" i="53"/>
  <c r="T234" i="53"/>
  <c r="S233" i="53"/>
  <c r="X27" i="53" l="1"/>
  <c r="AB28" i="53"/>
  <c r="P233" i="53"/>
  <c r="Q233" i="53" s="1"/>
  <c r="Q234" i="53"/>
  <c r="U9" i="53"/>
  <c r="M70" i="53"/>
  <c r="O72" i="53"/>
  <c r="U234" i="53"/>
  <c r="T233" i="53"/>
  <c r="U233" i="53" s="1"/>
  <c r="AA25" i="53"/>
  <c r="Y9" i="53"/>
  <c r="W25" i="53"/>
  <c r="V9" i="53"/>
  <c r="Q25" i="53"/>
  <c r="P9" i="53"/>
  <c r="L7" i="53"/>
  <c r="X26" i="53" l="1"/>
  <c r="AB27" i="53"/>
  <c r="Q9" i="53"/>
  <c r="P8" i="53"/>
  <c r="AA9" i="53"/>
  <c r="W9" i="53"/>
  <c r="V8" i="53"/>
  <c r="T8" i="53"/>
  <c r="O70" i="53"/>
  <c r="M68" i="53"/>
  <c r="L535" i="53"/>
  <c r="X25" i="53" l="1"/>
  <c r="AB26" i="53"/>
  <c r="U8" i="53"/>
  <c r="T7" i="53"/>
  <c r="AC12" i="37" s="1"/>
  <c r="W8" i="53"/>
  <c r="V7" i="53"/>
  <c r="AC37" i="37" s="1"/>
  <c r="M66" i="53"/>
  <c r="O68" i="53"/>
  <c r="Q8" i="53"/>
  <c r="P7" i="53"/>
  <c r="AD4" i="37" s="1"/>
  <c r="X9" i="53" l="1"/>
  <c r="AB9" i="53" s="1"/>
  <c r="AB25" i="53"/>
  <c r="P535" i="53"/>
  <c r="Q7" i="53"/>
  <c r="V535" i="53"/>
  <c r="W7" i="53"/>
  <c r="O66" i="53"/>
  <c r="M64" i="53"/>
  <c r="T535" i="53"/>
  <c r="U7" i="53"/>
  <c r="M62" i="53" l="1"/>
  <c r="O64" i="53"/>
  <c r="O62" i="53" l="1"/>
  <c r="M60" i="53"/>
  <c r="M58" i="53" l="1"/>
  <c r="O60" i="53"/>
  <c r="O58" i="53" l="1"/>
  <c r="M56" i="53"/>
  <c r="M54" i="53" l="1"/>
  <c r="O56" i="53"/>
  <c r="O54" i="53" l="1"/>
  <c r="M52" i="53"/>
  <c r="M50" i="53" l="1"/>
  <c r="O52" i="53"/>
  <c r="O50" i="53" l="1"/>
  <c r="M48" i="53"/>
  <c r="M46" i="53" l="1"/>
  <c r="O48" i="53"/>
  <c r="M44" i="53" l="1"/>
  <c r="O46" i="53"/>
  <c r="M43" i="53" l="1"/>
  <c r="O44" i="53"/>
  <c r="M42" i="53" l="1"/>
  <c r="O43" i="53"/>
  <c r="M39" i="53" l="1"/>
  <c r="O42" i="53"/>
  <c r="M38" i="53" l="1"/>
  <c r="O39" i="53"/>
  <c r="M37" i="53" l="1"/>
  <c r="O38" i="53"/>
  <c r="M34" i="53" l="1"/>
  <c r="O37" i="53"/>
  <c r="M33" i="53" l="1"/>
  <c r="O34" i="53"/>
  <c r="O33" i="53" l="1"/>
  <c r="M30" i="53"/>
  <c r="O30" i="53" l="1"/>
  <c r="M29" i="53"/>
  <c r="M28" i="53" l="1"/>
  <c r="O29" i="53"/>
  <c r="M27" i="53" l="1"/>
  <c r="O28" i="53"/>
  <c r="M26" i="53" l="1"/>
  <c r="O27" i="53"/>
  <c r="M25" i="53" l="1"/>
  <c r="O26" i="53"/>
  <c r="M9" i="53" l="1"/>
  <c r="O25" i="53"/>
  <c r="M8" i="53" l="1"/>
  <c r="O9" i="53"/>
  <c r="M7" i="53" l="1"/>
  <c r="O7" i="53" s="1"/>
  <c r="O8" i="53"/>
  <c r="I168" i="37" s="1"/>
  <c r="B4" i="51" l="1"/>
  <c r="AJ295" i="51"/>
  <c r="AK295" i="51" s="1"/>
  <c r="AH295" i="51"/>
  <c r="AE295" i="51"/>
  <c r="AD295" i="51"/>
  <c r="AB295" i="51"/>
  <c r="F295" i="51"/>
  <c r="I295" i="51" s="1"/>
  <c r="I294" i="51" s="1"/>
  <c r="I293" i="51" s="1"/>
  <c r="E295" i="51"/>
  <c r="U295" i="51" s="1"/>
  <c r="V295" i="51" s="1"/>
  <c r="AJ294" i="51"/>
  <c r="AI294" i="51"/>
  <c r="AI293" i="51" s="1"/>
  <c r="AG294" i="51"/>
  <c r="AG293" i="51" s="1"/>
  <c r="AF294" i="51"/>
  <c r="AH294" i="51" s="1"/>
  <c r="AE294" i="51"/>
  <c r="AD294" i="51"/>
  <c r="AB294" i="51"/>
  <c r="V294" i="51"/>
  <c r="V293" i="51" s="1"/>
  <c r="AC293" i="51"/>
  <c r="AA293" i="51"/>
  <c r="Z293" i="51"/>
  <c r="AJ293" i="51" s="1"/>
  <c r="Y293" i="51"/>
  <c r="AJ292" i="51"/>
  <c r="AK292" i="51" s="1"/>
  <c r="AH292" i="51"/>
  <c r="AD292" i="51"/>
  <c r="AB292" i="51"/>
  <c r="U292" i="51"/>
  <c r="V292" i="51" s="1"/>
  <c r="I292" i="51"/>
  <c r="H292" i="51"/>
  <c r="AJ291" i="51"/>
  <c r="AK291" i="51" s="1"/>
  <c r="AH291" i="51"/>
  <c r="AE291" i="51"/>
  <c r="AD291" i="51"/>
  <c r="AB291" i="51"/>
  <c r="U291" i="51"/>
  <c r="V291" i="51" s="1"/>
  <c r="I291" i="51"/>
  <c r="H291" i="51"/>
  <c r="AG290" i="51"/>
  <c r="AG289" i="51" s="1"/>
  <c r="AF290" i="51"/>
  <c r="AF289" i="51" s="1"/>
  <c r="AE290" i="51"/>
  <c r="AE289" i="51" s="1"/>
  <c r="AD290" i="51"/>
  <c r="AB290" i="51"/>
  <c r="Z290" i="51"/>
  <c r="AJ290" i="51" s="1"/>
  <c r="AK290" i="51" s="1"/>
  <c r="U290" i="51"/>
  <c r="V290" i="51" s="1"/>
  <c r="I290" i="51"/>
  <c r="H290" i="51"/>
  <c r="AI289" i="51"/>
  <c r="AC289" i="51"/>
  <c r="AA289" i="51"/>
  <c r="Y289" i="51"/>
  <c r="AJ288" i="51"/>
  <c r="AH288" i="51"/>
  <c r="AE288" i="51"/>
  <c r="AE287" i="51" s="1"/>
  <c r="AD288" i="51"/>
  <c r="AB288" i="51"/>
  <c r="U288" i="51"/>
  <c r="V288" i="51" s="1"/>
  <c r="V287" i="51" s="1"/>
  <c r="I288" i="51"/>
  <c r="I287" i="51" s="1"/>
  <c r="H288" i="51"/>
  <c r="AI287" i="51"/>
  <c r="AG287" i="51"/>
  <c r="AH287" i="51" s="1"/>
  <c r="AF287" i="51"/>
  <c r="AC287" i="51"/>
  <c r="AA287" i="51"/>
  <c r="Z287" i="51"/>
  <c r="Y287" i="51"/>
  <c r="AJ285" i="51"/>
  <c r="AJ284" i="51" s="1"/>
  <c r="AH285" i="51"/>
  <c r="AE285" i="51"/>
  <c r="AE284" i="51" s="1"/>
  <c r="AD285" i="51"/>
  <c r="AB285" i="51"/>
  <c r="U285" i="51"/>
  <c r="V285" i="51" s="1"/>
  <c r="V284" i="51" s="1"/>
  <c r="I285" i="51"/>
  <c r="I284" i="51" s="1"/>
  <c r="H285" i="51"/>
  <c r="AI284" i="51"/>
  <c r="AG284" i="51"/>
  <c r="AF284" i="51"/>
  <c r="AC284" i="51"/>
  <c r="AA284" i="51"/>
  <c r="Z284" i="51"/>
  <c r="Y284" i="51"/>
  <c r="AD284" i="51" s="1"/>
  <c r="H284" i="51"/>
  <c r="AJ283" i="51"/>
  <c r="AK283" i="51" s="1"/>
  <c r="AH283" i="51"/>
  <c r="AE283" i="51"/>
  <c r="AE282" i="51" s="1"/>
  <c r="AD283" i="51"/>
  <c r="AB283" i="51"/>
  <c r="U283" i="51"/>
  <c r="V283" i="51" s="1"/>
  <c r="I283" i="51"/>
  <c r="H283" i="51"/>
  <c r="H282" i="51" s="1"/>
  <c r="AI282" i="51"/>
  <c r="AG282" i="51"/>
  <c r="AF282" i="51"/>
  <c r="AC282" i="51"/>
  <c r="AA282" i="51"/>
  <c r="AB282" i="51" s="1"/>
  <c r="Z282" i="51"/>
  <c r="Y282" i="51"/>
  <c r="V282" i="51"/>
  <c r="I282" i="51"/>
  <c r="AJ281" i="51"/>
  <c r="AI281" i="51"/>
  <c r="AH281" i="51"/>
  <c r="AE281" i="51"/>
  <c r="AD281" i="51"/>
  <c r="AB281" i="51"/>
  <c r="U281" i="51"/>
  <c r="V281" i="51" s="1"/>
  <c r="I281" i="51"/>
  <c r="H281" i="51"/>
  <c r="AI280" i="51"/>
  <c r="AG280" i="51"/>
  <c r="AG279" i="51" s="1"/>
  <c r="AH279" i="51" s="1"/>
  <c r="AF280" i="51"/>
  <c r="AF279" i="51" s="1"/>
  <c r="AE280" i="51"/>
  <c r="AD280" i="51"/>
  <c r="AB280" i="51"/>
  <c r="Z280" i="51"/>
  <c r="Z279" i="51" s="1"/>
  <c r="U280" i="51"/>
  <c r="V280" i="51" s="1"/>
  <c r="I280" i="51"/>
  <c r="H280" i="51"/>
  <c r="H279" i="51" s="1"/>
  <c r="AC279" i="51"/>
  <c r="AC278" i="51" s="1"/>
  <c r="AA279" i="51"/>
  <c r="Y279" i="51"/>
  <c r="AJ277" i="51"/>
  <c r="AK277" i="51" s="1"/>
  <c r="AH277" i="51"/>
  <c r="AE277" i="51"/>
  <c r="AD277" i="51"/>
  <c r="AB277" i="51"/>
  <c r="U277" i="51"/>
  <c r="V277" i="51" s="1"/>
  <c r="I277" i="51"/>
  <c r="H277" i="51"/>
  <c r="AJ276" i="51"/>
  <c r="AI276" i="51"/>
  <c r="AH276" i="51"/>
  <c r="AE276" i="51"/>
  <c r="AD276" i="51"/>
  <c r="AB276" i="51"/>
  <c r="U276" i="51"/>
  <c r="V276" i="51" s="1"/>
  <c r="I276" i="51"/>
  <c r="H276" i="51"/>
  <c r="AJ275" i="51"/>
  <c r="AI275" i="51"/>
  <c r="AH275" i="51"/>
  <c r="AE275" i="51"/>
  <c r="AD275" i="51"/>
  <c r="AB275" i="51"/>
  <c r="U275" i="51"/>
  <c r="V275" i="51" s="1"/>
  <c r="I275" i="51"/>
  <c r="H275" i="51"/>
  <c r="AJ274" i="51"/>
  <c r="AI274" i="51"/>
  <c r="AH274" i="51"/>
  <c r="AE274" i="51"/>
  <c r="AD274" i="51"/>
  <c r="AB274" i="51"/>
  <c r="U274" i="51"/>
  <c r="V274" i="51" s="1"/>
  <c r="I274" i="51"/>
  <c r="H274" i="51"/>
  <c r="AJ273" i="51"/>
  <c r="AI273" i="51"/>
  <c r="AH273" i="51"/>
  <c r="AE273" i="51"/>
  <c r="AD273" i="51"/>
  <c r="AB273" i="51"/>
  <c r="U273" i="51"/>
  <c r="V273" i="51" s="1"/>
  <c r="I273" i="51"/>
  <c r="H273" i="51"/>
  <c r="AJ272" i="51"/>
  <c r="AI272" i="51"/>
  <c r="AH272" i="51"/>
  <c r="AE272" i="51"/>
  <c r="AD272" i="51"/>
  <c r="AB272" i="51"/>
  <c r="U272" i="51"/>
  <c r="V272" i="51" s="1"/>
  <c r="I272" i="51"/>
  <c r="H272" i="51"/>
  <c r="AG271" i="51"/>
  <c r="AF271" i="51"/>
  <c r="AF270" i="51" s="1"/>
  <c r="AC271" i="51"/>
  <c r="AC270" i="51" s="1"/>
  <c r="AA271" i="51"/>
  <c r="Z271" i="51"/>
  <c r="Z270" i="51" s="1"/>
  <c r="Y271" i="51"/>
  <c r="Y270" i="51" s="1"/>
  <c r="AG270" i="51"/>
  <c r="AA270" i="51"/>
  <c r="AJ269" i="51"/>
  <c r="AH269" i="51"/>
  <c r="AE269" i="51"/>
  <c r="AE268" i="51" s="1"/>
  <c r="AD269" i="51"/>
  <c r="AB269" i="51"/>
  <c r="U269" i="51"/>
  <c r="V269" i="51" s="1"/>
  <c r="V268" i="51" s="1"/>
  <c r="I269" i="51"/>
  <c r="I268" i="51" s="1"/>
  <c r="H269" i="51"/>
  <c r="AI268" i="51"/>
  <c r="AG268" i="51"/>
  <c r="AF268" i="51"/>
  <c r="AC268" i="51"/>
  <c r="AA268" i="51"/>
  <c r="Z268" i="51"/>
  <c r="Y268" i="51"/>
  <c r="AJ267" i="51"/>
  <c r="AH267" i="51"/>
  <c r="AE267" i="51"/>
  <c r="AE266" i="51" s="1"/>
  <c r="AD267" i="51"/>
  <c r="AB267" i="51"/>
  <c r="U267" i="51"/>
  <c r="V267" i="51" s="1"/>
  <c r="V266" i="51" s="1"/>
  <c r="I267" i="51"/>
  <c r="I266" i="51" s="1"/>
  <c r="H267" i="51"/>
  <c r="H266" i="51" s="1"/>
  <c r="AI266" i="51"/>
  <c r="AG266" i="51"/>
  <c r="AF266" i="51"/>
  <c r="AC266" i="51"/>
  <c r="AA266" i="51"/>
  <c r="Z266" i="51"/>
  <c r="Y266" i="51"/>
  <c r="AJ265" i="51"/>
  <c r="AI265" i="51"/>
  <c r="AH265" i="51"/>
  <c r="AE265" i="51"/>
  <c r="AD265" i="51"/>
  <c r="AB265" i="51"/>
  <c r="U265" i="51"/>
  <c r="V265" i="51" s="1"/>
  <c r="I265" i="51"/>
  <c r="H265" i="51"/>
  <c r="AJ264" i="51"/>
  <c r="AI264" i="51"/>
  <c r="AH264" i="51"/>
  <c r="AE264" i="51"/>
  <c r="AD264" i="51"/>
  <c r="AB264" i="51"/>
  <c r="U264" i="51"/>
  <c r="V264" i="51" s="1"/>
  <c r="I264" i="51"/>
  <c r="H264" i="51"/>
  <c r="AJ263" i="51"/>
  <c r="AI263" i="51"/>
  <c r="AH263" i="51"/>
  <c r="AE263" i="51"/>
  <c r="AD263" i="51"/>
  <c r="AB263" i="51"/>
  <c r="U263" i="51"/>
  <c r="V263" i="51" s="1"/>
  <c r="I263" i="51"/>
  <c r="H263" i="51"/>
  <c r="AJ262" i="51"/>
  <c r="AI262" i="51"/>
  <c r="AH262" i="51"/>
  <c r="AE262" i="51"/>
  <c r="AD262" i="51"/>
  <c r="AB262" i="51"/>
  <c r="U262" i="51"/>
  <c r="V262" i="51" s="1"/>
  <c r="I262" i="51"/>
  <c r="H262" i="51"/>
  <c r="AG261" i="51"/>
  <c r="AF261" i="51"/>
  <c r="AC261" i="51"/>
  <c r="AA261" i="51"/>
  <c r="Z261" i="51"/>
  <c r="Y261" i="51"/>
  <c r="AJ259" i="51"/>
  <c r="AK259" i="51" s="1"/>
  <c r="AH259" i="51"/>
  <c r="AE259" i="51"/>
  <c r="AD259" i="51"/>
  <c r="AB259" i="51"/>
  <c r="U259" i="51"/>
  <c r="V259" i="51" s="1"/>
  <c r="I259" i="51"/>
  <c r="H259" i="51"/>
  <c r="AJ258" i="51"/>
  <c r="AH258" i="51"/>
  <c r="AE258" i="51"/>
  <c r="AD258" i="51"/>
  <c r="AB258" i="51"/>
  <c r="U258" i="51"/>
  <c r="V258" i="51" s="1"/>
  <c r="I258" i="51"/>
  <c r="H258" i="51"/>
  <c r="AI257" i="51"/>
  <c r="AG257" i="51"/>
  <c r="AH257" i="51" s="1"/>
  <c r="AF257" i="51"/>
  <c r="AC257" i="51"/>
  <c r="AA257" i="51"/>
  <c r="Z257" i="51"/>
  <c r="Y257" i="51"/>
  <c r="I257" i="51"/>
  <c r="AJ256" i="51"/>
  <c r="AK256" i="51" s="1"/>
  <c r="AH256" i="51"/>
  <c r="AE256" i="51"/>
  <c r="AD256" i="51"/>
  <c r="AB256" i="51"/>
  <c r="U256" i="51"/>
  <c r="V256" i="51" s="1"/>
  <c r="I256" i="51"/>
  <c r="H256" i="51"/>
  <c r="AJ255" i="51"/>
  <c r="AI255" i="51"/>
  <c r="AH255" i="51"/>
  <c r="AE255" i="51"/>
  <c r="AD255" i="51"/>
  <c r="AB255" i="51"/>
  <c r="U255" i="51"/>
  <c r="V255" i="51" s="1"/>
  <c r="I255" i="51"/>
  <c r="H255" i="51"/>
  <c r="AJ254" i="51"/>
  <c r="AI254" i="51"/>
  <c r="AH254" i="51"/>
  <c r="AE254" i="51"/>
  <c r="AD254" i="51"/>
  <c r="AB254" i="51"/>
  <c r="U254" i="51"/>
  <c r="V254" i="51" s="1"/>
  <c r="I254" i="51"/>
  <c r="H254" i="51"/>
  <c r="AJ253" i="51"/>
  <c r="AI253" i="51"/>
  <c r="AH253" i="51"/>
  <c r="AE253" i="51"/>
  <c r="AD253" i="51"/>
  <c r="AB253" i="51"/>
  <c r="U253" i="51"/>
  <c r="V253" i="51" s="1"/>
  <c r="I253" i="51"/>
  <c r="H253" i="51"/>
  <c r="AJ252" i="51"/>
  <c r="AI252" i="51"/>
  <c r="AH252" i="51"/>
  <c r="AE252" i="51"/>
  <c r="AD252" i="51"/>
  <c r="AB252" i="51"/>
  <c r="U252" i="51"/>
  <c r="V252" i="51" s="1"/>
  <c r="I252" i="51"/>
  <c r="H252" i="51"/>
  <c r="AG251" i="51"/>
  <c r="AF251" i="51"/>
  <c r="AF250" i="51" s="1"/>
  <c r="AC251" i="51"/>
  <c r="AA251" i="51"/>
  <c r="Z251" i="51"/>
  <c r="Y251" i="51"/>
  <c r="AJ249" i="51"/>
  <c r="AK249" i="51" s="1"/>
  <c r="AH249" i="51"/>
  <c r="AE249" i="51"/>
  <c r="AD249" i="51"/>
  <c r="AB249" i="51"/>
  <c r="U249" i="51"/>
  <c r="V249" i="51" s="1"/>
  <c r="I249" i="51"/>
  <c r="H249" i="51"/>
  <c r="AJ248" i="51"/>
  <c r="AI248" i="51"/>
  <c r="AH248" i="51"/>
  <c r="AE248" i="51"/>
  <c r="AD248" i="51"/>
  <c r="AB248" i="51"/>
  <c r="U248" i="51"/>
  <c r="V248" i="51" s="1"/>
  <c r="I248" i="51"/>
  <c r="H248" i="51"/>
  <c r="H246" i="51" s="1"/>
  <c r="H245" i="51" s="1"/>
  <c r="AJ247" i="51"/>
  <c r="AI247" i="51"/>
  <c r="AH247" i="51"/>
  <c r="AE247" i="51"/>
  <c r="AE246" i="51" s="1"/>
  <c r="AE245" i="51" s="1"/>
  <c r="AD247" i="51"/>
  <c r="AB247" i="51"/>
  <c r="U247" i="51"/>
  <c r="V247" i="51" s="1"/>
  <c r="I247" i="51"/>
  <c r="I246" i="51" s="1"/>
  <c r="I245" i="51" s="1"/>
  <c r="H247" i="51"/>
  <c r="AG246" i="51"/>
  <c r="AG245" i="51" s="1"/>
  <c r="AF246" i="51"/>
  <c r="AC246" i="51"/>
  <c r="AA246" i="51"/>
  <c r="AA245" i="51" s="1"/>
  <c r="Z246" i="51"/>
  <c r="Z245" i="51" s="1"/>
  <c r="Y246" i="51"/>
  <c r="Y245" i="51" s="1"/>
  <c r="AF245" i="51"/>
  <c r="AJ244" i="51"/>
  <c r="AI244" i="51"/>
  <c r="AH244" i="51"/>
  <c r="AE244" i="51"/>
  <c r="AD244" i="51"/>
  <c r="AB244" i="51"/>
  <c r="U244" i="51"/>
  <c r="V244" i="51" s="1"/>
  <c r="I244" i="51"/>
  <c r="H244" i="51"/>
  <c r="AJ243" i="51"/>
  <c r="AI243" i="51"/>
  <c r="AH243" i="51"/>
  <c r="AE243" i="51"/>
  <c r="AD243" i="51"/>
  <c r="AB243" i="51"/>
  <c r="U243" i="51"/>
  <c r="V243" i="51" s="1"/>
  <c r="I243" i="51"/>
  <c r="H243" i="51"/>
  <c r="AJ242" i="51"/>
  <c r="AI242" i="51"/>
  <c r="AH242" i="51"/>
  <c r="AE242" i="51"/>
  <c r="AD242" i="51"/>
  <c r="AB242" i="51"/>
  <c r="U242" i="51"/>
  <c r="V242" i="51" s="1"/>
  <c r="I242" i="51"/>
  <c r="H242" i="51"/>
  <c r="AJ241" i="51"/>
  <c r="AI241" i="51"/>
  <c r="AH241" i="51"/>
  <c r="AE241" i="51"/>
  <c r="AD241" i="51"/>
  <c r="AB241" i="51"/>
  <c r="U241" i="51"/>
  <c r="V241" i="51" s="1"/>
  <c r="I241" i="51"/>
  <c r="H241" i="51"/>
  <c r="H240" i="51" s="1"/>
  <c r="H239" i="51" s="1"/>
  <c r="AG240" i="51"/>
  <c r="AF240" i="51"/>
  <c r="AF239" i="51" s="1"/>
  <c r="AC240" i="51"/>
  <c r="AA240" i="51"/>
  <c r="AA239" i="51" s="1"/>
  <c r="Z240" i="51"/>
  <c r="Z239" i="51" s="1"/>
  <c r="Y240" i="51"/>
  <c r="Y239" i="51" s="1"/>
  <c r="U240" i="51"/>
  <c r="AG239" i="51"/>
  <c r="AJ238" i="51"/>
  <c r="AK238" i="51" s="1"/>
  <c r="AH238" i="51"/>
  <c r="AE238" i="51"/>
  <c r="AD238" i="51"/>
  <c r="AB238" i="51"/>
  <c r="U238" i="51"/>
  <c r="V238" i="51" s="1"/>
  <c r="H238" i="51"/>
  <c r="AJ237" i="51"/>
  <c r="AK237" i="51" s="1"/>
  <c r="AH237" i="51"/>
  <c r="AE237" i="51"/>
  <c r="AD237" i="51"/>
  <c r="AB237" i="51"/>
  <c r="U237" i="51"/>
  <c r="V237" i="51" s="1"/>
  <c r="I237" i="51"/>
  <c r="H237" i="51"/>
  <c r="AJ236" i="51"/>
  <c r="AH236" i="51"/>
  <c r="AE236" i="51"/>
  <c r="AD236" i="51"/>
  <c r="AB236" i="51"/>
  <c r="U236" i="51"/>
  <c r="V236" i="51" s="1"/>
  <c r="I236" i="51"/>
  <c r="H236" i="51"/>
  <c r="AJ235" i="51"/>
  <c r="AK235" i="51" s="1"/>
  <c r="AH235" i="51"/>
  <c r="AE235" i="51"/>
  <c r="AD235" i="51"/>
  <c r="AB235" i="51"/>
  <c r="U235" i="51"/>
  <c r="V235" i="51" s="1"/>
  <c r="I235" i="51"/>
  <c r="I234" i="51" s="1"/>
  <c r="H235" i="51"/>
  <c r="AI234" i="51"/>
  <c r="AG234" i="51"/>
  <c r="AF234" i="51"/>
  <c r="AC234" i="51"/>
  <c r="AA234" i="51"/>
  <c r="Z234" i="51"/>
  <c r="Y234" i="51"/>
  <c r="AJ233" i="51"/>
  <c r="AI233" i="51"/>
  <c r="AH233" i="51"/>
  <c r="AE233" i="51"/>
  <c r="AD233" i="51"/>
  <c r="AB233" i="51"/>
  <c r="U233" i="51"/>
  <c r="V233" i="51" s="1"/>
  <c r="I233" i="51"/>
  <c r="H233" i="51"/>
  <c r="AJ232" i="51"/>
  <c r="AI232" i="51"/>
  <c r="AH232" i="51"/>
  <c r="AE232" i="51"/>
  <c r="AD232" i="51"/>
  <c r="AB232" i="51"/>
  <c r="U232" i="51"/>
  <c r="V232" i="51" s="1"/>
  <c r="I232" i="51"/>
  <c r="H232" i="51"/>
  <c r="AJ231" i="51"/>
  <c r="AI231" i="51"/>
  <c r="AH231" i="51"/>
  <c r="AE231" i="51"/>
  <c r="AD231" i="51"/>
  <c r="AB231" i="51"/>
  <c r="U231" i="51"/>
  <c r="V231" i="51" s="1"/>
  <c r="I231" i="51"/>
  <c r="H231" i="51"/>
  <c r="AG230" i="51"/>
  <c r="AF230" i="51"/>
  <c r="AF229" i="51" s="1"/>
  <c r="AC230" i="51"/>
  <c r="AA230" i="51"/>
  <c r="Z230" i="51"/>
  <c r="Y230" i="51"/>
  <c r="AJ228" i="51"/>
  <c r="AJ227" i="51" s="1"/>
  <c r="AH228" i="51"/>
  <c r="AE228" i="51"/>
  <c r="AE227" i="51" s="1"/>
  <c r="AD228" i="51"/>
  <c r="AB228" i="51"/>
  <c r="U228" i="51"/>
  <c r="V228" i="51" s="1"/>
  <c r="V227" i="51" s="1"/>
  <c r="I228" i="51"/>
  <c r="I227" i="51" s="1"/>
  <c r="H228" i="51"/>
  <c r="H227" i="51" s="1"/>
  <c r="AI227" i="51"/>
  <c r="AG227" i="51"/>
  <c r="AF227" i="51"/>
  <c r="AC227" i="51"/>
  <c r="AA227" i="51"/>
  <c r="Z227" i="51"/>
  <c r="Y227" i="51"/>
  <c r="AJ226" i="51"/>
  <c r="AK226" i="51" s="1"/>
  <c r="AH226" i="51"/>
  <c r="AE226" i="51"/>
  <c r="AD226" i="51"/>
  <c r="AB226" i="51"/>
  <c r="U226" i="51"/>
  <c r="V226" i="51" s="1"/>
  <c r="I226" i="51"/>
  <c r="H226" i="51"/>
  <c r="AJ225" i="51"/>
  <c r="AK225" i="51" s="1"/>
  <c r="AH225" i="51"/>
  <c r="AE225" i="51"/>
  <c r="AD225" i="51"/>
  <c r="AB225" i="51"/>
  <c r="U225" i="51"/>
  <c r="V225" i="51" s="1"/>
  <c r="I225" i="51"/>
  <c r="H225" i="51"/>
  <c r="AJ224" i="51"/>
  <c r="AK224" i="51" s="1"/>
  <c r="AH224" i="51"/>
  <c r="AE224" i="51"/>
  <c r="AD224" i="51"/>
  <c r="AB224" i="51"/>
  <c r="U224" i="51"/>
  <c r="V224" i="51" s="1"/>
  <c r="I224" i="51"/>
  <c r="H224" i="51"/>
  <c r="AJ223" i="51"/>
  <c r="AK223" i="51" s="1"/>
  <c r="AH223" i="51"/>
  <c r="AE223" i="51"/>
  <c r="AD223" i="51"/>
  <c r="AB223" i="51"/>
  <c r="U223" i="51"/>
  <c r="V223" i="51" s="1"/>
  <c r="H223" i="51"/>
  <c r="AJ222" i="51"/>
  <c r="AK222" i="51" s="1"/>
  <c r="AH222" i="51"/>
  <c r="AE222" i="51"/>
  <c r="AD222" i="51"/>
  <c r="AB222" i="51"/>
  <c r="U222" i="51"/>
  <c r="V222" i="51" s="1"/>
  <c r="H222" i="51"/>
  <c r="AJ221" i="51"/>
  <c r="AK221" i="51" s="1"/>
  <c r="AH221" i="51"/>
  <c r="AE221" i="51"/>
  <c r="AD221" i="51"/>
  <c r="AB221" i="51"/>
  <c r="U221" i="51"/>
  <c r="V221" i="51" s="1"/>
  <c r="H221" i="51"/>
  <c r="AJ220" i="51"/>
  <c r="AH220" i="51"/>
  <c r="AE220" i="51"/>
  <c r="AD220" i="51"/>
  <c r="AB220" i="51"/>
  <c r="U220" i="51"/>
  <c r="V220" i="51" s="1"/>
  <c r="I220" i="51"/>
  <c r="H220" i="51"/>
  <c r="AI219" i="51"/>
  <c r="AG219" i="51"/>
  <c r="AG218" i="51" s="1"/>
  <c r="AF219" i="51"/>
  <c r="AC219" i="51"/>
  <c r="AA219" i="51"/>
  <c r="Z219" i="51"/>
  <c r="Y219" i="51"/>
  <c r="Z218" i="51"/>
  <c r="AJ217" i="51"/>
  <c r="AK217" i="51" s="1"/>
  <c r="AH217" i="51"/>
  <c r="AE217" i="51"/>
  <c r="AD217" i="51"/>
  <c r="AB217" i="51"/>
  <c r="U217" i="51"/>
  <c r="V217" i="51" s="1"/>
  <c r="I217" i="51"/>
  <c r="H217" i="51"/>
  <c r="AJ216" i="51"/>
  <c r="AK216" i="51" s="1"/>
  <c r="AH216" i="51"/>
  <c r="AE216" i="51"/>
  <c r="AD216" i="51"/>
  <c r="AB216" i="51"/>
  <c r="U216" i="51"/>
  <c r="V216" i="51" s="1"/>
  <c r="I216" i="51"/>
  <c r="H216" i="51"/>
  <c r="AJ215" i="51"/>
  <c r="AK215" i="51" s="1"/>
  <c r="AH215" i="51"/>
  <c r="AE215" i="51"/>
  <c r="AD215" i="51"/>
  <c r="AB215" i="51"/>
  <c r="U215" i="51"/>
  <c r="V215" i="51" s="1"/>
  <c r="I215" i="51"/>
  <c r="H215" i="51"/>
  <c r="AJ214" i="51"/>
  <c r="AH214" i="51"/>
  <c r="AE214" i="51"/>
  <c r="AD214" i="51"/>
  <c r="AB214" i="51"/>
  <c r="U214" i="51"/>
  <c r="V214" i="51" s="1"/>
  <c r="I214" i="51"/>
  <c r="H214" i="51"/>
  <c r="AI213" i="51"/>
  <c r="AG213" i="51"/>
  <c r="AG212" i="51" s="1"/>
  <c r="AF213" i="51"/>
  <c r="AC213" i="51"/>
  <c r="AA213" i="51"/>
  <c r="Z213" i="51"/>
  <c r="Z212" i="51" s="1"/>
  <c r="Y213" i="51"/>
  <c r="Y212" i="51" s="1"/>
  <c r="AI212" i="51"/>
  <c r="AA212" i="51"/>
  <c r="AJ210" i="51"/>
  <c r="AK210" i="51" s="1"/>
  <c r="AH210" i="51"/>
  <c r="AD210" i="51"/>
  <c r="AB210" i="51"/>
  <c r="U210" i="51"/>
  <c r="V210" i="51" s="1"/>
  <c r="V209" i="51" s="1"/>
  <c r="V208" i="51" s="1"/>
  <c r="H210" i="51"/>
  <c r="AI209" i="51"/>
  <c r="AI208" i="51" s="1"/>
  <c r="AG209" i="51"/>
  <c r="AF209" i="51"/>
  <c r="AF208" i="51" s="1"/>
  <c r="AE209" i="51"/>
  <c r="AE208" i="51" s="1"/>
  <c r="AC209" i="51"/>
  <c r="AC208" i="51" s="1"/>
  <c r="AA209" i="51"/>
  <c r="Z209" i="51"/>
  <c r="Z208" i="51" s="1"/>
  <c r="Y209" i="51"/>
  <c r="Y208" i="51" s="1"/>
  <c r="I209" i="51"/>
  <c r="I208" i="51" s="1"/>
  <c r="H208" i="51"/>
  <c r="AJ207" i="51"/>
  <c r="AK207" i="51" s="1"/>
  <c r="AH207" i="51"/>
  <c r="AE207" i="51"/>
  <c r="AD207" i="51"/>
  <c r="AB207" i="51"/>
  <c r="U207" i="51"/>
  <c r="V207" i="51" s="1"/>
  <c r="I207" i="51"/>
  <c r="H207" i="51"/>
  <c r="AJ206" i="51"/>
  <c r="AK206" i="51" s="1"/>
  <c r="AH206" i="51"/>
  <c r="AE206" i="51"/>
  <c r="AE203" i="51" s="1"/>
  <c r="AE202" i="51" s="1"/>
  <c r="AD206" i="51"/>
  <c r="AB206" i="51"/>
  <c r="U206" i="51"/>
  <c r="V206" i="51" s="1"/>
  <c r="I206" i="51"/>
  <c r="H206" i="51"/>
  <c r="H203" i="51" s="1"/>
  <c r="H202" i="51" s="1"/>
  <c r="AJ205" i="51"/>
  <c r="AK205" i="51" s="1"/>
  <c r="AH205" i="51"/>
  <c r="AD205" i="51"/>
  <c r="AB205" i="51"/>
  <c r="U205" i="51"/>
  <c r="V205" i="51" s="1"/>
  <c r="H205" i="51"/>
  <c r="AJ204" i="51"/>
  <c r="AK204" i="51" s="1"/>
  <c r="AH204" i="51"/>
  <c r="AD204" i="51"/>
  <c r="AB204" i="51"/>
  <c r="U204" i="51"/>
  <c r="V204" i="51" s="1"/>
  <c r="H204" i="51"/>
  <c r="AI203" i="51"/>
  <c r="AI202" i="51" s="1"/>
  <c r="AG203" i="51"/>
  <c r="AG202" i="51" s="1"/>
  <c r="AF203" i="51"/>
  <c r="AF202" i="51" s="1"/>
  <c r="AC203" i="51"/>
  <c r="AA203" i="51"/>
  <c r="AB203" i="51" s="1"/>
  <c r="Z203" i="51"/>
  <c r="Z202" i="51" s="1"/>
  <c r="Y203" i="51"/>
  <c r="Y202" i="51" s="1"/>
  <c r="AJ201" i="51"/>
  <c r="AJ200" i="51" s="1"/>
  <c r="AH201" i="51"/>
  <c r="AE201" i="51"/>
  <c r="AE200" i="51" s="1"/>
  <c r="AD201" i="51"/>
  <c r="AB201" i="51"/>
  <c r="U201" i="51"/>
  <c r="V201" i="51" s="1"/>
  <c r="V200" i="51" s="1"/>
  <c r="I201" i="51"/>
  <c r="I200" i="51" s="1"/>
  <c r="H201" i="51"/>
  <c r="AI200" i="51"/>
  <c r="AG200" i="51"/>
  <c r="AF200" i="51"/>
  <c r="AC200" i="51"/>
  <c r="AA200" i="51"/>
  <c r="Z200" i="51"/>
  <c r="Y200" i="51"/>
  <c r="AJ199" i="51"/>
  <c r="AK199" i="51" s="1"/>
  <c r="AH199" i="51"/>
  <c r="AE199" i="51"/>
  <c r="AD199" i="51"/>
  <c r="AB199" i="51"/>
  <c r="U199" i="51"/>
  <c r="V199" i="51" s="1"/>
  <c r="I199" i="51"/>
  <c r="H199" i="51"/>
  <c r="AJ198" i="51"/>
  <c r="AK198" i="51" s="1"/>
  <c r="AH198" i="51"/>
  <c r="AE198" i="51"/>
  <c r="AD198" i="51"/>
  <c r="AB198" i="51"/>
  <c r="U198" i="51"/>
  <c r="V198" i="51" s="1"/>
  <c r="I198" i="51"/>
  <c r="H198" i="51"/>
  <c r="AJ197" i="51"/>
  <c r="AK197" i="51" s="1"/>
  <c r="AH197" i="51"/>
  <c r="AE197" i="51"/>
  <c r="AD197" i="51"/>
  <c r="AB197" i="51"/>
  <c r="V197" i="51"/>
  <c r="U197" i="51"/>
  <c r="I197" i="51"/>
  <c r="H197" i="51"/>
  <c r="AJ196" i="51"/>
  <c r="AK196" i="51" s="1"/>
  <c r="AH196" i="51"/>
  <c r="AD196" i="51"/>
  <c r="AB196" i="51"/>
  <c r="U196" i="51"/>
  <c r="V196" i="51" s="1"/>
  <c r="H196" i="51"/>
  <c r="AJ195" i="51"/>
  <c r="AK195" i="51" s="1"/>
  <c r="AH195" i="51"/>
  <c r="AE195" i="51"/>
  <c r="AD195" i="51"/>
  <c r="AB195" i="51"/>
  <c r="U195" i="51"/>
  <c r="V195" i="51" s="1"/>
  <c r="I195" i="51"/>
  <c r="H195" i="51"/>
  <c r="AJ194" i="51"/>
  <c r="AK194" i="51" s="1"/>
  <c r="AH194" i="51"/>
  <c r="AE194" i="51"/>
  <c r="AD194" i="51"/>
  <c r="AB194" i="51"/>
  <c r="U194" i="51"/>
  <c r="V194" i="51" s="1"/>
  <c r="I194" i="51"/>
  <c r="H194" i="51"/>
  <c r="AJ193" i="51"/>
  <c r="AI193" i="51"/>
  <c r="AH193" i="51"/>
  <c r="AE193" i="51"/>
  <c r="AD193" i="51"/>
  <c r="AB193" i="51"/>
  <c r="U193" i="51"/>
  <c r="V193" i="51" s="1"/>
  <c r="I193" i="51"/>
  <c r="H193" i="51"/>
  <c r="AI192" i="51"/>
  <c r="AG192" i="51"/>
  <c r="AG191" i="51" s="1"/>
  <c r="AG190" i="51" s="1"/>
  <c r="AF192" i="51"/>
  <c r="AF191" i="51" s="1"/>
  <c r="AE192" i="51"/>
  <c r="AD192" i="51"/>
  <c r="AB192" i="51"/>
  <c r="Z192" i="51"/>
  <c r="Z191" i="51" s="1"/>
  <c r="U192" i="51"/>
  <c r="V192" i="51" s="1"/>
  <c r="I192" i="51"/>
  <c r="H192" i="51"/>
  <c r="AC191" i="51"/>
  <c r="AA191" i="51"/>
  <c r="Y191" i="51"/>
  <c r="AJ189" i="51"/>
  <c r="AK189" i="51" s="1"/>
  <c r="AH189" i="51"/>
  <c r="AE189" i="51"/>
  <c r="AD189" i="51"/>
  <c r="AB189" i="51"/>
  <c r="U189" i="51"/>
  <c r="V189" i="51" s="1"/>
  <c r="I189" i="51"/>
  <c r="H189" i="51"/>
  <c r="AJ188" i="51"/>
  <c r="AK188" i="51" s="1"/>
  <c r="AH188" i="51"/>
  <c r="AE188" i="51"/>
  <c r="AD188" i="51"/>
  <c r="AB188" i="51"/>
  <c r="U188" i="51"/>
  <c r="V188" i="51" s="1"/>
  <c r="I188" i="51"/>
  <c r="H188" i="51"/>
  <c r="AJ187" i="51"/>
  <c r="AK187" i="51" s="1"/>
  <c r="AH187" i="51"/>
  <c r="AE187" i="51"/>
  <c r="AD187" i="51"/>
  <c r="AB187" i="51"/>
  <c r="U187" i="51"/>
  <c r="V187" i="51" s="1"/>
  <c r="I187" i="51"/>
  <c r="H187" i="51"/>
  <c r="AJ186" i="51"/>
  <c r="AK186" i="51" s="1"/>
  <c r="AH186" i="51"/>
  <c r="AE186" i="51"/>
  <c r="AD186" i="51"/>
  <c r="AB186" i="51"/>
  <c r="U186" i="51"/>
  <c r="V186" i="51" s="1"/>
  <c r="I186" i="51"/>
  <c r="H186" i="51"/>
  <c r="AJ185" i="51"/>
  <c r="AK185" i="51" s="1"/>
  <c r="AH185" i="51"/>
  <c r="AE185" i="51"/>
  <c r="AD185" i="51"/>
  <c r="AB185" i="51"/>
  <c r="U185" i="51"/>
  <c r="V185" i="51" s="1"/>
  <c r="I185" i="51"/>
  <c r="H185" i="51"/>
  <c r="AJ184" i="51"/>
  <c r="AH184" i="51"/>
  <c r="AE184" i="51"/>
  <c r="AD184" i="51"/>
  <c r="AB184" i="51"/>
  <c r="U184" i="51"/>
  <c r="V184" i="51" s="1"/>
  <c r="I184" i="51"/>
  <c r="H184" i="51"/>
  <c r="AI183" i="51"/>
  <c r="AG183" i="51"/>
  <c r="AF183" i="51"/>
  <c r="AC183" i="51"/>
  <c r="AA183" i="51"/>
  <c r="Z183" i="51"/>
  <c r="Y183" i="51"/>
  <c r="AH182" i="51"/>
  <c r="AC182" i="51"/>
  <c r="AA182" i="51"/>
  <c r="U182" i="51"/>
  <c r="V182" i="51" s="1"/>
  <c r="I182" i="51"/>
  <c r="H182" i="51"/>
  <c r="AH181" i="51"/>
  <c r="AC181" i="51"/>
  <c r="AD181" i="51" s="1"/>
  <c r="AA181" i="51"/>
  <c r="U181" i="51"/>
  <c r="V181" i="51" s="1"/>
  <c r="I181" i="51"/>
  <c r="H181" i="51"/>
  <c r="AJ180" i="51"/>
  <c r="AK180" i="51" s="1"/>
  <c r="AH180" i="51"/>
  <c r="AE180" i="51"/>
  <c r="AD180" i="51"/>
  <c r="AB180" i="51"/>
  <c r="U180" i="51"/>
  <c r="V180" i="51" s="1"/>
  <c r="I180" i="51"/>
  <c r="H180" i="51"/>
  <c r="AJ179" i="51"/>
  <c r="AH179" i="51"/>
  <c r="AE179" i="51"/>
  <c r="AD179" i="51"/>
  <c r="AB179" i="51"/>
  <c r="U179" i="51"/>
  <c r="V179" i="51" s="1"/>
  <c r="I179" i="51"/>
  <c r="H179" i="51"/>
  <c r="AI178" i="51"/>
  <c r="AG178" i="51"/>
  <c r="AF178" i="51"/>
  <c r="Z178" i="51"/>
  <c r="Y178" i="51"/>
  <c r="AJ177" i="51"/>
  <c r="AK177" i="51" s="1"/>
  <c r="AH177" i="51"/>
  <c r="AE177" i="51"/>
  <c r="AE176" i="51" s="1"/>
  <c r="AD177" i="51"/>
  <c r="AB177" i="51"/>
  <c r="U177" i="51"/>
  <c r="V177" i="51" s="1"/>
  <c r="V176" i="51" s="1"/>
  <c r="I177" i="51"/>
  <c r="I176" i="51" s="1"/>
  <c r="H177" i="51"/>
  <c r="H176" i="51" s="1"/>
  <c r="AI176" i="51"/>
  <c r="AG176" i="51"/>
  <c r="AF176" i="51"/>
  <c r="AC176" i="51"/>
  <c r="AA176" i="51"/>
  <c r="Z176" i="51"/>
  <c r="Y176" i="51"/>
  <c r="AB176" i="51" s="1"/>
  <c r="AJ175" i="51"/>
  <c r="AK175" i="51" s="1"/>
  <c r="AH175" i="51"/>
  <c r="AE175" i="51"/>
  <c r="AD175" i="51"/>
  <c r="AB175" i="51"/>
  <c r="U175" i="51"/>
  <c r="V175" i="51" s="1"/>
  <c r="I175" i="51"/>
  <c r="H175" i="51"/>
  <c r="AJ174" i="51"/>
  <c r="AK174" i="51" s="1"/>
  <c r="AH174" i="51"/>
  <c r="AD174" i="51"/>
  <c r="AB174" i="51"/>
  <c r="U174" i="51"/>
  <c r="V174" i="51" s="1"/>
  <c r="H174" i="51"/>
  <c r="AK173" i="51"/>
  <c r="AJ173" i="51"/>
  <c r="AH173" i="51"/>
  <c r="AE173" i="51"/>
  <c r="AD173" i="51"/>
  <c r="AB173" i="51"/>
  <c r="U173" i="51"/>
  <c r="V173" i="51" s="1"/>
  <c r="I173" i="51"/>
  <c r="H173" i="51"/>
  <c r="AJ172" i="51"/>
  <c r="AK172" i="51" s="1"/>
  <c r="AH172" i="51"/>
  <c r="AE172" i="51"/>
  <c r="AD172" i="51"/>
  <c r="AB172" i="51"/>
  <c r="U172" i="51"/>
  <c r="V172" i="51" s="1"/>
  <c r="I172" i="51"/>
  <c r="H172" i="51"/>
  <c r="AJ171" i="51"/>
  <c r="AK171" i="51" s="1"/>
  <c r="AH171" i="51"/>
  <c r="AE171" i="51"/>
  <c r="AD171" i="51"/>
  <c r="AB171" i="51"/>
  <c r="U171" i="51"/>
  <c r="V171" i="51" s="1"/>
  <c r="I171" i="51"/>
  <c r="H171" i="51"/>
  <c r="H168" i="51" s="1"/>
  <c r="AJ170" i="51"/>
  <c r="AK170" i="51" s="1"/>
  <c r="AH170" i="51"/>
  <c r="AD170" i="51"/>
  <c r="AB170" i="51"/>
  <c r="U170" i="51"/>
  <c r="V170" i="51" s="1"/>
  <c r="H170" i="51"/>
  <c r="AJ169" i="51"/>
  <c r="AH169" i="51"/>
  <c r="AE169" i="51"/>
  <c r="AD169" i="51"/>
  <c r="AB169" i="51"/>
  <c r="U169" i="51"/>
  <c r="V169" i="51" s="1"/>
  <c r="I169" i="51"/>
  <c r="H169" i="51"/>
  <c r="AI168" i="51"/>
  <c r="AG168" i="51"/>
  <c r="AF168" i="51"/>
  <c r="AC168" i="51"/>
  <c r="AA168" i="51"/>
  <c r="Z168" i="51"/>
  <c r="Z167" i="51" s="1"/>
  <c r="Y168" i="51"/>
  <c r="AJ166" i="51"/>
  <c r="AK166" i="51" s="1"/>
  <c r="AH166" i="51"/>
  <c r="AE166" i="51"/>
  <c r="AD166" i="51"/>
  <c r="AB166" i="51"/>
  <c r="U166" i="51"/>
  <c r="V166" i="51" s="1"/>
  <c r="V165" i="51" s="1"/>
  <c r="I166" i="51"/>
  <c r="I165" i="51" s="1"/>
  <c r="H166" i="51"/>
  <c r="AI165" i="51"/>
  <c r="AG165" i="51"/>
  <c r="AF165" i="51"/>
  <c r="AE165" i="51"/>
  <c r="AC165" i="51"/>
  <c r="AA165" i="51"/>
  <c r="Z165" i="51"/>
  <c r="Y165" i="51"/>
  <c r="AJ164" i="51"/>
  <c r="AK164" i="51" s="1"/>
  <c r="AH164" i="51"/>
  <c r="AD164" i="51"/>
  <c r="AB164" i="51"/>
  <c r="U164" i="51"/>
  <c r="V164" i="51" s="1"/>
  <c r="V163" i="51" s="1"/>
  <c r="H164" i="51"/>
  <c r="H163" i="51" s="1"/>
  <c r="AI163" i="51"/>
  <c r="AG163" i="51"/>
  <c r="AH163" i="51" s="1"/>
  <c r="AF163" i="51"/>
  <c r="AE163" i="51"/>
  <c r="AC163" i="51"/>
  <c r="AA163" i="51"/>
  <c r="Z163" i="51"/>
  <c r="Y163" i="51"/>
  <c r="I163" i="51"/>
  <c r="AJ162" i="51"/>
  <c r="AK162" i="51" s="1"/>
  <c r="AH162" i="51"/>
  <c r="AE162" i="51"/>
  <c r="AE161" i="51" s="1"/>
  <c r="AD162" i="51"/>
  <c r="AB162" i="51"/>
  <c r="U162" i="51"/>
  <c r="V162" i="51" s="1"/>
  <c r="V161" i="51" s="1"/>
  <c r="I162" i="51"/>
  <c r="I161" i="51" s="1"/>
  <c r="H162" i="51"/>
  <c r="AI161" i="51"/>
  <c r="AG161" i="51"/>
  <c r="AF161" i="51"/>
  <c r="AC161" i="51"/>
  <c r="AA161" i="51"/>
  <c r="Z161" i="51"/>
  <c r="Y161" i="51"/>
  <c r="H161" i="51"/>
  <c r="AJ160" i="51"/>
  <c r="AK160" i="51" s="1"/>
  <c r="AH160" i="51"/>
  <c r="AD160" i="51"/>
  <c r="AB160" i="51"/>
  <c r="V160" i="51"/>
  <c r="U160" i="51"/>
  <c r="H160" i="51"/>
  <c r="AJ159" i="51"/>
  <c r="AH159" i="51"/>
  <c r="AE159" i="51"/>
  <c r="AE158" i="51" s="1"/>
  <c r="AD159" i="51"/>
  <c r="AB159" i="51"/>
  <c r="U159" i="51"/>
  <c r="T159" i="51"/>
  <c r="I159" i="51"/>
  <c r="I158" i="51" s="1"/>
  <c r="H159" i="51"/>
  <c r="AI158" i="51"/>
  <c r="AG158" i="51"/>
  <c r="AF158" i="51"/>
  <c r="AC158" i="51"/>
  <c r="AA158" i="51"/>
  <c r="Z158" i="51"/>
  <c r="Y158" i="51"/>
  <c r="AB158" i="51" s="1"/>
  <c r="H158" i="51"/>
  <c r="AJ156" i="51"/>
  <c r="AH156" i="51"/>
  <c r="AE156" i="51"/>
  <c r="AE155" i="51" s="1"/>
  <c r="AD156" i="51"/>
  <c r="AB156" i="51"/>
  <c r="U156" i="51"/>
  <c r="V156" i="51" s="1"/>
  <c r="V155" i="51" s="1"/>
  <c r="I156" i="51"/>
  <c r="I155" i="51" s="1"/>
  <c r="H156" i="51"/>
  <c r="AI155" i="51"/>
  <c r="AG155" i="51"/>
  <c r="AF155" i="51"/>
  <c r="AC155" i="51"/>
  <c r="AA155" i="51"/>
  <c r="Z155" i="51"/>
  <c r="Y155" i="51"/>
  <c r="AJ154" i="51"/>
  <c r="AK154" i="51" s="1"/>
  <c r="AH154" i="51"/>
  <c r="AE154" i="51"/>
  <c r="AE153" i="51" s="1"/>
  <c r="AD154" i="51"/>
  <c r="AB154" i="51"/>
  <c r="U154" i="51"/>
  <c r="V154" i="51" s="1"/>
  <c r="V153" i="51" s="1"/>
  <c r="I154" i="51"/>
  <c r="I153" i="51" s="1"/>
  <c r="H154" i="51"/>
  <c r="H153" i="51" s="1"/>
  <c r="AI153" i="51"/>
  <c r="AG153" i="51"/>
  <c r="AH153" i="51" s="1"/>
  <c r="AF153" i="51"/>
  <c r="AC153" i="51"/>
  <c r="AA153" i="51"/>
  <c r="AB153" i="51" s="1"/>
  <c r="Z153" i="51"/>
  <c r="Y153" i="51"/>
  <c r="AJ152" i="51"/>
  <c r="AH152" i="51"/>
  <c r="AE152" i="51"/>
  <c r="AE151" i="51" s="1"/>
  <c r="AD152" i="51"/>
  <c r="AB152" i="51"/>
  <c r="U152" i="51"/>
  <c r="V152" i="51" s="1"/>
  <c r="V151" i="51" s="1"/>
  <c r="V150" i="51" s="1"/>
  <c r="I152" i="51"/>
  <c r="I151" i="51" s="1"/>
  <c r="H152" i="51"/>
  <c r="H151" i="51" s="1"/>
  <c r="AI151" i="51"/>
  <c r="AG151" i="51"/>
  <c r="AG150" i="51" s="1"/>
  <c r="AF151" i="51"/>
  <c r="AC151" i="51"/>
  <c r="AA151" i="51"/>
  <c r="Z151" i="51"/>
  <c r="Y151" i="51"/>
  <c r="AJ149" i="51"/>
  <c r="AK149" i="51" s="1"/>
  <c r="AH149" i="51"/>
  <c r="AE149" i="51"/>
  <c r="AE148" i="51" s="1"/>
  <c r="AE147" i="51" s="1"/>
  <c r="AD149" i="51"/>
  <c r="AB149" i="51"/>
  <c r="U149" i="51"/>
  <c r="V149" i="51" s="1"/>
  <c r="V148" i="51" s="1"/>
  <c r="V147" i="51" s="1"/>
  <c r="I149" i="51"/>
  <c r="I148" i="51" s="1"/>
  <c r="I147" i="51" s="1"/>
  <c r="H149" i="51"/>
  <c r="AJ148" i="51"/>
  <c r="AI148" i="51"/>
  <c r="AI147" i="51" s="1"/>
  <c r="AH148" i="51"/>
  <c r="AG148" i="51"/>
  <c r="AG147" i="51" s="1"/>
  <c r="AF148" i="51"/>
  <c r="AF147" i="51" s="1"/>
  <c r="AC148" i="51"/>
  <c r="AA148" i="51"/>
  <c r="Z148" i="51"/>
  <c r="Y148" i="51"/>
  <c r="Y147" i="51" s="1"/>
  <c r="Z147" i="51"/>
  <c r="H147" i="51"/>
  <c r="AJ145" i="51"/>
  <c r="AH145" i="51"/>
  <c r="AE145" i="51"/>
  <c r="AE144" i="51" s="1"/>
  <c r="AD145" i="51"/>
  <c r="AB145" i="51"/>
  <c r="U145" i="51"/>
  <c r="V145" i="51" s="1"/>
  <c r="V144" i="51" s="1"/>
  <c r="I145" i="51"/>
  <c r="I144" i="51" s="1"/>
  <c r="H145" i="51"/>
  <c r="H144" i="51" s="1"/>
  <c r="H140" i="51" s="1"/>
  <c r="AI144" i="51"/>
  <c r="AG144" i="51"/>
  <c r="AF144" i="51"/>
  <c r="AC144" i="51"/>
  <c r="AA144" i="51"/>
  <c r="Z144" i="51"/>
  <c r="Y144" i="51"/>
  <c r="AJ143" i="51"/>
  <c r="AK143" i="51" s="1"/>
  <c r="AH143" i="51"/>
  <c r="AE143" i="51"/>
  <c r="AD143" i="51"/>
  <c r="AB143" i="51"/>
  <c r="U143" i="51"/>
  <c r="V143" i="51" s="1"/>
  <c r="I143" i="51"/>
  <c r="H143" i="51"/>
  <c r="AK142" i="51"/>
  <c r="AJ142" i="51"/>
  <c r="AH142" i="51"/>
  <c r="AE142" i="51"/>
  <c r="AD142" i="51"/>
  <c r="AB142" i="51"/>
  <c r="U142" i="51"/>
  <c r="V142" i="51" s="1"/>
  <c r="I142" i="51"/>
  <c r="H142" i="51"/>
  <c r="AI141" i="51"/>
  <c r="AG141" i="51"/>
  <c r="AF141" i="51"/>
  <c r="AC141" i="51"/>
  <c r="AA141" i="51"/>
  <c r="Z141" i="51"/>
  <c r="Z140" i="51" s="1"/>
  <c r="Y141" i="51"/>
  <c r="AJ139" i="51"/>
  <c r="AK139" i="51" s="1"/>
  <c r="AH139" i="51"/>
  <c r="AE139" i="51"/>
  <c r="AD139" i="51"/>
  <c r="AB139" i="51"/>
  <c r="U139" i="51"/>
  <c r="V139" i="51" s="1"/>
  <c r="I139" i="51"/>
  <c r="H139" i="51"/>
  <c r="AJ138" i="51"/>
  <c r="AK138" i="51" s="1"/>
  <c r="AH138" i="51"/>
  <c r="AE138" i="51"/>
  <c r="AD138" i="51"/>
  <c r="AB138" i="51"/>
  <c r="U138" i="51"/>
  <c r="V138" i="51" s="1"/>
  <c r="I138" i="51"/>
  <c r="H138" i="51"/>
  <c r="AJ137" i="51"/>
  <c r="AK137" i="51" s="1"/>
  <c r="AH137" i="51"/>
  <c r="AE137" i="51"/>
  <c r="AD137" i="51"/>
  <c r="AB137" i="51"/>
  <c r="U137" i="51"/>
  <c r="V137" i="51" s="1"/>
  <c r="I137" i="51"/>
  <c r="H137" i="51"/>
  <c r="AJ136" i="51"/>
  <c r="AK136" i="51" s="1"/>
  <c r="AH136" i="51"/>
  <c r="AE136" i="51"/>
  <c r="AD136" i="51"/>
  <c r="AB136" i="51"/>
  <c r="U136" i="51"/>
  <c r="V136" i="51" s="1"/>
  <c r="I136" i="51"/>
  <c r="H136" i="51"/>
  <c r="AI135" i="51"/>
  <c r="AI134" i="51" s="1"/>
  <c r="AG135" i="51"/>
  <c r="AG134" i="51" s="1"/>
  <c r="AF135" i="51"/>
  <c r="AC135" i="51"/>
  <c r="AA135" i="51"/>
  <c r="AA134" i="51" s="1"/>
  <c r="Z135" i="51"/>
  <c r="Z134" i="51" s="1"/>
  <c r="Y135" i="51"/>
  <c r="Y134" i="51" s="1"/>
  <c r="AJ133" i="51"/>
  <c r="AK133" i="51" s="1"/>
  <c r="AH133" i="51"/>
  <c r="AE133" i="51"/>
  <c r="AE132" i="51" s="1"/>
  <c r="AD133" i="51"/>
  <c r="AB133" i="51"/>
  <c r="U133" i="51"/>
  <c r="V133" i="51" s="1"/>
  <c r="V132" i="51" s="1"/>
  <c r="I133" i="51"/>
  <c r="I132" i="51" s="1"/>
  <c r="H133" i="51"/>
  <c r="H132" i="51" s="1"/>
  <c r="AJ132" i="51"/>
  <c r="AI132" i="51"/>
  <c r="AG132" i="51"/>
  <c r="AF132" i="51"/>
  <c r="AC132" i="51"/>
  <c r="AA132" i="51"/>
  <c r="Z132" i="51"/>
  <c r="Y132" i="51"/>
  <c r="U132" i="51"/>
  <c r="AH131" i="51"/>
  <c r="AC131" i="51"/>
  <c r="AA131" i="51"/>
  <c r="AJ131" i="51" s="1"/>
  <c r="AK131" i="51" s="1"/>
  <c r="Y131" i="51"/>
  <c r="AD131" i="51" s="1"/>
  <c r="U131" i="51"/>
  <c r="V131" i="51" s="1"/>
  <c r="I131" i="51"/>
  <c r="H131" i="51"/>
  <c r="AH130" i="51"/>
  <c r="AC130" i="51"/>
  <c r="AA130" i="51"/>
  <c r="AJ130" i="51" s="1"/>
  <c r="AK130" i="51" s="1"/>
  <c r="Y130" i="51"/>
  <c r="U130" i="51"/>
  <c r="V130" i="51" s="1"/>
  <c r="I130" i="51"/>
  <c r="H130" i="51"/>
  <c r="AJ129" i="51"/>
  <c r="AK129" i="51" s="1"/>
  <c r="AH129" i="51"/>
  <c r="AE129" i="51"/>
  <c r="AD129" i="51"/>
  <c r="AB129" i="51"/>
  <c r="U129" i="51"/>
  <c r="V129" i="51" s="1"/>
  <c r="I129" i="51"/>
  <c r="H129" i="51"/>
  <c r="AJ128" i="51"/>
  <c r="AK128" i="51" s="1"/>
  <c r="AH128" i="51"/>
  <c r="AE128" i="51"/>
  <c r="AD128" i="51"/>
  <c r="AB128" i="51"/>
  <c r="U128" i="51"/>
  <c r="V128" i="51" s="1"/>
  <c r="I128" i="51"/>
  <c r="H128" i="51"/>
  <c r="AF127" i="51"/>
  <c r="AH127" i="51" s="1"/>
  <c r="AC127" i="51"/>
  <c r="AD127" i="51" s="1"/>
  <c r="AA127" i="51"/>
  <c r="Y127" i="51"/>
  <c r="U127" i="51"/>
  <c r="V127" i="51" s="1"/>
  <c r="I127" i="51"/>
  <c r="H127" i="51"/>
  <c r="AF126" i="51"/>
  <c r="AC126" i="51"/>
  <c r="AD126" i="51" s="1"/>
  <c r="AA126" i="51"/>
  <c r="Y126" i="51"/>
  <c r="U126" i="51"/>
  <c r="V126" i="51" s="1"/>
  <c r="I126" i="51"/>
  <c r="H126" i="51"/>
  <c r="AI125" i="51"/>
  <c r="AG125" i="51"/>
  <c r="Z125" i="51"/>
  <c r="U125" i="51"/>
  <c r="AJ124" i="51"/>
  <c r="AK124" i="51" s="1"/>
  <c r="AH124" i="51"/>
  <c r="AE124" i="51"/>
  <c r="AD124" i="51"/>
  <c r="AB124" i="51"/>
  <c r="U124" i="51"/>
  <c r="V124" i="51" s="1"/>
  <c r="I124" i="51"/>
  <c r="H124" i="51"/>
  <c r="AG123" i="51"/>
  <c r="AF123" i="51"/>
  <c r="AC123" i="51"/>
  <c r="AD123" i="51" s="1"/>
  <c r="AA123" i="51"/>
  <c r="AJ123" i="51" s="1"/>
  <c r="Y123" i="51"/>
  <c r="U123" i="51"/>
  <c r="V123" i="51" s="1"/>
  <c r="I123" i="51"/>
  <c r="H123" i="51"/>
  <c r="AG122" i="51"/>
  <c r="AF122" i="51"/>
  <c r="AC122" i="51"/>
  <c r="AA122" i="51"/>
  <c r="AJ122" i="51" s="1"/>
  <c r="AK122" i="51" s="1"/>
  <c r="Y122" i="51"/>
  <c r="U122" i="51"/>
  <c r="V122" i="51" s="1"/>
  <c r="I122" i="51"/>
  <c r="H122" i="51"/>
  <c r="AI121" i="51"/>
  <c r="Z121" i="51"/>
  <c r="U121" i="51"/>
  <c r="AJ120" i="51"/>
  <c r="AK120" i="51" s="1"/>
  <c r="AH120" i="51"/>
  <c r="AE120" i="51"/>
  <c r="AD120" i="51"/>
  <c r="AB120" i="51"/>
  <c r="U120" i="51"/>
  <c r="V120" i="51" s="1"/>
  <c r="I120" i="51"/>
  <c r="H120" i="51"/>
  <c r="AJ119" i="51"/>
  <c r="AH119" i="51"/>
  <c r="AE119" i="51"/>
  <c r="AD119" i="51"/>
  <c r="AB119" i="51"/>
  <c r="U119" i="51"/>
  <c r="V119" i="51" s="1"/>
  <c r="I119" i="51"/>
  <c r="H119" i="51"/>
  <c r="H118" i="51" s="1"/>
  <c r="AI118" i="51"/>
  <c r="AG118" i="51"/>
  <c r="AF118" i="51"/>
  <c r="AC118" i="51"/>
  <c r="AA118" i="51"/>
  <c r="Z118" i="51"/>
  <c r="Y118" i="51"/>
  <c r="AJ116" i="51"/>
  <c r="AK116" i="51" s="1"/>
  <c r="AH116" i="51"/>
  <c r="AE116" i="51"/>
  <c r="AD116" i="51"/>
  <c r="AB116" i="51"/>
  <c r="U116" i="51"/>
  <c r="V116" i="51" s="1"/>
  <c r="I116" i="51"/>
  <c r="H116" i="51"/>
  <c r="AK115" i="51"/>
  <c r="AJ115" i="51"/>
  <c r="AH115" i="51"/>
  <c r="AE115" i="51"/>
  <c r="AD115" i="51"/>
  <c r="AB115" i="51"/>
  <c r="U115" i="51"/>
  <c r="V115" i="51" s="1"/>
  <c r="I115" i="51"/>
  <c r="H115" i="51"/>
  <c r="H114" i="51" s="1"/>
  <c r="AI114" i="51"/>
  <c r="AG114" i="51"/>
  <c r="AF114" i="51"/>
  <c r="AC114" i="51"/>
  <c r="AA114" i="51"/>
  <c r="Z114" i="51"/>
  <c r="Y114" i="51"/>
  <c r="AJ113" i="51"/>
  <c r="AK113" i="51" s="1"/>
  <c r="AH113" i="51"/>
  <c r="AE113" i="51"/>
  <c r="AD113" i="51"/>
  <c r="AB113" i="51"/>
  <c r="U113" i="51"/>
  <c r="V113" i="51" s="1"/>
  <c r="I113" i="51"/>
  <c r="H113" i="51"/>
  <c r="AJ112" i="51"/>
  <c r="AH112" i="51"/>
  <c r="AE112" i="51"/>
  <c r="AE111" i="51" s="1"/>
  <c r="AD112" i="51"/>
  <c r="AB112" i="51"/>
  <c r="U112" i="51"/>
  <c r="V112" i="51" s="1"/>
  <c r="V111" i="51" s="1"/>
  <c r="I112" i="51"/>
  <c r="H112" i="51"/>
  <c r="H111" i="51" s="1"/>
  <c r="AI111" i="51"/>
  <c r="AG111" i="51"/>
  <c r="AF111" i="51"/>
  <c r="AC111" i="51"/>
  <c r="AA111" i="51"/>
  <c r="AB111" i="51" s="1"/>
  <c r="Z111" i="51"/>
  <c r="Y111" i="51"/>
  <c r="AJ110" i="51"/>
  <c r="AK110" i="51" s="1"/>
  <c r="AH110" i="51"/>
  <c r="AD110" i="51"/>
  <c r="AB110" i="51"/>
  <c r="U110" i="51"/>
  <c r="V110" i="51" s="1"/>
  <c r="H110" i="51"/>
  <c r="AJ109" i="51"/>
  <c r="AK109" i="51" s="1"/>
  <c r="AH109" i="51"/>
  <c r="AE109" i="51"/>
  <c r="AD109" i="51"/>
  <c r="AB109" i="51"/>
  <c r="U109" i="51"/>
  <c r="V109" i="51" s="1"/>
  <c r="I109" i="51"/>
  <c r="H109" i="51"/>
  <c r="AJ108" i="51"/>
  <c r="AK108" i="51" s="1"/>
  <c r="AH108" i="51"/>
  <c r="AE108" i="51"/>
  <c r="AD108" i="51"/>
  <c r="AB108" i="51"/>
  <c r="U108" i="51"/>
  <c r="V108" i="51" s="1"/>
  <c r="I108" i="51"/>
  <c r="H108" i="51"/>
  <c r="AJ107" i="51"/>
  <c r="AK107" i="51" s="1"/>
  <c r="AH107" i="51"/>
  <c r="AE107" i="51"/>
  <c r="AD107" i="51"/>
  <c r="AB107" i="51"/>
  <c r="U107" i="51"/>
  <c r="V107" i="51" s="1"/>
  <c r="I107" i="51"/>
  <c r="H107" i="51"/>
  <c r="AJ106" i="51"/>
  <c r="AH106" i="51"/>
  <c r="AH105" i="51" s="1"/>
  <c r="AE106" i="51"/>
  <c r="AD106" i="51"/>
  <c r="AB106" i="51"/>
  <c r="U106" i="51"/>
  <c r="V106" i="51" s="1"/>
  <c r="V105" i="51" s="1"/>
  <c r="I106" i="51"/>
  <c r="H106" i="51"/>
  <c r="AI105" i="51"/>
  <c r="AG105" i="51"/>
  <c r="AF105" i="51"/>
  <c r="AC105" i="51"/>
  <c r="AD105" i="51" s="1"/>
  <c r="AA105" i="51"/>
  <c r="Z105" i="51"/>
  <c r="Y105" i="51"/>
  <c r="H105" i="51"/>
  <c r="AJ104" i="51"/>
  <c r="AK104" i="51" s="1"/>
  <c r="AH104" i="51"/>
  <c r="AE104" i="51"/>
  <c r="AD104" i="51"/>
  <c r="AB104" i="51"/>
  <c r="U104" i="51"/>
  <c r="V104" i="51" s="1"/>
  <c r="I104" i="51"/>
  <c r="H104" i="51"/>
  <c r="AJ103" i="51"/>
  <c r="AK103" i="51" s="1"/>
  <c r="AH103" i="51"/>
  <c r="AE103" i="51"/>
  <c r="AD103" i="51"/>
  <c r="AB103" i="51"/>
  <c r="U103" i="51"/>
  <c r="V103" i="51" s="1"/>
  <c r="I103" i="51"/>
  <c r="H103" i="51"/>
  <c r="AJ102" i="51"/>
  <c r="AK102" i="51" s="1"/>
  <c r="AH102" i="51"/>
  <c r="AE102" i="51"/>
  <c r="AD102" i="51"/>
  <c r="AB102" i="51"/>
  <c r="U102" i="51"/>
  <c r="V102" i="51" s="1"/>
  <c r="I102" i="51"/>
  <c r="H102" i="51"/>
  <c r="AI101" i="51"/>
  <c r="AG101" i="51"/>
  <c r="AG100" i="51" s="1"/>
  <c r="Q99" i="51" s="1"/>
  <c r="AF101" i="51"/>
  <c r="AC101" i="51"/>
  <c r="AA101" i="51"/>
  <c r="Z101" i="51"/>
  <c r="Y101" i="51"/>
  <c r="AJ98" i="51"/>
  <c r="AK98" i="51" s="1"/>
  <c r="AH98" i="51"/>
  <c r="AE98" i="51"/>
  <c r="AE97" i="51" s="1"/>
  <c r="AD98" i="51"/>
  <c r="AB98" i="51"/>
  <c r="U98" i="51"/>
  <c r="V98" i="51" s="1"/>
  <c r="V97" i="51" s="1"/>
  <c r="I98" i="51"/>
  <c r="I97" i="51" s="1"/>
  <c r="H98" i="51"/>
  <c r="H97" i="51" s="1"/>
  <c r="AJ97" i="51"/>
  <c r="AI97" i="51"/>
  <c r="AG97" i="51"/>
  <c r="AF97" i="51"/>
  <c r="AC97" i="51"/>
  <c r="AA97" i="51"/>
  <c r="Z97" i="51"/>
  <c r="Y97" i="51"/>
  <c r="U97" i="51"/>
  <c r="AJ96" i="51"/>
  <c r="AK96" i="51" s="1"/>
  <c r="AH96" i="51"/>
  <c r="AE96" i="51"/>
  <c r="AD96" i="51"/>
  <c r="AB96" i="51"/>
  <c r="U96" i="51"/>
  <c r="V96" i="51" s="1"/>
  <c r="I96" i="51"/>
  <c r="H96" i="51"/>
  <c r="AJ95" i="51"/>
  <c r="AK95" i="51" s="1"/>
  <c r="AH95" i="51"/>
  <c r="AE95" i="51"/>
  <c r="AD95" i="51"/>
  <c r="AB95" i="51"/>
  <c r="U95" i="51"/>
  <c r="V95" i="51" s="1"/>
  <c r="I95" i="51"/>
  <c r="H95" i="51"/>
  <c r="AJ94" i="51"/>
  <c r="AK94" i="51" s="1"/>
  <c r="AH94" i="51"/>
  <c r="AE94" i="51"/>
  <c r="AD94" i="51"/>
  <c r="AB94" i="51"/>
  <c r="U94" i="51"/>
  <c r="V94" i="51" s="1"/>
  <c r="I94" i="51"/>
  <c r="H94" i="51"/>
  <c r="AJ93" i="51"/>
  <c r="AK93" i="51" s="1"/>
  <c r="AH93" i="51"/>
  <c r="AE93" i="51"/>
  <c r="AE92" i="51" s="1"/>
  <c r="AD93" i="51"/>
  <c r="AB93" i="51"/>
  <c r="U93" i="51"/>
  <c r="V93" i="51" s="1"/>
  <c r="I93" i="51"/>
  <c r="H93" i="51"/>
  <c r="AI92" i="51"/>
  <c r="AG92" i="51"/>
  <c r="AF92" i="51"/>
  <c r="AC92" i="51"/>
  <c r="AA92" i="51"/>
  <c r="Z92" i="51"/>
  <c r="Y92" i="51"/>
  <c r="AJ91" i="51"/>
  <c r="AK91" i="51" s="1"/>
  <c r="AH91" i="51"/>
  <c r="AE91" i="51"/>
  <c r="AD91" i="51"/>
  <c r="AB91" i="51"/>
  <c r="U91" i="51"/>
  <c r="V91" i="51" s="1"/>
  <c r="I91" i="51"/>
  <c r="H91" i="51"/>
  <c r="AJ90" i="51"/>
  <c r="AK90" i="51" s="1"/>
  <c r="AH90" i="51"/>
  <c r="AE90" i="51"/>
  <c r="AD90" i="51"/>
  <c r="AB90" i="51"/>
  <c r="U90" i="51"/>
  <c r="V90" i="51" s="1"/>
  <c r="I90" i="51"/>
  <c r="H90" i="51"/>
  <c r="AJ89" i="51"/>
  <c r="AK89" i="51" s="1"/>
  <c r="AH89" i="51"/>
  <c r="AE89" i="51"/>
  <c r="AD89" i="51"/>
  <c r="AB89" i="51"/>
  <c r="U89" i="51"/>
  <c r="V89" i="51" s="1"/>
  <c r="I89" i="51"/>
  <c r="H89" i="51"/>
  <c r="AJ88" i="51"/>
  <c r="AK88" i="51" s="1"/>
  <c r="AH88" i="51"/>
  <c r="AE88" i="51"/>
  <c r="AD88" i="51"/>
  <c r="AB88" i="51"/>
  <c r="U88" i="51"/>
  <c r="V88" i="51" s="1"/>
  <c r="I88" i="51"/>
  <c r="H88" i="51"/>
  <c r="AJ87" i="51"/>
  <c r="AK87" i="51" s="1"/>
  <c r="AH87" i="51"/>
  <c r="AE87" i="51"/>
  <c r="AD87" i="51"/>
  <c r="AB87" i="51"/>
  <c r="U87" i="51"/>
  <c r="V87" i="51" s="1"/>
  <c r="I87" i="51"/>
  <c r="H87" i="51"/>
  <c r="AJ86" i="51"/>
  <c r="AK86" i="51" s="1"/>
  <c r="AH86" i="51"/>
  <c r="AD86" i="51"/>
  <c r="AB86" i="51"/>
  <c r="U86" i="51"/>
  <c r="V86" i="51" s="1"/>
  <c r="H86" i="51"/>
  <c r="AJ85" i="51"/>
  <c r="AK85" i="51" s="1"/>
  <c r="AH85" i="51"/>
  <c r="AD85" i="51"/>
  <c r="AB85" i="51"/>
  <c r="U85" i="51"/>
  <c r="V85" i="51" s="1"/>
  <c r="H85" i="51"/>
  <c r="AJ84" i="51"/>
  <c r="AK84" i="51" s="1"/>
  <c r="AH84" i="51"/>
  <c r="AD84" i="51"/>
  <c r="AB84" i="51"/>
  <c r="V84" i="51"/>
  <c r="U84" i="51"/>
  <c r="H84" i="51"/>
  <c r="AJ83" i="51"/>
  <c r="AH83" i="51"/>
  <c r="AE83" i="51"/>
  <c r="AD83" i="51"/>
  <c r="AB83" i="51"/>
  <c r="U83" i="51"/>
  <c r="V83" i="51" s="1"/>
  <c r="H83" i="51"/>
  <c r="AJ82" i="51"/>
  <c r="AK82" i="51" s="1"/>
  <c r="AH82" i="51"/>
  <c r="AD82" i="51"/>
  <c r="AB82" i="51"/>
  <c r="U82" i="51"/>
  <c r="V82" i="51" s="1"/>
  <c r="H82" i="51"/>
  <c r="AJ81" i="51"/>
  <c r="AK81" i="51" s="1"/>
  <c r="AH81" i="51"/>
  <c r="AE81" i="51"/>
  <c r="AD81" i="51"/>
  <c r="AB81" i="51"/>
  <c r="U81" i="51"/>
  <c r="V81" i="51" s="1"/>
  <c r="I81" i="51"/>
  <c r="H81" i="51"/>
  <c r="AI80" i="51"/>
  <c r="AG80" i="51"/>
  <c r="AF80" i="51"/>
  <c r="AF79" i="51" s="1"/>
  <c r="AC80" i="51"/>
  <c r="AA80" i="51"/>
  <c r="Z80" i="51"/>
  <c r="Y80" i="51"/>
  <c r="AJ78" i="51"/>
  <c r="AK78" i="51" s="1"/>
  <c r="AH78" i="51"/>
  <c r="AE78" i="51"/>
  <c r="AD78" i="51"/>
  <c r="AB78" i="51"/>
  <c r="U78" i="51"/>
  <c r="V78" i="51" s="1"/>
  <c r="I78" i="51"/>
  <c r="I76" i="51" s="1"/>
  <c r="H78" i="51"/>
  <c r="AH77" i="51"/>
  <c r="AD77" i="51"/>
  <c r="AB77" i="51"/>
  <c r="Z77" i="51"/>
  <c r="AJ77" i="51" s="1"/>
  <c r="AK77" i="51" s="1"/>
  <c r="U77" i="51"/>
  <c r="V77" i="51" s="1"/>
  <c r="H77" i="51"/>
  <c r="AI76" i="51"/>
  <c r="AG76" i="51"/>
  <c r="AF76" i="51"/>
  <c r="AE76" i="51"/>
  <c r="AC76" i="51"/>
  <c r="AA76" i="51"/>
  <c r="Y76" i="51"/>
  <c r="AJ75" i="51"/>
  <c r="AK75" i="51" s="1"/>
  <c r="AH75" i="51"/>
  <c r="AD75" i="51"/>
  <c r="AB75" i="51"/>
  <c r="U75" i="51"/>
  <c r="V75" i="51" s="1"/>
  <c r="V74" i="51" s="1"/>
  <c r="H75" i="51"/>
  <c r="AI74" i="51"/>
  <c r="AG74" i="51"/>
  <c r="AF74" i="51"/>
  <c r="AE74" i="51"/>
  <c r="AC74" i="51"/>
  <c r="AA74" i="51"/>
  <c r="Z74" i="51"/>
  <c r="Y74" i="51"/>
  <c r="I74" i="51"/>
  <c r="AJ73" i="51"/>
  <c r="AK73" i="51" s="1"/>
  <c r="AH73" i="51"/>
  <c r="AD73" i="51"/>
  <c r="AB73" i="51"/>
  <c r="U73" i="51"/>
  <c r="V73" i="51" s="1"/>
  <c r="H73" i="51"/>
  <c r="AJ72" i="51"/>
  <c r="AK72" i="51" s="1"/>
  <c r="AH72" i="51"/>
  <c r="AE72" i="51"/>
  <c r="AE71" i="51" s="1"/>
  <c r="AD72" i="51"/>
  <c r="AB72" i="51"/>
  <c r="U72" i="51"/>
  <c r="V72" i="51" s="1"/>
  <c r="V71" i="51" s="1"/>
  <c r="I72" i="51"/>
  <c r="I71" i="51" s="1"/>
  <c r="H72" i="51"/>
  <c r="AI71" i="51"/>
  <c r="AG71" i="51"/>
  <c r="AF71" i="51"/>
  <c r="AC71" i="51"/>
  <c r="AA71" i="51"/>
  <c r="Z71" i="51"/>
  <c r="Y71" i="51"/>
  <c r="AJ69" i="51"/>
  <c r="AK69" i="51" s="1"/>
  <c r="AH69" i="51"/>
  <c r="AD69" i="51"/>
  <c r="AB69" i="51"/>
  <c r="U69" i="51"/>
  <c r="V69" i="51" s="1"/>
  <c r="H69" i="51"/>
  <c r="AJ68" i="51"/>
  <c r="AK68" i="51" s="1"/>
  <c r="AH68" i="51"/>
  <c r="AD68" i="51"/>
  <c r="AB68" i="51"/>
  <c r="U68" i="51"/>
  <c r="V68" i="51" s="1"/>
  <c r="H68" i="51"/>
  <c r="AJ67" i="51"/>
  <c r="AK67" i="51" s="1"/>
  <c r="AH67" i="51"/>
  <c r="AE67" i="51"/>
  <c r="AD67" i="51"/>
  <c r="AB67" i="51"/>
  <c r="U67" i="51"/>
  <c r="V67" i="51" s="1"/>
  <c r="I67" i="51"/>
  <c r="H67" i="51"/>
  <c r="AJ66" i="51"/>
  <c r="AK66" i="51" s="1"/>
  <c r="AH66" i="51"/>
  <c r="AE66" i="51"/>
  <c r="AD66" i="51"/>
  <c r="AB66" i="51"/>
  <c r="U66" i="51"/>
  <c r="V66" i="51" s="1"/>
  <c r="I66" i="51"/>
  <c r="H66" i="51"/>
  <c r="AJ65" i="51"/>
  <c r="AK65" i="51" s="1"/>
  <c r="AH65" i="51"/>
  <c r="AD65" i="51"/>
  <c r="AB65" i="51"/>
  <c r="U65" i="51"/>
  <c r="V65" i="51" s="1"/>
  <c r="H65" i="51"/>
  <c r="H64" i="51" s="1"/>
  <c r="H57" i="51" s="1"/>
  <c r="AI64" i="51"/>
  <c r="AG64" i="51"/>
  <c r="AF64" i="51"/>
  <c r="AC64" i="51"/>
  <c r="AA64" i="51"/>
  <c r="Z64" i="51"/>
  <c r="Y64" i="51"/>
  <c r="AJ63" i="51"/>
  <c r="AK63" i="51" s="1"/>
  <c r="AH63" i="51"/>
  <c r="AD63" i="51"/>
  <c r="AB63" i="51"/>
  <c r="U63" i="51"/>
  <c r="V63" i="51" s="1"/>
  <c r="H63" i="51"/>
  <c r="AJ62" i="51"/>
  <c r="AK62" i="51" s="1"/>
  <c r="AH62" i="51"/>
  <c r="AE62" i="51"/>
  <c r="AD62" i="51"/>
  <c r="AB62" i="51"/>
  <c r="U62" i="51"/>
  <c r="V62" i="51" s="1"/>
  <c r="I62" i="51"/>
  <c r="H62" i="51"/>
  <c r="H58" i="51" s="1"/>
  <c r="AJ61" i="51"/>
  <c r="AK61" i="51" s="1"/>
  <c r="AH61" i="51"/>
  <c r="AD61" i="51"/>
  <c r="AB61" i="51"/>
  <c r="U61" i="51"/>
  <c r="V61" i="51" s="1"/>
  <c r="H61" i="51"/>
  <c r="AJ60" i="51"/>
  <c r="AK60" i="51" s="1"/>
  <c r="AH60" i="51"/>
  <c r="AE60" i="51"/>
  <c r="AD60" i="51"/>
  <c r="AB60" i="51"/>
  <c r="U60" i="51"/>
  <c r="V60" i="51" s="1"/>
  <c r="I60" i="51"/>
  <c r="I58" i="51" s="1"/>
  <c r="H60" i="51"/>
  <c r="AJ59" i="51"/>
  <c r="AH59" i="51"/>
  <c r="AD59" i="51"/>
  <c r="AB59" i="51"/>
  <c r="U59" i="51"/>
  <c r="V59" i="51" s="1"/>
  <c r="H59" i="51"/>
  <c r="AI58" i="51"/>
  <c r="AI57" i="51" s="1"/>
  <c r="AG58" i="51"/>
  <c r="AF58" i="51"/>
  <c r="AC58" i="51"/>
  <c r="AA58" i="51"/>
  <c r="Z58" i="51"/>
  <c r="Y58" i="51"/>
  <c r="AH55" i="51"/>
  <c r="AE55" i="51"/>
  <c r="AD55" i="51"/>
  <c r="AB55" i="51"/>
  <c r="Z55" i="51"/>
  <c r="AJ55" i="51" s="1"/>
  <c r="AK55" i="51" s="1"/>
  <c r="U55" i="51"/>
  <c r="V55" i="51" s="1"/>
  <c r="I55" i="51"/>
  <c r="H55" i="51"/>
  <c r="AJ54" i="51"/>
  <c r="AK54" i="51" s="1"/>
  <c r="AH54" i="51"/>
  <c r="AD54" i="51"/>
  <c r="AB54" i="51"/>
  <c r="U54" i="51"/>
  <c r="V54" i="51" s="1"/>
  <c r="I54" i="51"/>
  <c r="H54" i="51"/>
  <c r="AJ53" i="51"/>
  <c r="AK53" i="51" s="1"/>
  <c r="AH53" i="51"/>
  <c r="AE53" i="51"/>
  <c r="AD53" i="51"/>
  <c r="AB53" i="51"/>
  <c r="U53" i="51"/>
  <c r="V53" i="51" s="1"/>
  <c r="I53" i="51"/>
  <c r="H53" i="51"/>
  <c r="AJ52" i="51"/>
  <c r="AK52" i="51" s="1"/>
  <c r="AH52" i="51"/>
  <c r="AD52" i="51"/>
  <c r="AB52" i="51"/>
  <c r="V52" i="51"/>
  <c r="U52" i="51"/>
  <c r="H52" i="51"/>
  <c r="AJ51" i="51"/>
  <c r="AK51" i="51" s="1"/>
  <c r="AH51" i="51"/>
  <c r="AD51" i="51"/>
  <c r="AB51" i="51"/>
  <c r="U51" i="51"/>
  <c r="V51" i="51" s="1"/>
  <c r="H51" i="51"/>
  <c r="AI50" i="51"/>
  <c r="AI49" i="51" s="1"/>
  <c r="AG50" i="51"/>
  <c r="AF50" i="51"/>
  <c r="AC50" i="51"/>
  <c r="AC49" i="51" s="1"/>
  <c r="AA50" i="51"/>
  <c r="AA49" i="51" s="1"/>
  <c r="Z50" i="51"/>
  <c r="Z49" i="51" s="1"/>
  <c r="Y50" i="51"/>
  <c r="Y49" i="51" s="1"/>
  <c r="AF49" i="51"/>
  <c r="AF48" i="51"/>
  <c r="AH48" i="51" s="1"/>
  <c r="AC48" i="51"/>
  <c r="AA48" i="51"/>
  <c r="AJ48" i="51" s="1"/>
  <c r="AK48" i="51" s="1"/>
  <c r="Y48" i="51"/>
  <c r="U48" i="51"/>
  <c r="V48" i="51" s="1"/>
  <c r="I48" i="51"/>
  <c r="H48" i="51"/>
  <c r="AF47" i="51"/>
  <c r="AH47" i="51" s="1"/>
  <c r="AC47" i="51"/>
  <c r="AA47" i="51"/>
  <c r="AJ47" i="51" s="1"/>
  <c r="Y47" i="51"/>
  <c r="V47" i="51"/>
  <c r="U47" i="51"/>
  <c r="I47" i="51"/>
  <c r="H47" i="51"/>
  <c r="AK46" i="51"/>
  <c r="AJ46" i="51"/>
  <c r="AH46" i="51"/>
  <c r="AE46" i="51"/>
  <c r="AD46" i="51"/>
  <c r="AB46" i="51"/>
  <c r="U46" i="51"/>
  <c r="V46" i="51" s="1"/>
  <c r="I46" i="51"/>
  <c r="H46" i="51"/>
  <c r="AI45" i="51"/>
  <c r="AG45" i="51"/>
  <c r="Z45" i="51"/>
  <c r="AJ44" i="51"/>
  <c r="AK44" i="51" s="1"/>
  <c r="AH44" i="51"/>
  <c r="AE44" i="51"/>
  <c r="AD44" i="51"/>
  <c r="AB44" i="51"/>
  <c r="U44" i="51"/>
  <c r="V44" i="51" s="1"/>
  <c r="I44" i="51"/>
  <c r="H44" i="51"/>
  <c r="AJ43" i="51"/>
  <c r="AH43" i="51"/>
  <c r="AD43" i="51"/>
  <c r="AB43" i="51"/>
  <c r="U43" i="51"/>
  <c r="V43" i="51" s="1"/>
  <c r="H43" i="51"/>
  <c r="AJ42" i="51"/>
  <c r="AK42" i="51" s="1"/>
  <c r="AH42" i="51"/>
  <c r="AE42" i="51"/>
  <c r="AD42" i="51"/>
  <c r="AB42" i="51"/>
  <c r="U42" i="51"/>
  <c r="V42" i="51" s="1"/>
  <c r="I42" i="51"/>
  <c r="H42" i="51"/>
  <c r="AJ41" i="51"/>
  <c r="AK41" i="51" s="1"/>
  <c r="AH41" i="51"/>
  <c r="AE41" i="51"/>
  <c r="AD41" i="51"/>
  <c r="AB41" i="51"/>
  <c r="U41" i="51"/>
  <c r="V41" i="51" s="1"/>
  <c r="I41" i="51"/>
  <c r="H41" i="51"/>
  <c r="AJ40" i="51"/>
  <c r="AK40" i="51" s="1"/>
  <c r="AH40" i="51"/>
  <c r="AE40" i="51"/>
  <c r="AD40" i="51"/>
  <c r="AB40" i="51"/>
  <c r="U40" i="51"/>
  <c r="V40" i="51" s="1"/>
  <c r="I40" i="51"/>
  <c r="H40" i="51"/>
  <c r="AJ39" i="51"/>
  <c r="AK39" i="51" s="1"/>
  <c r="AH39" i="51"/>
  <c r="AE39" i="51"/>
  <c r="AD39" i="51"/>
  <c r="AB39" i="51"/>
  <c r="U39" i="51"/>
  <c r="V39" i="51" s="1"/>
  <c r="I39" i="51"/>
  <c r="H39" i="51"/>
  <c r="AJ38" i="51"/>
  <c r="AK38" i="51" s="1"/>
  <c r="AH38" i="51"/>
  <c r="AE38" i="51"/>
  <c r="AD38" i="51"/>
  <c r="AB38" i="51"/>
  <c r="U38" i="51"/>
  <c r="V38" i="51" s="1"/>
  <c r="I38" i="51"/>
  <c r="H38" i="51"/>
  <c r="AI37" i="51"/>
  <c r="AG37" i="51"/>
  <c r="AF37" i="51"/>
  <c r="AC37" i="51"/>
  <c r="AA37" i="51"/>
  <c r="Z37" i="51"/>
  <c r="Y37" i="51"/>
  <c r="AJ36" i="51"/>
  <c r="AK36" i="51" s="1"/>
  <c r="AH36" i="51"/>
  <c r="AE36" i="51"/>
  <c r="AD36" i="51"/>
  <c r="AB36" i="51"/>
  <c r="U36" i="51"/>
  <c r="V36" i="51" s="1"/>
  <c r="I36" i="51"/>
  <c r="H36" i="51"/>
  <c r="AJ35" i="51"/>
  <c r="AK35" i="51" s="1"/>
  <c r="AH35" i="51"/>
  <c r="AE35" i="51"/>
  <c r="AD35" i="51"/>
  <c r="AB35" i="51"/>
  <c r="U35" i="51"/>
  <c r="V35" i="51" s="1"/>
  <c r="I35" i="51"/>
  <c r="H35" i="51"/>
  <c r="AJ34" i="51"/>
  <c r="AH34" i="51"/>
  <c r="AE34" i="51"/>
  <c r="AD34" i="51"/>
  <c r="AB34" i="51"/>
  <c r="U34" i="51"/>
  <c r="V34" i="51" s="1"/>
  <c r="I34" i="51"/>
  <c r="H34" i="51"/>
  <c r="AI33" i="51"/>
  <c r="AG33" i="51"/>
  <c r="AF33" i="51"/>
  <c r="AC33" i="51"/>
  <c r="AA33" i="51"/>
  <c r="Z33" i="51"/>
  <c r="Z32" i="51" s="1"/>
  <c r="Y33" i="51"/>
  <c r="AJ31" i="51"/>
  <c r="AK31" i="51" s="1"/>
  <c r="AH31" i="51"/>
  <c r="AE31" i="51"/>
  <c r="AD31" i="51"/>
  <c r="AB31" i="51"/>
  <c r="U31" i="51"/>
  <c r="V31" i="51" s="1"/>
  <c r="I31" i="51"/>
  <c r="H31" i="51"/>
  <c r="AJ30" i="51"/>
  <c r="AK30" i="51" s="1"/>
  <c r="AH30" i="51"/>
  <c r="AE30" i="51"/>
  <c r="AD30" i="51"/>
  <c r="AB30" i="51"/>
  <c r="U30" i="51"/>
  <c r="V30" i="51" s="1"/>
  <c r="I30" i="51"/>
  <c r="H30" i="51"/>
  <c r="AJ29" i="51"/>
  <c r="AK29" i="51" s="1"/>
  <c r="AH29" i="51"/>
  <c r="AE29" i="51"/>
  <c r="AD29" i="51"/>
  <c r="AB29" i="51"/>
  <c r="U29" i="51"/>
  <c r="V29" i="51" s="1"/>
  <c r="I29" i="51"/>
  <c r="H29" i="51"/>
  <c r="AJ28" i="51"/>
  <c r="AK28" i="51" s="1"/>
  <c r="AH28" i="51"/>
  <c r="AE28" i="51"/>
  <c r="AD28" i="51"/>
  <c r="AB28" i="51"/>
  <c r="U28" i="51"/>
  <c r="V28" i="51" s="1"/>
  <c r="I28" i="51"/>
  <c r="H28" i="51"/>
  <c r="AJ27" i="51"/>
  <c r="AK27" i="51" s="1"/>
  <c r="AH27" i="51"/>
  <c r="AE27" i="51"/>
  <c r="AD27" i="51"/>
  <c r="AB27" i="51"/>
  <c r="U27" i="51"/>
  <c r="V27" i="51" s="1"/>
  <c r="I27" i="51"/>
  <c r="H27" i="51"/>
  <c r="AI26" i="51"/>
  <c r="AG26" i="51"/>
  <c r="AF26" i="51"/>
  <c r="AC26" i="51"/>
  <c r="AA26" i="51"/>
  <c r="Z26" i="51"/>
  <c r="Y26" i="51"/>
  <c r="AJ25" i="51"/>
  <c r="AK25" i="51" s="1"/>
  <c r="AH25" i="51"/>
  <c r="AE25" i="51"/>
  <c r="AD25" i="51"/>
  <c r="AB25" i="51"/>
  <c r="U25" i="51"/>
  <c r="V25" i="51" s="1"/>
  <c r="I25" i="51"/>
  <c r="H25" i="51"/>
  <c r="AJ24" i="51"/>
  <c r="AK24" i="51" s="1"/>
  <c r="AH24" i="51"/>
  <c r="AE24" i="51"/>
  <c r="AD24" i="51"/>
  <c r="AB24" i="51"/>
  <c r="U24" i="51"/>
  <c r="V24" i="51" s="1"/>
  <c r="I24" i="51"/>
  <c r="H24" i="51"/>
  <c r="AI23" i="51"/>
  <c r="AG23" i="51"/>
  <c r="AF23" i="51"/>
  <c r="AC23" i="51"/>
  <c r="AA23" i="51"/>
  <c r="Z23" i="51"/>
  <c r="Y23" i="51"/>
  <c r="AJ22" i="51"/>
  <c r="AK22" i="51" s="1"/>
  <c r="AH22" i="51"/>
  <c r="AE22" i="51"/>
  <c r="AD22" i="51"/>
  <c r="AB22" i="51"/>
  <c r="U22" i="51"/>
  <c r="V22" i="51" s="1"/>
  <c r="I22" i="51"/>
  <c r="H22" i="51"/>
  <c r="AJ21" i="51"/>
  <c r="AK21" i="51" s="1"/>
  <c r="AH21" i="51"/>
  <c r="AE21" i="51"/>
  <c r="AD21" i="51"/>
  <c r="AB21" i="51"/>
  <c r="U21" i="51"/>
  <c r="V21" i="51" s="1"/>
  <c r="I21" i="51"/>
  <c r="H21" i="51"/>
  <c r="AJ20" i="51"/>
  <c r="AK20" i="51" s="1"/>
  <c r="AH20" i="51"/>
  <c r="AE20" i="51"/>
  <c r="AD20" i="51"/>
  <c r="AB20" i="51"/>
  <c r="U20" i="51"/>
  <c r="V20" i="51" s="1"/>
  <c r="H20" i="51"/>
  <c r="AJ19" i="51"/>
  <c r="AK19" i="51" s="1"/>
  <c r="AH19" i="51"/>
  <c r="AE19" i="51"/>
  <c r="AD19" i="51"/>
  <c r="AB19" i="51"/>
  <c r="U19" i="51"/>
  <c r="V19" i="51" s="1"/>
  <c r="I19" i="51"/>
  <c r="H19" i="51"/>
  <c r="AJ18" i="51"/>
  <c r="AK18" i="51" s="1"/>
  <c r="AH18" i="51"/>
  <c r="AE18" i="51"/>
  <c r="AD18" i="51"/>
  <c r="AB18" i="51"/>
  <c r="U18" i="51"/>
  <c r="V18" i="51" s="1"/>
  <c r="I18" i="51"/>
  <c r="H18" i="51"/>
  <c r="AJ17" i="51"/>
  <c r="AK17" i="51" s="1"/>
  <c r="AH17" i="51"/>
  <c r="AE17" i="51"/>
  <c r="AD17" i="51"/>
  <c r="AB17" i="51"/>
  <c r="U17" i="51"/>
  <c r="V17" i="51" s="1"/>
  <c r="H17" i="51"/>
  <c r="AK16" i="51"/>
  <c r="AJ16" i="51"/>
  <c r="AH16" i="51"/>
  <c r="AE16" i="51"/>
  <c r="AD16" i="51"/>
  <c r="AB16" i="51"/>
  <c r="U16" i="51"/>
  <c r="V16" i="51" s="1"/>
  <c r="H16" i="51"/>
  <c r="AJ15" i="51"/>
  <c r="AK15" i="51" s="1"/>
  <c r="AH15" i="51"/>
  <c r="AE15" i="51"/>
  <c r="AD15" i="51"/>
  <c r="AB15" i="51"/>
  <c r="U15" i="51"/>
  <c r="V15" i="51" s="1"/>
  <c r="I15" i="51"/>
  <c r="H15" i="51"/>
  <c r="AJ14" i="51"/>
  <c r="AH14" i="51"/>
  <c r="AE14" i="51"/>
  <c r="AD14" i="51"/>
  <c r="AB14" i="51"/>
  <c r="U14" i="51"/>
  <c r="V14" i="51" s="1"/>
  <c r="I14" i="51"/>
  <c r="H14" i="51"/>
  <c r="AJ13" i="51"/>
  <c r="AK13" i="51" s="1"/>
  <c r="AH13" i="51"/>
  <c r="AE13" i="51"/>
  <c r="AD13" i="51"/>
  <c r="AB13" i="51"/>
  <c r="U13" i="51"/>
  <c r="V13" i="51" s="1"/>
  <c r="I13" i="51"/>
  <c r="H13" i="51"/>
  <c r="AJ12" i="51"/>
  <c r="AK12" i="51" s="1"/>
  <c r="AH12" i="51"/>
  <c r="AE12" i="51"/>
  <c r="AD12" i="51"/>
  <c r="AB12" i="51"/>
  <c r="U12" i="51"/>
  <c r="V12" i="51" s="1"/>
  <c r="I12" i="51"/>
  <c r="H12" i="51"/>
  <c r="AJ11" i="51"/>
  <c r="AK11" i="51" s="1"/>
  <c r="AH11" i="51"/>
  <c r="AE11" i="51"/>
  <c r="AD11" i="51"/>
  <c r="AB11" i="51"/>
  <c r="U11" i="51"/>
  <c r="V11" i="51" s="1"/>
  <c r="H11" i="51"/>
  <c r="AI10" i="51"/>
  <c r="AG10" i="51"/>
  <c r="AF10" i="51"/>
  <c r="AC10" i="51"/>
  <c r="AC9" i="51" s="1"/>
  <c r="AA10" i="51"/>
  <c r="Z10" i="51"/>
  <c r="Y10" i="51"/>
  <c r="AF9" i="51"/>
  <c r="A2" i="51"/>
  <c r="AA202" i="51" l="1"/>
  <c r="Y9" i="51"/>
  <c r="Z57" i="51"/>
  <c r="AD64" i="51"/>
  <c r="AH74" i="51"/>
  <c r="AH76" i="51"/>
  <c r="AC79" i="51"/>
  <c r="AD111" i="51"/>
  <c r="I114" i="51"/>
  <c r="AC125" i="51"/>
  <c r="AB132" i="51"/>
  <c r="AD135" i="51"/>
  <c r="AE182" i="51"/>
  <c r="AJ203" i="51"/>
  <c r="AJ202" i="51" s="1"/>
  <c r="AK202" i="51" s="1"/>
  <c r="AH227" i="51"/>
  <c r="AG229" i="51"/>
  <c r="AH229" i="51" s="1"/>
  <c r="H261" i="51"/>
  <c r="H260" i="51" s="1"/>
  <c r="V279" i="51"/>
  <c r="AC286" i="51"/>
  <c r="AE37" i="51"/>
  <c r="AJ37" i="51"/>
  <c r="AK37" i="51" s="1"/>
  <c r="AD48" i="51"/>
  <c r="AJ158" i="51"/>
  <c r="AD163" i="51"/>
  <c r="AD183" i="51"/>
  <c r="AE191" i="51"/>
  <c r="AE190" i="51" s="1"/>
  <c r="AJ192" i="51"/>
  <c r="AK244" i="51"/>
  <c r="AK255" i="51"/>
  <c r="AD261" i="51"/>
  <c r="AH271" i="51"/>
  <c r="H37" i="51"/>
  <c r="Y57" i="51"/>
  <c r="AH58" i="51"/>
  <c r="AE58" i="51"/>
  <c r="AD74" i="51"/>
  <c r="I121" i="51"/>
  <c r="AE126" i="51"/>
  <c r="AF157" i="51"/>
  <c r="H191" i="51"/>
  <c r="H190" i="51" s="1"/>
  <c r="AK201" i="51"/>
  <c r="AI246" i="51"/>
  <c r="AI245" i="51" s="1"/>
  <c r="AH261" i="51"/>
  <c r="AB266" i="51"/>
  <c r="AE279" i="51"/>
  <c r="AB289" i="51"/>
  <c r="I23" i="51"/>
  <c r="AH114" i="51"/>
  <c r="AE114" i="51"/>
  <c r="Z117" i="51"/>
  <c r="Y125" i="51"/>
  <c r="AD132" i="51"/>
  <c r="V135" i="51"/>
  <c r="V134" i="51" s="1"/>
  <c r="I141" i="51"/>
  <c r="I140" i="51" s="1"/>
  <c r="AE141" i="51"/>
  <c r="AE140" i="51" s="1"/>
  <c r="H150" i="51"/>
  <c r="AD153" i="51"/>
  <c r="AH158" i="51"/>
  <c r="Y190" i="51"/>
  <c r="AD203" i="51"/>
  <c r="V230" i="51"/>
  <c r="H234" i="51"/>
  <c r="H229" i="51" s="1"/>
  <c r="Z250" i="51"/>
  <c r="AE10" i="51"/>
  <c r="AH23" i="51"/>
  <c r="AH37" i="51"/>
  <c r="AB71" i="51"/>
  <c r="AB92" i="51"/>
  <c r="AI79" i="51"/>
  <c r="AB105" i="51"/>
  <c r="AB122" i="51"/>
  <c r="AJ141" i="51"/>
  <c r="AK141" i="51" s="1"/>
  <c r="AA157" i="51"/>
  <c r="AI240" i="51"/>
  <c r="AI239" i="51" s="1"/>
  <c r="AJ246" i="51"/>
  <c r="AI251" i="51"/>
  <c r="AI250" i="51" s="1"/>
  <c r="AK273" i="51"/>
  <c r="AE293" i="51"/>
  <c r="AI9" i="51"/>
  <c r="H33" i="51"/>
  <c r="H32" i="51" s="1"/>
  <c r="H50" i="51"/>
  <c r="H49" i="51" s="1"/>
  <c r="AB64" i="51"/>
  <c r="AB74" i="51"/>
  <c r="AD76" i="51"/>
  <c r="V76" i="51"/>
  <c r="H121" i="51"/>
  <c r="AH176" i="51"/>
  <c r="AK242" i="51"/>
  <c r="AK253" i="51"/>
  <c r="AB268" i="51"/>
  <c r="AK274" i="51"/>
  <c r="AB287" i="51"/>
  <c r="AF286" i="51"/>
  <c r="V64" i="51"/>
  <c r="AK123" i="51"/>
  <c r="AJ121" i="51"/>
  <c r="AK121" i="51" s="1"/>
  <c r="V50" i="51"/>
  <c r="V49" i="51" s="1"/>
  <c r="V251" i="51"/>
  <c r="Z9" i="51"/>
  <c r="AF150" i="51"/>
  <c r="AH150" i="51" s="1"/>
  <c r="AB155" i="51"/>
  <c r="AI157" i="51"/>
  <c r="AC202" i="51"/>
  <c r="AJ76" i="51"/>
  <c r="AK76" i="51" s="1"/>
  <c r="H101" i="51"/>
  <c r="H100" i="51" s="1"/>
  <c r="AD155" i="51"/>
  <c r="AJ161" i="51"/>
  <c r="AJ165" i="51"/>
  <c r="AK165" i="51" s="1"/>
  <c r="AC178" i="51"/>
  <c r="AD178" i="51" s="1"/>
  <c r="AB209" i="51"/>
  <c r="V289" i="51"/>
  <c r="AD26" i="51"/>
  <c r="AJ71" i="51"/>
  <c r="AK71" i="51" s="1"/>
  <c r="H76" i="51"/>
  <c r="H70" i="51" s="1"/>
  <c r="AE131" i="51"/>
  <c r="AH168" i="51"/>
  <c r="AD209" i="51"/>
  <c r="AK285" i="51"/>
  <c r="AK43" i="51"/>
  <c r="AH178" i="51"/>
  <c r="Y260" i="51"/>
  <c r="AJ280" i="51"/>
  <c r="AK132" i="51"/>
  <c r="AB26" i="51"/>
  <c r="AE23" i="51"/>
  <c r="AG32" i="51"/>
  <c r="AH92" i="51"/>
  <c r="AJ153" i="51"/>
  <c r="AK153" i="51" s="1"/>
  <c r="AH213" i="51"/>
  <c r="Y278" i="51"/>
  <c r="AD278" i="51" s="1"/>
  <c r="AE70" i="51"/>
  <c r="I45" i="51"/>
  <c r="I50" i="51"/>
  <c r="I49" i="51" s="1"/>
  <c r="AJ240" i="51"/>
  <c r="AI261" i="51"/>
  <c r="AI260" i="51" s="1"/>
  <c r="AD270" i="51"/>
  <c r="AH289" i="51"/>
  <c r="V286" i="51"/>
  <c r="AJ92" i="51"/>
  <c r="AK92" i="51" s="1"/>
  <c r="AD114" i="51"/>
  <c r="AJ114" i="51"/>
  <c r="AK114" i="51" s="1"/>
  <c r="AF121" i="51"/>
  <c r="AJ176" i="51"/>
  <c r="H257" i="51"/>
  <c r="H250" i="51" s="1"/>
  <c r="I271" i="51"/>
  <c r="I270" i="51" s="1"/>
  <c r="Y286" i="51"/>
  <c r="Z289" i="51"/>
  <c r="H23" i="51"/>
  <c r="AF70" i="51"/>
  <c r="AE105" i="51"/>
  <c r="V178" i="51"/>
  <c r="H213" i="51"/>
  <c r="H212" i="51" s="1"/>
  <c r="Y250" i="51"/>
  <c r="AK264" i="51"/>
  <c r="AH284" i="51"/>
  <c r="AK293" i="51"/>
  <c r="AI117" i="51"/>
  <c r="AE181" i="51"/>
  <c r="AI230" i="51"/>
  <c r="AE230" i="51"/>
  <c r="AE234" i="51"/>
  <c r="AB239" i="51"/>
  <c r="V257" i="51"/>
  <c r="AJ282" i="51"/>
  <c r="AK282" i="51" s="1"/>
  <c r="I289" i="51"/>
  <c r="AF100" i="51"/>
  <c r="I10" i="51"/>
  <c r="V23" i="51"/>
  <c r="AB50" i="51"/>
  <c r="AG79" i="51"/>
  <c r="AI100" i="51"/>
  <c r="AB148" i="51"/>
  <c r="AB251" i="51"/>
  <c r="Z260" i="51"/>
  <c r="AH266" i="51"/>
  <c r="AD293" i="51"/>
  <c r="AK263" i="51"/>
  <c r="AB23" i="51"/>
  <c r="AD49" i="51"/>
  <c r="AG57" i="51"/>
  <c r="Z76" i="51"/>
  <c r="Z70" i="51" s="1"/>
  <c r="Y100" i="51"/>
  <c r="I118" i="51"/>
  <c r="AE130" i="51"/>
  <c r="Z190" i="51"/>
  <c r="AH202" i="51"/>
  <c r="AD227" i="51"/>
  <c r="AE271" i="51"/>
  <c r="AE270" i="51" s="1"/>
  <c r="AF293" i="51"/>
  <c r="AH293" i="51" s="1"/>
  <c r="AD208" i="51"/>
  <c r="AH151" i="51"/>
  <c r="AE26" i="51"/>
  <c r="AE9" i="51" s="1"/>
  <c r="H45" i="51"/>
  <c r="AB76" i="51"/>
  <c r="AD97" i="51"/>
  <c r="AJ111" i="51"/>
  <c r="AK111" i="51" s="1"/>
  <c r="AE127" i="51"/>
  <c r="AF140" i="51"/>
  <c r="Z150" i="51"/>
  <c r="AB165" i="51"/>
  <c r="AC218" i="51"/>
  <c r="AE251" i="51"/>
  <c r="V278" i="51"/>
  <c r="I178" i="51"/>
  <c r="AA9" i="51"/>
  <c r="AD58" i="51"/>
  <c r="AH97" i="51"/>
  <c r="AF218" i="51"/>
  <c r="AH218" i="51" s="1"/>
  <c r="Z229" i="51"/>
  <c r="AI271" i="51"/>
  <c r="AI270" i="51" s="1"/>
  <c r="AI286" i="51"/>
  <c r="AJ10" i="51"/>
  <c r="AK10" i="51" s="1"/>
  <c r="AB49" i="51"/>
  <c r="I70" i="51"/>
  <c r="I80" i="51"/>
  <c r="Z79" i="51"/>
  <c r="V141" i="51"/>
  <c r="V140" i="51" s="1"/>
  <c r="AA147" i="51"/>
  <c r="AG9" i="51"/>
  <c r="AK14" i="51"/>
  <c r="AD23" i="51"/>
  <c r="AJ26" i="51"/>
  <c r="AK26" i="51" s="1"/>
  <c r="AJ33" i="51"/>
  <c r="AC57" i="51"/>
  <c r="AD57" i="51" s="1"/>
  <c r="I64" i="51"/>
  <c r="I57" i="51" s="1"/>
  <c r="AE64" i="51"/>
  <c r="AE57" i="51" s="1"/>
  <c r="Y70" i="51"/>
  <c r="AB97" i="51"/>
  <c r="AJ105" i="51"/>
  <c r="AK105" i="51" s="1"/>
  <c r="AD118" i="51"/>
  <c r="AE123" i="51"/>
  <c r="V125" i="51"/>
  <c r="AB135" i="51"/>
  <c r="AH147" i="51"/>
  <c r="AB10" i="51"/>
  <c r="AJ23" i="51"/>
  <c r="AK23" i="51" s="1"/>
  <c r="I37" i="51"/>
  <c r="V45" i="51"/>
  <c r="AH45" i="51"/>
  <c r="V70" i="51"/>
  <c r="AI70" i="51"/>
  <c r="AI56" i="51" s="1"/>
  <c r="I92" i="51"/>
  <c r="AC100" i="51"/>
  <c r="M99" i="51" s="1"/>
  <c r="AE101" i="51"/>
  <c r="AE100" i="51" s="1"/>
  <c r="O99" i="51" s="1"/>
  <c r="Z100" i="51"/>
  <c r="Z99" i="51" s="1"/>
  <c r="Y121" i="51"/>
  <c r="Y117" i="51" s="1"/>
  <c r="AB134" i="51"/>
  <c r="AD9" i="51"/>
  <c r="AD10" i="51"/>
  <c r="H10" i="51"/>
  <c r="AH26" i="51"/>
  <c r="I26" i="51"/>
  <c r="H26" i="51"/>
  <c r="AH33" i="51"/>
  <c r="I33" i="51"/>
  <c r="I32" i="51" s="1"/>
  <c r="AE33" i="51"/>
  <c r="AD37" i="51"/>
  <c r="AI32" i="51"/>
  <c r="AI8" i="51" s="1"/>
  <c r="AH64" i="51"/>
  <c r="AA70" i="51"/>
  <c r="Y79" i="51"/>
  <c r="V92" i="51"/>
  <c r="I101" i="51"/>
  <c r="I105" i="51"/>
  <c r="AH111" i="51"/>
  <c r="I111" i="51"/>
  <c r="AE118" i="51"/>
  <c r="V121" i="51"/>
  <c r="AD122" i="51"/>
  <c r="AH123" i="51"/>
  <c r="H125" i="51"/>
  <c r="H117" i="51" s="1"/>
  <c r="AD130" i="51"/>
  <c r="AC134" i="51"/>
  <c r="AD134" i="51" s="1"/>
  <c r="AE135" i="51"/>
  <c r="AE134" i="51" s="1"/>
  <c r="I135" i="51"/>
  <c r="I134" i="51" s="1"/>
  <c r="AB144" i="51"/>
  <c r="AA140" i="51"/>
  <c r="AJ144" i="51"/>
  <c r="AK144" i="51" s="1"/>
  <c r="AK145" i="51"/>
  <c r="AC147" i="51"/>
  <c r="AD147" i="51" s="1"/>
  <c r="AD148" i="51"/>
  <c r="AH270" i="51"/>
  <c r="H135" i="51"/>
  <c r="H134" i="51" s="1"/>
  <c r="AH144" i="51"/>
  <c r="AA150" i="51"/>
  <c r="AI150" i="51"/>
  <c r="AD158" i="51"/>
  <c r="AB163" i="51"/>
  <c r="AJ163" i="51"/>
  <c r="AK163" i="51" s="1"/>
  <c r="AG167" i="51"/>
  <c r="AF167" i="51"/>
  <c r="AD182" i="51"/>
  <c r="AH183" i="51"/>
  <c r="I183" i="51"/>
  <c r="AE183" i="51"/>
  <c r="H183" i="51"/>
  <c r="AK193" i="51"/>
  <c r="AD200" i="51"/>
  <c r="AK200" i="51"/>
  <c r="AB202" i="51"/>
  <c r="AF212" i="51"/>
  <c r="AH219" i="51"/>
  <c r="V234" i="51"/>
  <c r="V229" i="51" s="1"/>
  <c r="I240" i="51"/>
  <c r="I239" i="51" s="1"/>
  <c r="AE240" i="51"/>
  <c r="AE239" i="51" s="1"/>
  <c r="AK241" i="51"/>
  <c r="AK248" i="51"/>
  <c r="AK265" i="51"/>
  <c r="Z278" i="51"/>
  <c r="Z211" i="51" s="1"/>
  <c r="AF278" i="51"/>
  <c r="AK281" i="51"/>
  <c r="AD286" i="51"/>
  <c r="Z286" i="51"/>
  <c r="AD289" i="51"/>
  <c r="AJ289" i="51"/>
  <c r="AK289" i="51" s="1"/>
  <c r="H289" i="51"/>
  <c r="H286" i="51" s="1"/>
  <c r="AB293" i="51"/>
  <c r="V183" i="51"/>
  <c r="AD202" i="51"/>
  <c r="I213" i="51"/>
  <c r="I212" i="51" s="1"/>
  <c r="AE213" i="51"/>
  <c r="AE212" i="51" s="1"/>
  <c r="Y229" i="51"/>
  <c r="AB234" i="51"/>
  <c r="V240" i="51"/>
  <c r="V239" i="51" s="1"/>
  <c r="AE257" i="51"/>
  <c r="AE250" i="51" s="1"/>
  <c r="AD271" i="51"/>
  <c r="H271" i="51"/>
  <c r="H270" i="51" s="1"/>
  <c r="I279" i="51"/>
  <c r="I278" i="51" s="1"/>
  <c r="AE286" i="51"/>
  <c r="H295" i="51"/>
  <c r="H294" i="51" s="1"/>
  <c r="H293" i="51" s="1"/>
  <c r="AB141" i="51"/>
  <c r="AE150" i="51"/>
  <c r="AH155" i="51"/>
  <c r="AK159" i="51"/>
  <c r="Z157" i="51"/>
  <c r="AE157" i="51"/>
  <c r="AH165" i="51"/>
  <c r="Y167" i="51"/>
  <c r="AD168" i="51"/>
  <c r="AD176" i="51"/>
  <c r="AI167" i="51"/>
  <c r="H178" i="51"/>
  <c r="H167" i="51" s="1"/>
  <c r="AI191" i="51"/>
  <c r="AI190" i="51" s="1"/>
  <c r="AJ209" i="51"/>
  <c r="AD219" i="51"/>
  <c r="H219" i="51"/>
  <c r="H218" i="51" s="1"/>
  <c r="I219" i="51"/>
  <c r="AI218" i="51"/>
  <c r="AH230" i="51"/>
  <c r="I230" i="51"/>
  <c r="I229" i="51" s="1"/>
  <c r="AK233" i="51"/>
  <c r="AK247" i="51"/>
  <c r="H251" i="51"/>
  <c r="I261" i="51"/>
  <c r="AF260" i="51"/>
  <c r="AK275" i="51"/>
  <c r="AD279" i="51"/>
  <c r="AI279" i="51"/>
  <c r="AD287" i="51"/>
  <c r="AA286" i="51"/>
  <c r="AB286" i="51" s="1"/>
  <c r="AH290" i="51"/>
  <c r="AK294" i="51"/>
  <c r="I150" i="51"/>
  <c r="AD165" i="51"/>
  <c r="V191" i="51"/>
  <c r="V190" i="51" s="1"/>
  <c r="I203" i="51"/>
  <c r="I202" i="51" s="1"/>
  <c r="V250" i="51"/>
  <c r="AE261" i="51"/>
  <c r="AE260" i="51" s="1"/>
  <c r="AB270" i="51"/>
  <c r="AB271" i="51"/>
  <c r="AE278" i="51"/>
  <c r="V10" i="51"/>
  <c r="AK47" i="51"/>
  <c r="AJ45" i="51"/>
  <c r="AK45" i="51" s="1"/>
  <c r="AB58" i="51"/>
  <c r="AA57" i="51"/>
  <c r="AB9" i="51"/>
  <c r="AH9" i="51"/>
  <c r="AH10" i="51"/>
  <c r="Z8" i="51"/>
  <c r="AK59" i="51"/>
  <c r="V58" i="51" s="1"/>
  <c r="AJ58" i="51"/>
  <c r="AJ64" i="51"/>
  <c r="AK64" i="51" s="1"/>
  <c r="AH79" i="51"/>
  <c r="AE80" i="51"/>
  <c r="AE79" i="51" s="1"/>
  <c r="P99" i="51"/>
  <c r="AH135" i="51"/>
  <c r="AF134" i="51"/>
  <c r="AH134" i="51" s="1"/>
  <c r="AK158" i="51"/>
  <c r="Y157" i="51"/>
  <c r="AB157" i="51" s="1"/>
  <c r="AB161" i="51"/>
  <c r="AJ266" i="51"/>
  <c r="AK266" i="51" s="1"/>
  <c r="AK267" i="51"/>
  <c r="AH268" i="51"/>
  <c r="AG260" i="51"/>
  <c r="AB33" i="51"/>
  <c r="AB37" i="51"/>
  <c r="AC45" i="51"/>
  <c r="AD47" i="51"/>
  <c r="AG49" i="51"/>
  <c r="AH49" i="51" s="1"/>
  <c r="AH50" i="51"/>
  <c r="AA79" i="51"/>
  <c r="AB79" i="51" s="1"/>
  <c r="AB80" i="51"/>
  <c r="V101" i="51"/>
  <c r="AJ118" i="51"/>
  <c r="AK119" i="51"/>
  <c r="AC150" i="51"/>
  <c r="AD151" i="51"/>
  <c r="AD33" i="51"/>
  <c r="AK33" i="51"/>
  <c r="V33" i="51"/>
  <c r="V37" i="51"/>
  <c r="V80" i="51"/>
  <c r="V79" i="51" s="1"/>
  <c r="AJ80" i="51"/>
  <c r="AK83" i="51"/>
  <c r="AJ101" i="51"/>
  <c r="AJ191" i="51"/>
  <c r="AK192" i="51"/>
  <c r="AA190" i="51"/>
  <c r="AB190" i="51" s="1"/>
  <c r="AB200" i="51"/>
  <c r="Y45" i="51"/>
  <c r="Y32" i="51" s="1"/>
  <c r="Y8" i="51" s="1"/>
  <c r="AE48" i="51"/>
  <c r="AH71" i="51"/>
  <c r="AG70" i="51"/>
  <c r="AD79" i="51"/>
  <c r="AH80" i="51"/>
  <c r="AD92" i="51"/>
  <c r="AG117" i="51"/>
  <c r="AH122" i="51"/>
  <c r="AG121" i="51"/>
  <c r="AH121" i="51" s="1"/>
  <c r="AF125" i="51"/>
  <c r="AH125" i="51" s="1"/>
  <c r="AH126" i="51"/>
  <c r="AH132" i="51"/>
  <c r="AB151" i="51"/>
  <c r="Y150" i="51"/>
  <c r="AK152" i="51"/>
  <c r="AJ151" i="51"/>
  <c r="I157" i="51"/>
  <c r="AC212" i="51"/>
  <c r="AD213" i="51"/>
  <c r="AK246" i="51"/>
  <c r="AJ245" i="51"/>
  <c r="AK245" i="51" s="1"/>
  <c r="AK34" i="51"/>
  <c r="AE47" i="51"/>
  <c r="AB48" i="51"/>
  <c r="AD50" i="51"/>
  <c r="AF57" i="51"/>
  <c r="Y56" i="51"/>
  <c r="AD71" i="51"/>
  <c r="AC70" i="51"/>
  <c r="AD80" i="51"/>
  <c r="H80" i="51"/>
  <c r="H79" i="51" s="1"/>
  <c r="H56" i="51" s="1"/>
  <c r="AK97" i="51"/>
  <c r="AB101" i="51"/>
  <c r="AH118" i="51"/>
  <c r="AJ126" i="51"/>
  <c r="AA125" i="51"/>
  <c r="AB125" i="51" s="1"/>
  <c r="AB126" i="51"/>
  <c r="AC190" i="51"/>
  <c r="AD190" i="51" s="1"/>
  <c r="AD191" i="51"/>
  <c r="AB284" i="51"/>
  <c r="AA278" i="51"/>
  <c r="AB278" i="51" s="1"/>
  <c r="AA45" i="51"/>
  <c r="AF45" i="51"/>
  <c r="AF32" i="51" s="1"/>
  <c r="AB47" i="51"/>
  <c r="AJ50" i="51"/>
  <c r="AE50" i="51"/>
  <c r="AE49" i="51" s="1"/>
  <c r="AJ74" i="51"/>
  <c r="AA100" i="51"/>
  <c r="AH100" i="51"/>
  <c r="R99" i="51" s="1"/>
  <c r="AD101" i="51"/>
  <c r="AB123" i="51"/>
  <c r="AA121" i="51"/>
  <c r="AD125" i="51"/>
  <c r="I125" i="51"/>
  <c r="AB127" i="51"/>
  <c r="AJ127" i="51"/>
  <c r="AK127" i="51" s="1"/>
  <c r="AB131" i="51"/>
  <c r="AJ135" i="51"/>
  <c r="AJ140" i="51"/>
  <c r="Z146" i="51"/>
  <c r="AD161" i="51"/>
  <c r="AC157" i="51"/>
  <c r="AH251" i="51"/>
  <c r="AG250" i="51"/>
  <c r="AH250" i="51" s="1"/>
  <c r="AD257" i="51"/>
  <c r="AC250" i="51"/>
  <c r="H278" i="51"/>
  <c r="AB114" i="51"/>
  <c r="V114" i="51"/>
  <c r="AD144" i="51"/>
  <c r="AJ155" i="51"/>
  <c r="AK155" i="51" s="1"/>
  <c r="AK156" i="51"/>
  <c r="H157" i="51"/>
  <c r="V168" i="51"/>
  <c r="V167" i="51" s="1"/>
  <c r="AK176" i="51"/>
  <c r="AK179" i="51"/>
  <c r="AJ182" i="51"/>
  <c r="AK182" i="51" s="1"/>
  <c r="AB182" i="51"/>
  <c r="AF190" i="51"/>
  <c r="AH190" i="51" s="1"/>
  <c r="AH200" i="51"/>
  <c r="V203" i="51"/>
  <c r="V202" i="51" s="1"/>
  <c r="AE219" i="51"/>
  <c r="AE218" i="51" s="1"/>
  <c r="AD230" i="51"/>
  <c r="AI229" i="51"/>
  <c r="AD234" i="51"/>
  <c r="AC229" i="51"/>
  <c r="AD229" i="51" s="1"/>
  <c r="AD240" i="51"/>
  <c r="AC239" i="51"/>
  <c r="AD239" i="51" s="1"/>
  <c r="AH282" i="51"/>
  <c r="AG278" i="51"/>
  <c r="AH278" i="51" s="1"/>
  <c r="AH101" i="51"/>
  <c r="AK106" i="51"/>
  <c r="AK112" i="51"/>
  <c r="AB118" i="51"/>
  <c r="V118" i="51"/>
  <c r="V117" i="51" s="1"/>
  <c r="AC121" i="51"/>
  <c r="AB130" i="51"/>
  <c r="AH141" i="51"/>
  <c r="AG140" i="51"/>
  <c r="AB147" i="51"/>
  <c r="V159" i="51"/>
  <c r="V158" i="51" s="1"/>
  <c r="V157" i="51" s="1"/>
  <c r="AH161" i="51"/>
  <c r="AG157" i="51"/>
  <c r="AH157" i="51" s="1"/>
  <c r="AB168" i="51"/>
  <c r="AJ168" i="51"/>
  <c r="AK169" i="51"/>
  <c r="AB183" i="51"/>
  <c r="AJ183" i="51"/>
  <c r="AK183" i="51" s="1"/>
  <c r="AK184" i="51"/>
  <c r="AH192" i="51"/>
  <c r="I191" i="51"/>
  <c r="I190" i="51" s="1"/>
  <c r="AK203" i="51"/>
  <c r="AH209" i="51"/>
  <c r="AG208" i="51"/>
  <c r="AH208" i="51" s="1"/>
  <c r="AB212" i="51"/>
  <c r="AH212" i="51"/>
  <c r="Y218" i="51"/>
  <c r="AK236" i="51"/>
  <c r="AJ234" i="51"/>
  <c r="AK234" i="51" s="1"/>
  <c r="AB261" i="51"/>
  <c r="AA260" i="51"/>
  <c r="AI140" i="51"/>
  <c r="AI99" i="51" s="1"/>
  <c r="Y140" i="51"/>
  <c r="Y99" i="51" s="1"/>
  <c r="AD141" i="51"/>
  <c r="AC140" i="51"/>
  <c r="AF146" i="51"/>
  <c r="AK148" i="51"/>
  <c r="AJ147" i="51"/>
  <c r="I168" i="51"/>
  <c r="AE168" i="51"/>
  <c r="AE178" i="51"/>
  <c r="AJ181" i="51"/>
  <c r="AK181" i="51" s="1"/>
  <c r="AB181" i="51"/>
  <c r="AA178" i="51"/>
  <c r="AB178" i="51" s="1"/>
  <c r="AB191" i="51"/>
  <c r="AH191" i="51"/>
  <c r="I251" i="51"/>
  <c r="I250" i="51" s="1"/>
  <c r="AB257" i="51"/>
  <c r="AA250" i="51"/>
  <c r="AB250" i="51" s="1"/>
  <c r="AK269" i="51"/>
  <c r="AJ268" i="51"/>
  <c r="AK268" i="51" s="1"/>
  <c r="V271" i="51"/>
  <c r="V270" i="51" s="1"/>
  <c r="AH203" i="51"/>
  <c r="V213" i="51"/>
  <c r="V212" i="51" s="1"/>
  <c r="V219" i="51"/>
  <c r="V218" i="51" s="1"/>
  <c r="I218" i="51"/>
  <c r="AK227" i="51"/>
  <c r="AB230" i="51"/>
  <c r="AK231" i="51"/>
  <c r="AH239" i="51"/>
  <c r="AJ239" i="51"/>
  <c r="AK239" i="51" s="1"/>
  <c r="AK240" i="51"/>
  <c r="AB245" i="51"/>
  <c r="AB246" i="51"/>
  <c r="AJ257" i="51"/>
  <c r="AK257" i="51" s="1"/>
  <c r="AK258" i="51"/>
  <c r="AD266" i="51"/>
  <c r="AC260" i="51"/>
  <c r="AJ279" i="51"/>
  <c r="AK280" i="51"/>
  <c r="AE122" i="51"/>
  <c r="AB213" i="51"/>
  <c r="AJ213" i="51"/>
  <c r="AK214" i="51"/>
  <c r="AB219" i="51"/>
  <c r="AJ219" i="51"/>
  <c r="AK220" i="51"/>
  <c r="AB227" i="51"/>
  <c r="AA218" i="51"/>
  <c r="AK228" i="51"/>
  <c r="AK232" i="51"/>
  <c r="AD246" i="51"/>
  <c r="AC245" i="51"/>
  <c r="AD245" i="51" s="1"/>
  <c r="V246" i="51"/>
  <c r="V245" i="51" s="1"/>
  <c r="AD251" i="51"/>
  <c r="AK252" i="51"/>
  <c r="AJ251" i="51"/>
  <c r="V261" i="51"/>
  <c r="V260" i="51" s="1"/>
  <c r="I260" i="51"/>
  <c r="AD268" i="51"/>
  <c r="AK284" i="51"/>
  <c r="AK243" i="51"/>
  <c r="AH245" i="51"/>
  <c r="AK272" i="51"/>
  <c r="AJ271" i="51"/>
  <c r="AK276" i="51"/>
  <c r="AH280" i="51"/>
  <c r="AD282" i="51"/>
  <c r="I286" i="51"/>
  <c r="AJ287" i="51"/>
  <c r="AK288" i="51"/>
  <c r="AA208" i="51"/>
  <c r="AB208" i="51" s="1"/>
  <c r="AA229" i="51"/>
  <c r="AB229" i="51" s="1"/>
  <c r="AJ230" i="51"/>
  <c r="AH234" i="51"/>
  <c r="AB240" i="51"/>
  <c r="AH240" i="51"/>
  <c r="AH246" i="51"/>
  <c r="AK254" i="51"/>
  <c r="AK262" i="51"/>
  <c r="AJ261" i="51"/>
  <c r="AB279" i="51"/>
  <c r="AI278" i="51"/>
  <c r="AG286" i="51"/>
  <c r="AH286" i="51" s="1"/>
  <c r="I167" i="51" l="1"/>
  <c r="AF211" i="51"/>
  <c r="H146" i="51"/>
  <c r="AE167" i="51"/>
  <c r="AE146" i="51" s="1"/>
  <c r="AB70" i="51"/>
  <c r="AE125" i="51"/>
  <c r="Z56" i="51"/>
  <c r="AJ157" i="51"/>
  <c r="AK157" i="51" s="1"/>
  <c r="H99" i="51"/>
  <c r="AK161" i="51"/>
  <c r="AB260" i="51"/>
  <c r="AI146" i="51"/>
  <c r="AI296" i="51" s="1"/>
  <c r="Y211" i="51"/>
  <c r="I117" i="51"/>
  <c r="AJ9" i="51"/>
  <c r="AC167" i="51"/>
  <c r="AC146" i="51" s="1"/>
  <c r="I9" i="51"/>
  <c r="I8" i="51" s="1"/>
  <c r="AH140" i="51"/>
  <c r="AD100" i="51"/>
  <c r="N99" i="51" s="1"/>
  <c r="AE229" i="51"/>
  <c r="AE211" i="51" s="1"/>
  <c r="AD250" i="51"/>
  <c r="AE121" i="51"/>
  <c r="AE117" i="51" s="1"/>
  <c r="AE99" i="51" s="1"/>
  <c r="I100" i="51"/>
  <c r="V57" i="51"/>
  <c r="V56" i="51" s="1"/>
  <c r="AD260" i="51"/>
  <c r="AI211" i="51"/>
  <c r="AD157" i="51"/>
  <c r="AH260" i="51"/>
  <c r="AH32" i="51"/>
  <c r="AF8" i="51"/>
  <c r="I211" i="51"/>
  <c r="AK209" i="51"/>
  <c r="AJ208" i="51"/>
  <c r="AK208" i="51" s="1"/>
  <c r="H9" i="51"/>
  <c r="H8" i="51" s="1"/>
  <c r="AD218" i="51"/>
  <c r="AF117" i="51"/>
  <c r="AF99" i="51" s="1"/>
  <c r="AH167" i="51"/>
  <c r="AE56" i="51"/>
  <c r="V146" i="51"/>
  <c r="H211" i="51"/>
  <c r="AK140" i="51"/>
  <c r="I146" i="51"/>
  <c r="AE45" i="51"/>
  <c r="AE32" i="51" s="1"/>
  <c r="AE8" i="51" s="1"/>
  <c r="I79" i="51"/>
  <c r="I56" i="51" s="1"/>
  <c r="AK271" i="51"/>
  <c r="AJ270" i="51"/>
  <c r="AK270" i="51" s="1"/>
  <c r="AK251" i="51"/>
  <c r="AJ250" i="51"/>
  <c r="AK250" i="51" s="1"/>
  <c r="AB218" i="51"/>
  <c r="AA211" i="51"/>
  <c r="AB211" i="51" s="1"/>
  <c r="AJ49" i="51"/>
  <c r="AK49" i="51" s="1"/>
  <c r="AK50" i="51"/>
  <c r="AH57" i="51"/>
  <c r="AF56" i="51"/>
  <c r="AD212" i="51"/>
  <c r="AC211" i="51"/>
  <c r="AD211" i="51" s="1"/>
  <c r="AJ100" i="51"/>
  <c r="AK101" i="51"/>
  <c r="AD150" i="51"/>
  <c r="AK168" i="51"/>
  <c r="V32" i="51"/>
  <c r="V26" i="51" s="1"/>
  <c r="V9" i="51" s="1"/>
  <c r="V8" i="51" s="1"/>
  <c r="AJ212" i="51"/>
  <c r="AK213" i="51"/>
  <c r="AJ178" i="51"/>
  <c r="AK178" i="51" s="1"/>
  <c r="AK74" i="51"/>
  <c r="AJ70" i="51"/>
  <c r="AK70" i="51" s="1"/>
  <c r="AK151" i="51"/>
  <c r="AJ150" i="51"/>
  <c r="AK150" i="51" s="1"/>
  <c r="AJ190" i="51"/>
  <c r="AK190" i="51" s="1"/>
  <c r="AK191" i="51"/>
  <c r="AJ79" i="51"/>
  <c r="AK79" i="51" s="1"/>
  <c r="AK80" i="51"/>
  <c r="V100" i="51"/>
  <c r="V99" i="51" s="1"/>
  <c r="AJ32" i="51"/>
  <c r="AK32" i="51" s="1"/>
  <c r="Z296" i="51"/>
  <c r="AK9" i="51"/>
  <c r="AK135" i="51"/>
  <c r="AJ134" i="51"/>
  <c r="AK134" i="51" s="1"/>
  <c r="AC56" i="51"/>
  <c r="AD56" i="51" s="1"/>
  <c r="AD70" i="51"/>
  <c r="AB150" i="51"/>
  <c r="Y146" i="51"/>
  <c r="AG99" i="51"/>
  <c r="AD45" i="51"/>
  <c r="AC32" i="51"/>
  <c r="AK58" i="51"/>
  <c r="AJ57" i="51"/>
  <c r="AJ278" i="51"/>
  <c r="AK278" i="51" s="1"/>
  <c r="AK279" i="51"/>
  <c r="V211" i="51"/>
  <c r="AK147" i="51"/>
  <c r="AD140" i="51"/>
  <c r="AJ260" i="51"/>
  <c r="AK260" i="51" s="1"/>
  <c r="AK261" i="51"/>
  <c r="AJ229" i="51"/>
  <c r="AK229" i="51" s="1"/>
  <c r="AK230" i="51"/>
  <c r="AK287" i="51"/>
  <c r="AJ286" i="51"/>
  <c r="AK286" i="51" s="1"/>
  <c r="AJ218" i="51"/>
  <c r="AK218" i="51" s="1"/>
  <c r="AK219" i="51"/>
  <c r="AA167" i="51"/>
  <c r="AG146" i="51"/>
  <c r="AH146" i="51" s="1"/>
  <c r="AC117" i="51"/>
  <c r="AD121" i="51"/>
  <c r="AG211" i="51"/>
  <c r="AH211" i="51" s="1"/>
  <c r="AA117" i="51"/>
  <c r="AB117" i="51" s="1"/>
  <c r="AB121" i="51"/>
  <c r="K99" i="51"/>
  <c r="AB100" i="51"/>
  <c r="L99" i="51" s="1"/>
  <c r="AB45" i="51"/>
  <c r="AK126" i="51"/>
  <c r="AJ125" i="51"/>
  <c r="AK125" i="51" s="1"/>
  <c r="AG56" i="51"/>
  <c r="AH70" i="51"/>
  <c r="AB140" i="51"/>
  <c r="AJ117" i="51"/>
  <c r="AK117" i="51" s="1"/>
  <c r="AK118" i="51"/>
  <c r="AA32" i="51"/>
  <c r="AG8" i="51"/>
  <c r="AB57" i="51"/>
  <c r="AA56" i="51"/>
  <c r="AB56" i="51" s="1"/>
  <c r="H296" i="51" l="1"/>
  <c r="I99" i="51"/>
  <c r="I296" i="51" s="1"/>
  <c r="AF296" i="51"/>
  <c r="AJ167" i="51"/>
  <c r="AK167" i="51" s="1"/>
  <c r="AE296" i="51"/>
  <c r="AD167" i="51"/>
  <c r="AH99" i="51"/>
  <c r="AH117" i="51"/>
  <c r="Y296" i="51"/>
  <c r="Y298" i="51" s="1"/>
  <c r="AA99" i="51"/>
  <c r="AB99" i="51" s="1"/>
  <c r="AJ211" i="51"/>
  <c r="AK211" i="51" s="1"/>
  <c r="AK212" i="51"/>
  <c r="AJ99" i="51"/>
  <c r="AK99" i="51" s="1"/>
  <c r="AK100" i="51"/>
  <c r="AB32" i="51"/>
  <c r="AA8" i="51"/>
  <c r="AD117" i="51"/>
  <c r="AC99" i="51"/>
  <c r="AD99" i="51" s="1"/>
  <c r="AC8" i="51"/>
  <c r="AD32" i="51"/>
  <c r="AD146" i="51"/>
  <c r="AB167" i="51"/>
  <c r="AA146" i="51"/>
  <c r="AB146" i="51" s="1"/>
  <c r="AK57" i="51"/>
  <c r="AJ56" i="51"/>
  <c r="AK56" i="51" s="1"/>
  <c r="AG296" i="51"/>
  <c r="AH296" i="51" s="1"/>
  <c r="AH8" i="51"/>
  <c r="AJ8" i="51"/>
  <c r="AH56" i="51"/>
  <c r="V296" i="51"/>
  <c r="AJ146" i="51" l="1"/>
  <c r="AK146" i="51" s="1"/>
  <c r="AK8" i="51"/>
  <c r="AA296" i="51"/>
  <c r="AB296" i="51" s="1"/>
  <c r="AB8" i="51"/>
  <c r="AC296" i="51"/>
  <c r="AD296" i="51" s="1"/>
  <c r="AD8" i="51"/>
  <c r="AJ296" i="51" l="1"/>
  <c r="AK296" i="51" s="1"/>
  <c r="U302" i="49"/>
  <c r="N302" i="49"/>
  <c r="T301" i="49"/>
  <c r="S301" i="49"/>
  <c r="R301" i="49"/>
  <c r="Q301" i="49"/>
  <c r="P301" i="49"/>
  <c r="O301" i="49"/>
  <c r="M301" i="49"/>
  <c r="L301" i="49"/>
  <c r="K301" i="49"/>
  <c r="U300" i="49"/>
  <c r="N300" i="49"/>
  <c r="U299" i="49"/>
  <c r="N299" i="49"/>
  <c r="U298" i="49"/>
  <c r="N298" i="49"/>
  <c r="T297" i="49"/>
  <c r="S297" i="49"/>
  <c r="S296" i="49" s="1"/>
  <c r="R297" i="49"/>
  <c r="Q297" i="49"/>
  <c r="Q296" i="49" s="1"/>
  <c r="P297" i="49"/>
  <c r="P296" i="49" s="1"/>
  <c r="O297" i="49"/>
  <c r="O296" i="49" s="1"/>
  <c r="M297" i="49"/>
  <c r="M296" i="49" s="1"/>
  <c r="L297" i="49"/>
  <c r="L296" i="49" s="1"/>
  <c r="K297" i="49"/>
  <c r="T296" i="49"/>
  <c r="R296" i="49"/>
  <c r="K296" i="49"/>
  <c r="U295" i="49"/>
  <c r="N295" i="49"/>
  <c r="U294" i="49"/>
  <c r="N294" i="49"/>
  <c r="U293" i="49"/>
  <c r="N293" i="49"/>
  <c r="U292" i="49"/>
  <c r="N292" i="49"/>
  <c r="U291" i="49"/>
  <c r="N291" i="49"/>
  <c r="U290" i="49"/>
  <c r="N290" i="49"/>
  <c r="U289" i="49"/>
  <c r="N289" i="49"/>
  <c r="U288" i="49"/>
  <c r="N288" i="49"/>
  <c r="U287" i="49"/>
  <c r="N287" i="49"/>
  <c r="T286" i="49"/>
  <c r="U286" i="49" s="1"/>
  <c r="S286" i="49"/>
  <c r="R286" i="49"/>
  <c r="Q286" i="49"/>
  <c r="P286" i="49"/>
  <c r="O286" i="49"/>
  <c r="M286" i="49"/>
  <c r="L286" i="49"/>
  <c r="K286" i="49"/>
  <c r="U285" i="49"/>
  <c r="N285" i="49"/>
  <c r="U284" i="49"/>
  <c r="N284" i="49"/>
  <c r="T283" i="49"/>
  <c r="S283" i="49"/>
  <c r="R283" i="49"/>
  <c r="Q283" i="49"/>
  <c r="P283" i="49"/>
  <c r="O283" i="49"/>
  <c r="M283" i="49"/>
  <c r="L283" i="49"/>
  <c r="K283" i="49"/>
  <c r="U281" i="49"/>
  <c r="N281" i="49"/>
  <c r="U280" i="49"/>
  <c r="N280" i="49"/>
  <c r="U279" i="49"/>
  <c r="N279" i="49"/>
  <c r="U278" i="49"/>
  <c r="N278" i="49"/>
  <c r="U277" i="49"/>
  <c r="N277" i="49"/>
  <c r="U276" i="49"/>
  <c r="N276" i="49"/>
  <c r="U275" i="49"/>
  <c r="N275" i="49"/>
  <c r="T274" i="49"/>
  <c r="S274" i="49"/>
  <c r="R274" i="49"/>
  <c r="Q274" i="49"/>
  <c r="P274" i="49"/>
  <c r="O274" i="49"/>
  <c r="M274" i="49"/>
  <c r="L274" i="49"/>
  <c r="K274" i="49"/>
  <c r="U273" i="49"/>
  <c r="N273" i="49"/>
  <c r="U272" i="49"/>
  <c r="N272" i="49"/>
  <c r="T271" i="49"/>
  <c r="S271" i="49"/>
  <c r="R271" i="49"/>
  <c r="Q271" i="49"/>
  <c r="P271" i="49"/>
  <c r="O271" i="49"/>
  <c r="M271" i="49"/>
  <c r="L271" i="49"/>
  <c r="K271" i="49"/>
  <c r="U269" i="49"/>
  <c r="N269" i="49"/>
  <c r="U268" i="49"/>
  <c r="N268" i="49"/>
  <c r="U267" i="49"/>
  <c r="N267" i="49"/>
  <c r="U266" i="49"/>
  <c r="N266" i="49"/>
  <c r="U265" i="49"/>
  <c r="N265" i="49"/>
  <c r="U264" i="49"/>
  <c r="N264" i="49"/>
  <c r="U263" i="49"/>
  <c r="N263" i="49"/>
  <c r="T262" i="49"/>
  <c r="S262" i="49"/>
  <c r="R262" i="49"/>
  <c r="Q262" i="49"/>
  <c r="P262" i="49"/>
  <c r="O262" i="49"/>
  <c r="M262" i="49"/>
  <c r="L262" i="49"/>
  <c r="K262" i="49"/>
  <c r="U261" i="49"/>
  <c r="N261" i="49"/>
  <c r="U260" i="49"/>
  <c r="N260" i="49"/>
  <c r="T259" i="49"/>
  <c r="S259" i="49"/>
  <c r="R259" i="49"/>
  <c r="Q259" i="49"/>
  <c r="P259" i="49"/>
  <c r="O259" i="49"/>
  <c r="M259" i="49"/>
  <c r="L259" i="49"/>
  <c r="K259" i="49"/>
  <c r="U256" i="49"/>
  <c r="N256" i="49"/>
  <c r="U255" i="49"/>
  <c r="N255" i="49"/>
  <c r="U254" i="49"/>
  <c r="N254" i="49"/>
  <c r="U253" i="49"/>
  <c r="N253" i="49"/>
  <c r="U252" i="49"/>
  <c r="N252" i="49"/>
  <c r="U251" i="49"/>
  <c r="N251" i="49"/>
  <c r="U250" i="49"/>
  <c r="N250" i="49"/>
  <c r="U249" i="49"/>
  <c r="N249" i="49"/>
  <c r="T248" i="49"/>
  <c r="S248" i="49"/>
  <c r="R248" i="49"/>
  <c r="Q248" i="49"/>
  <c r="P248" i="49"/>
  <c r="O248" i="49"/>
  <c r="M248" i="49"/>
  <c r="L248" i="49"/>
  <c r="K248" i="49"/>
  <c r="U247" i="49"/>
  <c r="N247" i="49"/>
  <c r="U246" i="49"/>
  <c r="N246" i="49"/>
  <c r="T245" i="49"/>
  <c r="S245" i="49"/>
  <c r="R245" i="49"/>
  <c r="R244" i="49" s="1"/>
  <c r="Q245" i="49"/>
  <c r="Q244" i="49" s="1"/>
  <c r="P245" i="49"/>
  <c r="O245" i="49"/>
  <c r="M245" i="49"/>
  <c r="L245" i="49"/>
  <c r="K245" i="49"/>
  <c r="U243" i="49"/>
  <c r="N243" i="49"/>
  <c r="U242" i="49"/>
  <c r="N242" i="49"/>
  <c r="T241" i="49"/>
  <c r="S241" i="49"/>
  <c r="R241" i="49"/>
  <c r="Q241" i="49"/>
  <c r="P241" i="49"/>
  <c r="O241" i="49"/>
  <c r="M241" i="49"/>
  <c r="L241" i="49"/>
  <c r="K241" i="49"/>
  <c r="U240" i="49"/>
  <c r="N240" i="49"/>
  <c r="U239" i="49"/>
  <c r="N239" i="49"/>
  <c r="U238" i="49"/>
  <c r="N238" i="49"/>
  <c r="T237" i="49"/>
  <c r="S237" i="49"/>
  <c r="S236" i="49" s="1"/>
  <c r="R237" i="49"/>
  <c r="R236" i="49" s="1"/>
  <c r="Q237" i="49"/>
  <c r="Q236" i="49" s="1"/>
  <c r="P237" i="49"/>
  <c r="P236" i="49" s="1"/>
  <c r="O237" i="49"/>
  <c r="O236" i="49" s="1"/>
  <c r="M237" i="49"/>
  <c r="M236" i="49" s="1"/>
  <c r="L237" i="49"/>
  <c r="L236" i="49" s="1"/>
  <c r="K237" i="49"/>
  <c r="K236" i="49" s="1"/>
  <c r="U235" i="49"/>
  <c r="N235" i="49"/>
  <c r="U234" i="49"/>
  <c r="N234" i="49"/>
  <c r="U233" i="49"/>
  <c r="N233" i="49"/>
  <c r="T232" i="49"/>
  <c r="S232" i="49"/>
  <c r="R232" i="49"/>
  <c r="Q232" i="49"/>
  <c r="P232" i="49"/>
  <c r="O232" i="49"/>
  <c r="M232" i="49"/>
  <c r="L232" i="49"/>
  <c r="K232" i="49"/>
  <c r="U231" i="49"/>
  <c r="N231" i="49"/>
  <c r="U230" i="49"/>
  <c r="N230" i="49"/>
  <c r="U229" i="49"/>
  <c r="N229" i="49"/>
  <c r="U228" i="49"/>
  <c r="N228" i="49"/>
  <c r="U227" i="49"/>
  <c r="N227" i="49"/>
  <c r="U226" i="49"/>
  <c r="N226" i="49"/>
  <c r="U225" i="49"/>
  <c r="N225" i="49"/>
  <c r="U224" i="49"/>
  <c r="N224" i="49"/>
  <c r="T223" i="49"/>
  <c r="S223" i="49"/>
  <c r="R223" i="49"/>
  <c r="Q223" i="49"/>
  <c r="P223" i="49"/>
  <c r="O223" i="49"/>
  <c r="M223" i="49"/>
  <c r="L223" i="49"/>
  <c r="K223" i="49"/>
  <c r="U222" i="49"/>
  <c r="N222" i="49"/>
  <c r="U221" i="49"/>
  <c r="N221" i="49"/>
  <c r="U220" i="49"/>
  <c r="N220" i="49"/>
  <c r="T219" i="49"/>
  <c r="S219" i="49"/>
  <c r="R219" i="49"/>
  <c r="Q219" i="49"/>
  <c r="P219" i="49"/>
  <c r="O219" i="49"/>
  <c r="M219" i="49"/>
  <c r="L219" i="49"/>
  <c r="K219" i="49"/>
  <c r="U218" i="49"/>
  <c r="N218" i="49"/>
  <c r="U217" i="49"/>
  <c r="N217" i="49"/>
  <c r="U216" i="49"/>
  <c r="N216" i="49"/>
  <c r="P216" i="49" s="1"/>
  <c r="P215" i="49" s="1"/>
  <c r="T215" i="49"/>
  <c r="S215" i="49"/>
  <c r="R215" i="49"/>
  <c r="Q215" i="49"/>
  <c r="O215" i="49"/>
  <c r="M215" i="49"/>
  <c r="L215" i="49"/>
  <c r="K215" i="49"/>
  <c r="U213" i="49"/>
  <c r="N213" i="49"/>
  <c r="U212" i="49"/>
  <c r="N212" i="49"/>
  <c r="U211" i="49"/>
  <c r="N211" i="49"/>
  <c r="U210" i="49"/>
  <c r="N210" i="49"/>
  <c r="U209" i="49"/>
  <c r="N209" i="49"/>
  <c r="T208" i="49"/>
  <c r="T207" i="49" s="1"/>
  <c r="S208" i="49"/>
  <c r="S207" i="49" s="1"/>
  <c r="R208" i="49"/>
  <c r="R207" i="49" s="1"/>
  <c r="Q208" i="49"/>
  <c r="Q207" i="49" s="1"/>
  <c r="P208" i="49"/>
  <c r="P207" i="49" s="1"/>
  <c r="O208" i="49"/>
  <c r="O207" i="49" s="1"/>
  <c r="M208" i="49"/>
  <c r="L208" i="49"/>
  <c r="K208" i="49"/>
  <c r="K207" i="49" s="1"/>
  <c r="M207" i="49"/>
  <c r="U206" i="49"/>
  <c r="N206" i="49"/>
  <c r="U205" i="49"/>
  <c r="N205" i="49"/>
  <c r="U204" i="49"/>
  <c r="N204" i="49"/>
  <c r="U203" i="49"/>
  <c r="N203" i="49"/>
  <c r="U202" i="49"/>
  <c r="N202" i="49"/>
  <c r="U201" i="49"/>
  <c r="N201" i="49"/>
  <c r="T200" i="49"/>
  <c r="S200" i="49"/>
  <c r="R200" i="49"/>
  <c r="Q200" i="49"/>
  <c r="P200" i="49"/>
  <c r="O200" i="49"/>
  <c r="M200" i="49"/>
  <c r="L200" i="49"/>
  <c r="K200" i="49"/>
  <c r="U199" i="49"/>
  <c r="N199" i="49"/>
  <c r="P199" i="49" s="1"/>
  <c r="P197" i="49" s="1"/>
  <c r="U198" i="49"/>
  <c r="N198" i="49"/>
  <c r="T197" i="49"/>
  <c r="S197" i="49"/>
  <c r="R197" i="49"/>
  <c r="Q197" i="49"/>
  <c r="O197" i="49"/>
  <c r="M197" i="49"/>
  <c r="L197" i="49"/>
  <c r="K197" i="49"/>
  <c r="O196" i="49"/>
  <c r="U194" i="49"/>
  <c r="N194" i="49"/>
  <c r="U193" i="49"/>
  <c r="N193" i="49"/>
  <c r="U192" i="49"/>
  <c r="N192" i="49"/>
  <c r="U191" i="49"/>
  <c r="N191" i="49"/>
  <c r="T190" i="49"/>
  <c r="S190" i="49"/>
  <c r="R190" i="49"/>
  <c r="R189" i="49" s="1"/>
  <c r="Q190" i="49"/>
  <c r="Q189" i="49" s="1"/>
  <c r="P190" i="49"/>
  <c r="P189" i="49" s="1"/>
  <c r="O190" i="49"/>
  <c r="O189" i="49" s="1"/>
  <c r="M190" i="49"/>
  <c r="M189" i="49" s="1"/>
  <c r="L190" i="49"/>
  <c r="K190" i="49"/>
  <c r="K189" i="49" s="1"/>
  <c r="S189" i="49"/>
  <c r="U188" i="49"/>
  <c r="N188" i="49"/>
  <c r="U187" i="49"/>
  <c r="N187" i="49"/>
  <c r="U186" i="49"/>
  <c r="N186" i="49"/>
  <c r="U185" i="49"/>
  <c r="N185" i="49"/>
  <c r="U184" i="49"/>
  <c r="N184" i="49"/>
  <c r="U183" i="49"/>
  <c r="N183" i="49"/>
  <c r="U182" i="49"/>
  <c r="N182" i="49"/>
  <c r="U181" i="49"/>
  <c r="N181" i="49"/>
  <c r="U180" i="49"/>
  <c r="N180" i="49"/>
  <c r="U179" i="49"/>
  <c r="N179" i="49"/>
  <c r="U178" i="49"/>
  <c r="N178" i="49"/>
  <c r="U177" i="49"/>
  <c r="N177" i="49"/>
  <c r="U176" i="49"/>
  <c r="N176" i="49"/>
  <c r="U175" i="49"/>
  <c r="N175" i="49"/>
  <c r="U174" i="49"/>
  <c r="N174" i="49"/>
  <c r="U173" i="49"/>
  <c r="N173" i="49"/>
  <c r="T172" i="49"/>
  <c r="S172" i="49"/>
  <c r="R172" i="49"/>
  <c r="Q172" i="49"/>
  <c r="P172" i="49"/>
  <c r="P171" i="49" s="1"/>
  <c r="O172" i="49"/>
  <c r="O171" i="49" s="1"/>
  <c r="M172" i="49"/>
  <c r="M171" i="49" s="1"/>
  <c r="L172" i="49"/>
  <c r="L171" i="49" s="1"/>
  <c r="K172" i="49"/>
  <c r="K171" i="49" s="1"/>
  <c r="N171" i="49" s="1"/>
  <c r="S171" i="49"/>
  <c r="R171" i="49"/>
  <c r="Q171" i="49"/>
  <c r="U170" i="49"/>
  <c r="N170" i="49"/>
  <c r="T169" i="49"/>
  <c r="S169" i="49"/>
  <c r="R169" i="49"/>
  <c r="Q169" i="49"/>
  <c r="P169" i="49"/>
  <c r="O169" i="49"/>
  <c r="M169" i="49"/>
  <c r="L169" i="49"/>
  <c r="K169" i="49"/>
  <c r="U168" i="49"/>
  <c r="N168" i="49"/>
  <c r="U167" i="49"/>
  <c r="N167" i="49"/>
  <c r="U166" i="49"/>
  <c r="N166" i="49"/>
  <c r="U165" i="49"/>
  <c r="N165" i="49"/>
  <c r="U164" i="49"/>
  <c r="N164" i="49"/>
  <c r="U163" i="49"/>
  <c r="N163" i="49"/>
  <c r="U162" i="49"/>
  <c r="N162" i="49"/>
  <c r="U161" i="49"/>
  <c r="N161" i="49"/>
  <c r="U160" i="49"/>
  <c r="N160" i="49"/>
  <c r="T159" i="49"/>
  <c r="S159" i="49"/>
  <c r="R159" i="49"/>
  <c r="Q159" i="49"/>
  <c r="Q155" i="49" s="1"/>
  <c r="P159" i="49"/>
  <c r="O159" i="49"/>
  <c r="M159" i="49"/>
  <c r="L159" i="49"/>
  <c r="K159" i="49"/>
  <c r="K154" i="49" s="1"/>
  <c r="U158" i="49"/>
  <c r="N158" i="49"/>
  <c r="U157" i="49"/>
  <c r="N157" i="49"/>
  <c r="U156" i="49"/>
  <c r="N156" i="49"/>
  <c r="U153" i="49"/>
  <c r="N153" i="49"/>
  <c r="U151" i="49"/>
  <c r="N151" i="49"/>
  <c r="T150" i="49"/>
  <c r="S150" i="49"/>
  <c r="R150" i="49"/>
  <c r="Q150" i="49"/>
  <c r="P150" i="49"/>
  <c r="O150" i="49"/>
  <c r="M150" i="49"/>
  <c r="L150" i="49"/>
  <c r="K150" i="49"/>
  <c r="U149" i="49"/>
  <c r="N149" i="49"/>
  <c r="T148" i="49"/>
  <c r="S148" i="49"/>
  <c r="S145" i="49" s="1"/>
  <c r="R148" i="49"/>
  <c r="R145" i="49" s="1"/>
  <c r="Q148" i="49"/>
  <c r="Q145" i="49" s="1"/>
  <c r="P148" i="49"/>
  <c r="P145" i="49" s="1"/>
  <c r="O148" i="49"/>
  <c r="O145" i="49" s="1"/>
  <c r="O144" i="49" s="1"/>
  <c r="O143" i="49" s="1"/>
  <c r="M148" i="49"/>
  <c r="L148" i="49"/>
  <c r="L145" i="49" s="1"/>
  <c r="K148" i="49"/>
  <c r="K145" i="49" s="1"/>
  <c r="U147" i="49"/>
  <c r="N147" i="49"/>
  <c r="U146" i="49"/>
  <c r="N146" i="49"/>
  <c r="U140" i="49"/>
  <c r="N140" i="49"/>
  <c r="U139" i="49"/>
  <c r="N139" i="49"/>
  <c r="U138" i="49"/>
  <c r="N138" i="49"/>
  <c r="T137" i="49"/>
  <c r="S137" i="49"/>
  <c r="R137" i="49"/>
  <c r="Q137" i="49"/>
  <c r="P137" i="49"/>
  <c r="O137" i="49"/>
  <c r="M137" i="49"/>
  <c r="L137" i="49"/>
  <c r="K137" i="49"/>
  <c r="U136" i="49"/>
  <c r="N136" i="49"/>
  <c r="P136" i="49" s="1"/>
  <c r="U135" i="49"/>
  <c r="N135" i="49"/>
  <c r="U134" i="49"/>
  <c r="N134" i="49"/>
  <c r="U133" i="49"/>
  <c r="N133" i="49"/>
  <c r="U132" i="49"/>
  <c r="N132" i="49"/>
  <c r="U131" i="49"/>
  <c r="N131" i="49"/>
  <c r="T130" i="49"/>
  <c r="S130" i="49"/>
  <c r="R130" i="49"/>
  <c r="Q130" i="49"/>
  <c r="P130" i="49"/>
  <c r="O130" i="49"/>
  <c r="M130" i="49"/>
  <c r="L130" i="49"/>
  <c r="K130" i="49"/>
  <c r="U129" i="49"/>
  <c r="N129" i="49"/>
  <c r="U128" i="49"/>
  <c r="N128" i="49"/>
  <c r="U127" i="49"/>
  <c r="N127" i="49"/>
  <c r="O127" i="49" s="1"/>
  <c r="O126" i="49" s="1"/>
  <c r="T126" i="49"/>
  <c r="S126" i="49"/>
  <c r="R126" i="49"/>
  <c r="Q126" i="49"/>
  <c r="P126" i="49"/>
  <c r="M126" i="49"/>
  <c r="L126" i="49"/>
  <c r="K126" i="49"/>
  <c r="U124" i="49"/>
  <c r="N124" i="49"/>
  <c r="U123" i="49"/>
  <c r="N123" i="49"/>
  <c r="T122" i="49"/>
  <c r="S122" i="49"/>
  <c r="R122" i="49"/>
  <c r="Q122" i="49"/>
  <c r="P122" i="49"/>
  <c r="O122" i="49"/>
  <c r="M122" i="49"/>
  <c r="L122" i="49"/>
  <c r="K122" i="49"/>
  <c r="U121" i="49"/>
  <c r="N121" i="49"/>
  <c r="U120" i="49"/>
  <c r="N120" i="49"/>
  <c r="T119" i="49"/>
  <c r="S119" i="49"/>
  <c r="R119" i="49"/>
  <c r="Q119" i="49"/>
  <c r="P119" i="49"/>
  <c r="O119" i="49"/>
  <c r="M119" i="49"/>
  <c r="L119" i="49"/>
  <c r="K119" i="49"/>
  <c r="U118" i="49"/>
  <c r="N118" i="49"/>
  <c r="P118" i="49" s="1"/>
  <c r="U117" i="49"/>
  <c r="N117" i="49"/>
  <c r="P117" i="49" s="1"/>
  <c r="T116" i="49"/>
  <c r="S116" i="49"/>
  <c r="R116" i="49"/>
  <c r="Q116" i="49"/>
  <c r="O116" i="49"/>
  <c r="M116" i="49"/>
  <c r="L116" i="49"/>
  <c r="K116" i="49"/>
  <c r="U115" i="49"/>
  <c r="N115" i="49"/>
  <c r="P115" i="49" s="1"/>
  <c r="U114" i="49"/>
  <c r="N114" i="49"/>
  <c r="P114" i="49" s="1"/>
  <c r="T113" i="49"/>
  <c r="S113" i="49"/>
  <c r="R113" i="49"/>
  <c r="R112" i="49" s="1"/>
  <c r="Q113" i="49"/>
  <c r="O113" i="49"/>
  <c r="M113" i="49"/>
  <c r="L113" i="49"/>
  <c r="K113" i="49"/>
  <c r="U109" i="49"/>
  <c r="N109" i="49"/>
  <c r="U108" i="49"/>
  <c r="N108" i="49"/>
  <c r="T107" i="49"/>
  <c r="S107" i="49"/>
  <c r="R107" i="49"/>
  <c r="Q107" i="49"/>
  <c r="P107" i="49"/>
  <c r="O107" i="49"/>
  <c r="M107" i="49"/>
  <c r="L107" i="49"/>
  <c r="K107" i="49"/>
  <c r="U106" i="49"/>
  <c r="N106" i="49"/>
  <c r="U105" i="49"/>
  <c r="N105" i="49"/>
  <c r="T104" i="49"/>
  <c r="S104" i="49"/>
  <c r="R104" i="49"/>
  <c r="Q104" i="49"/>
  <c r="P104" i="49"/>
  <c r="O104" i="49"/>
  <c r="M104" i="49"/>
  <c r="L104" i="49"/>
  <c r="K104" i="49"/>
  <c r="U103" i="49"/>
  <c r="N103" i="49"/>
  <c r="U102" i="49"/>
  <c r="N102" i="49"/>
  <c r="T101" i="49"/>
  <c r="S101" i="49"/>
  <c r="R101" i="49"/>
  <c r="Q101" i="49"/>
  <c r="P101" i="49"/>
  <c r="O101" i="49"/>
  <c r="M101" i="49"/>
  <c r="L101" i="49"/>
  <c r="K101" i="49"/>
  <c r="U100" i="49"/>
  <c r="N100" i="49"/>
  <c r="U99" i="49"/>
  <c r="N99" i="49"/>
  <c r="T98" i="49"/>
  <c r="S98" i="49"/>
  <c r="R98" i="49"/>
  <c r="Q98" i="49"/>
  <c r="P98" i="49"/>
  <c r="O98" i="49"/>
  <c r="M98" i="49"/>
  <c r="L98" i="49"/>
  <c r="K98" i="49"/>
  <c r="U96" i="49"/>
  <c r="N96" i="49"/>
  <c r="U95" i="49"/>
  <c r="N95" i="49"/>
  <c r="T94" i="49"/>
  <c r="S94" i="49"/>
  <c r="R94" i="49"/>
  <c r="Q94" i="49"/>
  <c r="P94" i="49"/>
  <c r="O94" i="49"/>
  <c r="M94" i="49"/>
  <c r="L94" i="49"/>
  <c r="K94" i="49"/>
  <c r="U93" i="49"/>
  <c r="N93" i="49"/>
  <c r="U92" i="49"/>
  <c r="N92" i="49"/>
  <c r="T91" i="49"/>
  <c r="U91" i="49" s="1"/>
  <c r="S91" i="49"/>
  <c r="R91" i="49"/>
  <c r="Q91" i="49"/>
  <c r="P91" i="49"/>
  <c r="O91" i="49"/>
  <c r="M91" i="49"/>
  <c r="L91" i="49"/>
  <c r="K91" i="49"/>
  <c r="U90" i="49"/>
  <c r="N90" i="49"/>
  <c r="U89" i="49"/>
  <c r="N89" i="49"/>
  <c r="T88" i="49"/>
  <c r="S88" i="49"/>
  <c r="R88" i="49"/>
  <c r="Q88" i="49"/>
  <c r="P88" i="49"/>
  <c r="O88" i="49"/>
  <c r="M88" i="49"/>
  <c r="L88" i="49"/>
  <c r="K88" i="49"/>
  <c r="U83" i="49"/>
  <c r="N83" i="49"/>
  <c r="U82" i="49"/>
  <c r="N82" i="49"/>
  <c r="T81" i="49"/>
  <c r="S81" i="49"/>
  <c r="R81" i="49"/>
  <c r="Q81" i="49"/>
  <c r="P81" i="49"/>
  <c r="O81" i="49"/>
  <c r="M81" i="49"/>
  <c r="L81" i="49"/>
  <c r="K81" i="49"/>
  <c r="U80" i="49"/>
  <c r="N80" i="49"/>
  <c r="Q80" i="49" s="1"/>
  <c r="U79" i="49"/>
  <c r="O79" i="49"/>
  <c r="N79" i="49"/>
  <c r="Q79" i="49" s="1"/>
  <c r="T78" i="49"/>
  <c r="S78" i="49"/>
  <c r="S77" i="49" s="1"/>
  <c r="R78" i="49"/>
  <c r="R77" i="49" s="1"/>
  <c r="P78" i="49"/>
  <c r="P77" i="49" s="1"/>
  <c r="M78" i="49"/>
  <c r="M77" i="49" s="1"/>
  <c r="M76" i="49" s="1"/>
  <c r="L78" i="49"/>
  <c r="L77" i="49" s="1"/>
  <c r="L76" i="49" s="1"/>
  <c r="K78" i="49"/>
  <c r="K77" i="49" s="1"/>
  <c r="U75" i="49"/>
  <c r="N75" i="49"/>
  <c r="U74" i="49"/>
  <c r="N74" i="49"/>
  <c r="T73" i="49"/>
  <c r="S73" i="49"/>
  <c r="R73" i="49"/>
  <c r="P73" i="49"/>
  <c r="M73" i="49"/>
  <c r="L73" i="49"/>
  <c r="K73" i="49"/>
  <c r="U72" i="49"/>
  <c r="N72" i="49"/>
  <c r="U71" i="49"/>
  <c r="N71" i="49"/>
  <c r="T70" i="49"/>
  <c r="S70" i="49"/>
  <c r="R70" i="49"/>
  <c r="Q70" i="49"/>
  <c r="P70" i="49"/>
  <c r="O70" i="49"/>
  <c r="M70" i="49"/>
  <c r="L70" i="49"/>
  <c r="K70" i="49"/>
  <c r="U69" i="49"/>
  <c r="N69" i="49"/>
  <c r="U68" i="49"/>
  <c r="N68" i="49"/>
  <c r="T67" i="49"/>
  <c r="S67" i="49"/>
  <c r="R67" i="49"/>
  <c r="Q67" i="49"/>
  <c r="P67" i="49"/>
  <c r="O67" i="49"/>
  <c r="M67" i="49"/>
  <c r="L67" i="49"/>
  <c r="K67" i="49"/>
  <c r="U66" i="49"/>
  <c r="N66" i="49"/>
  <c r="U65" i="49"/>
  <c r="N65" i="49"/>
  <c r="T64" i="49"/>
  <c r="S64" i="49"/>
  <c r="R64" i="49"/>
  <c r="Q64" i="49"/>
  <c r="P64" i="49"/>
  <c r="O64" i="49"/>
  <c r="M64" i="49"/>
  <c r="L64" i="49"/>
  <c r="K64" i="49"/>
  <c r="U63" i="49"/>
  <c r="N63" i="49"/>
  <c r="U62" i="49"/>
  <c r="N62" i="49"/>
  <c r="T61" i="49"/>
  <c r="U61" i="49" s="1"/>
  <c r="S61" i="49"/>
  <c r="R61" i="49"/>
  <c r="Q61" i="49"/>
  <c r="P61" i="49"/>
  <c r="O61" i="49"/>
  <c r="M61" i="49"/>
  <c r="L61" i="49"/>
  <c r="K61" i="49"/>
  <c r="U60" i="49"/>
  <c r="N60" i="49"/>
  <c r="U59" i="49"/>
  <c r="N59" i="49"/>
  <c r="T58" i="49"/>
  <c r="S58" i="49"/>
  <c r="R58" i="49"/>
  <c r="Q58" i="49"/>
  <c r="P58" i="49"/>
  <c r="O58" i="49"/>
  <c r="M58" i="49"/>
  <c r="L58" i="49"/>
  <c r="K58" i="49"/>
  <c r="U57" i="49"/>
  <c r="N57" i="49"/>
  <c r="Q57" i="49" s="1"/>
  <c r="U56" i="49"/>
  <c r="N56" i="49"/>
  <c r="Q56" i="49" s="1"/>
  <c r="T55" i="49"/>
  <c r="S55" i="49"/>
  <c r="R55" i="49"/>
  <c r="P55" i="49"/>
  <c r="M55" i="49"/>
  <c r="L55" i="49"/>
  <c r="K55" i="49"/>
  <c r="U54" i="49"/>
  <c r="N54" i="49"/>
  <c r="U53" i="49"/>
  <c r="N53" i="49"/>
  <c r="Q53" i="49" s="1"/>
  <c r="T52" i="49"/>
  <c r="S52" i="49"/>
  <c r="R52" i="49"/>
  <c r="P52" i="49"/>
  <c r="M52" i="49"/>
  <c r="L52" i="49"/>
  <c r="K52" i="49"/>
  <c r="U50" i="49"/>
  <c r="N50" i="49"/>
  <c r="U49" i="49"/>
  <c r="N49" i="49"/>
  <c r="T48" i="49"/>
  <c r="S48" i="49"/>
  <c r="R48" i="49"/>
  <c r="Q48" i="49"/>
  <c r="P48" i="49"/>
  <c r="O48" i="49"/>
  <c r="M48" i="49"/>
  <c r="L48" i="49"/>
  <c r="K48" i="49"/>
  <c r="U47" i="49"/>
  <c r="N47" i="49"/>
  <c r="U46" i="49"/>
  <c r="N46" i="49"/>
  <c r="T45" i="49"/>
  <c r="S45" i="49"/>
  <c r="R45" i="49"/>
  <c r="Q45" i="49"/>
  <c r="P45" i="49"/>
  <c r="O45" i="49"/>
  <c r="M45" i="49"/>
  <c r="L45" i="49"/>
  <c r="K45" i="49"/>
  <c r="U44" i="49"/>
  <c r="N44" i="49"/>
  <c r="Q44" i="49" s="1"/>
  <c r="U43" i="49"/>
  <c r="N43" i="49"/>
  <c r="Q43" i="49" s="1"/>
  <c r="T42" i="49"/>
  <c r="S42" i="49"/>
  <c r="R42" i="49"/>
  <c r="O42" i="49"/>
  <c r="M42" i="49"/>
  <c r="L42" i="49"/>
  <c r="K42" i="49"/>
  <c r="U41" i="49"/>
  <c r="N41" i="49"/>
  <c r="Q41" i="49" s="1"/>
  <c r="U40" i="49"/>
  <c r="N40" i="49"/>
  <c r="T39" i="49"/>
  <c r="S39" i="49"/>
  <c r="R39" i="49"/>
  <c r="O39" i="49"/>
  <c r="M39" i="49"/>
  <c r="L39" i="49"/>
  <c r="K39" i="49"/>
  <c r="U38" i="49"/>
  <c r="N38" i="49"/>
  <c r="P38" i="49" s="1"/>
  <c r="U37" i="49"/>
  <c r="N37" i="49"/>
  <c r="T36" i="49"/>
  <c r="S36" i="49"/>
  <c r="R36" i="49"/>
  <c r="O36" i="49"/>
  <c r="M36" i="49"/>
  <c r="L36" i="49"/>
  <c r="K36" i="49"/>
  <c r="U32" i="49"/>
  <c r="N32" i="49"/>
  <c r="U31" i="49"/>
  <c r="N31" i="49"/>
  <c r="T30" i="49"/>
  <c r="S30" i="49"/>
  <c r="R30" i="49"/>
  <c r="Q30" i="49"/>
  <c r="P30" i="49"/>
  <c r="O30" i="49"/>
  <c r="M30" i="49"/>
  <c r="L30" i="49"/>
  <c r="K30" i="49"/>
  <c r="U29" i="49"/>
  <c r="N29" i="49"/>
  <c r="O29" i="49" s="1"/>
  <c r="U28" i="49"/>
  <c r="N28" i="49"/>
  <c r="P28" i="49" s="1"/>
  <c r="T27" i="49"/>
  <c r="S27" i="49"/>
  <c r="R27" i="49"/>
  <c r="M27" i="49"/>
  <c r="L27" i="49"/>
  <c r="K27" i="49"/>
  <c r="U26" i="49"/>
  <c r="N26" i="49"/>
  <c r="P26" i="49" s="1"/>
  <c r="U25" i="49"/>
  <c r="N25" i="49"/>
  <c r="T24" i="49"/>
  <c r="S24" i="49"/>
  <c r="R24" i="49"/>
  <c r="M24" i="49"/>
  <c r="L24" i="49"/>
  <c r="K24" i="49"/>
  <c r="U23" i="49"/>
  <c r="N23" i="49"/>
  <c r="U22" i="49"/>
  <c r="N22" i="49"/>
  <c r="T21" i="49"/>
  <c r="S21" i="49"/>
  <c r="R21" i="49"/>
  <c r="Q21" i="49"/>
  <c r="P21" i="49"/>
  <c r="O21" i="49"/>
  <c r="M21" i="49"/>
  <c r="L21" i="49"/>
  <c r="K21" i="49"/>
  <c r="U16" i="49"/>
  <c r="N16" i="49"/>
  <c r="U15" i="49"/>
  <c r="N15" i="49"/>
  <c r="T14" i="49"/>
  <c r="S14" i="49"/>
  <c r="R14" i="49"/>
  <c r="Q14" i="49"/>
  <c r="P14" i="49"/>
  <c r="O14" i="49"/>
  <c r="M14" i="49"/>
  <c r="L14" i="49"/>
  <c r="K14" i="49"/>
  <c r="U13" i="49"/>
  <c r="N13" i="49"/>
  <c r="U12" i="49"/>
  <c r="N12" i="49"/>
  <c r="T11" i="49"/>
  <c r="S11" i="49"/>
  <c r="R11" i="49"/>
  <c r="Q11" i="49"/>
  <c r="P11" i="49"/>
  <c r="O11" i="49"/>
  <c r="M11" i="49"/>
  <c r="L11" i="49"/>
  <c r="K11" i="49"/>
  <c r="AB165" i="37"/>
  <c r="AB164" i="37" s="1"/>
  <c r="AB163" i="37" s="1"/>
  <c r="AB162" i="37" s="1"/>
  <c r="AB161" i="37" s="1"/>
  <c r="AA165" i="37"/>
  <c r="AA164" i="37" s="1"/>
  <c r="AA163" i="37" s="1"/>
  <c r="AA162" i="37" s="1"/>
  <c r="AA161" i="37" s="1"/>
  <c r="Z165" i="37"/>
  <c r="Z164" i="37" s="1"/>
  <c r="Z163" i="37" s="1"/>
  <c r="Z162" i="37" s="1"/>
  <c r="Z161" i="37" s="1"/>
  <c r="Y165" i="37"/>
  <c r="Y164" i="37" s="1"/>
  <c r="Y163" i="37" s="1"/>
  <c r="Y162" i="37" s="1"/>
  <c r="Y161" i="37" s="1"/>
  <c r="X164" i="37"/>
  <c r="W164" i="37"/>
  <c r="W163" i="37" s="1"/>
  <c r="W162" i="37" s="1"/>
  <c r="W161" i="37" s="1"/>
  <c r="V164" i="37"/>
  <c r="V163" i="37" s="1"/>
  <c r="V162" i="37" s="1"/>
  <c r="V161" i="37" s="1"/>
  <c r="U164" i="37"/>
  <c r="U163" i="37" s="1"/>
  <c r="U162" i="37" s="1"/>
  <c r="U161" i="37" s="1"/>
  <c r="T164" i="37"/>
  <c r="T163" i="37" s="1"/>
  <c r="T162" i="37" s="1"/>
  <c r="T161" i="37" s="1"/>
  <c r="S164" i="37"/>
  <c r="R164" i="37"/>
  <c r="R163" i="37" s="1"/>
  <c r="R162" i="37" s="1"/>
  <c r="R161" i="37" s="1"/>
  <c r="Q164" i="37"/>
  <c r="Q163" i="37" s="1"/>
  <c r="Q162" i="37" s="1"/>
  <c r="Q161" i="37" s="1"/>
  <c r="P164" i="37"/>
  <c r="O164" i="37"/>
  <c r="N164" i="37"/>
  <c r="N163" i="37" s="1"/>
  <c r="N162" i="37" s="1"/>
  <c r="N161" i="37" s="1"/>
  <c r="M164" i="37"/>
  <c r="M163" i="37" s="1"/>
  <c r="M162" i="37" s="1"/>
  <c r="M161" i="37" s="1"/>
  <c r="L164" i="37"/>
  <c r="K164" i="37"/>
  <c r="J164" i="37"/>
  <c r="J163" i="37" s="1"/>
  <c r="J162" i="37" s="1"/>
  <c r="J161" i="37" s="1"/>
  <c r="I164" i="37"/>
  <c r="I163" i="37" s="1"/>
  <c r="I162" i="37" s="1"/>
  <c r="I161" i="37" s="1"/>
  <c r="X163" i="37"/>
  <c r="X162" i="37" s="1"/>
  <c r="X161" i="37" s="1"/>
  <c r="S163" i="37"/>
  <c r="S162" i="37" s="1"/>
  <c r="S161" i="37" s="1"/>
  <c r="P163" i="37"/>
  <c r="P162" i="37" s="1"/>
  <c r="P161" i="37" s="1"/>
  <c r="O163" i="37"/>
  <c r="L163" i="37"/>
  <c r="K163" i="37"/>
  <c r="K162" i="37" s="1"/>
  <c r="K161" i="37" s="1"/>
  <c r="O162" i="37"/>
  <c r="O161" i="37" s="1"/>
  <c r="L162" i="37"/>
  <c r="L161" i="37" s="1"/>
  <c r="AB160" i="37"/>
  <c r="AB159" i="37" s="1"/>
  <c r="AB158" i="37" s="1"/>
  <c r="AB157" i="37" s="1"/>
  <c r="AA160" i="37"/>
  <c r="Z160" i="37"/>
  <c r="Z159" i="37" s="1"/>
  <c r="Z158" i="37" s="1"/>
  <c r="Z157" i="37" s="1"/>
  <c r="Y160" i="37"/>
  <c r="Y159" i="37" s="1"/>
  <c r="Y158" i="37" s="1"/>
  <c r="Y157" i="37" s="1"/>
  <c r="AA159" i="37"/>
  <c r="AA158" i="37" s="1"/>
  <c r="AA157" i="37" s="1"/>
  <c r="X159" i="37"/>
  <c r="W159" i="37"/>
  <c r="V159" i="37"/>
  <c r="U159" i="37"/>
  <c r="U158" i="37" s="1"/>
  <c r="U157" i="37" s="1"/>
  <c r="T159" i="37"/>
  <c r="S159" i="37"/>
  <c r="R159" i="37"/>
  <c r="Q159" i="37"/>
  <c r="Q158" i="37" s="1"/>
  <c r="Q157" i="37" s="1"/>
  <c r="P159" i="37"/>
  <c r="P158" i="37" s="1"/>
  <c r="P157" i="37" s="1"/>
  <c r="O159" i="37"/>
  <c r="O158" i="37" s="1"/>
  <c r="O157" i="37" s="1"/>
  <c r="N159" i="37"/>
  <c r="M159" i="37"/>
  <c r="L159" i="37"/>
  <c r="L158" i="37" s="1"/>
  <c r="L157" i="37" s="1"/>
  <c r="K159" i="37"/>
  <c r="K158" i="37" s="1"/>
  <c r="K157" i="37" s="1"/>
  <c r="J159" i="37"/>
  <c r="J158" i="37" s="1"/>
  <c r="J157" i="37" s="1"/>
  <c r="I159" i="37"/>
  <c r="I158" i="37" s="1"/>
  <c r="I157" i="37" s="1"/>
  <c r="X158" i="37"/>
  <c r="X157" i="37" s="1"/>
  <c r="W158" i="37"/>
  <c r="W157" i="37" s="1"/>
  <c r="V158" i="37"/>
  <c r="T158" i="37"/>
  <c r="T157" i="37" s="1"/>
  <c r="S158" i="37"/>
  <c r="S157" i="37" s="1"/>
  <c r="R158" i="37"/>
  <c r="R157" i="37" s="1"/>
  <c r="N158" i="37"/>
  <c r="N157" i="37" s="1"/>
  <c r="M158" i="37"/>
  <c r="M157" i="37" s="1"/>
  <c r="V157" i="37"/>
  <c r="AB156" i="37"/>
  <c r="AB155" i="37" s="1"/>
  <c r="AB154" i="37" s="1"/>
  <c r="AB153" i="37" s="1"/>
  <c r="AA156" i="37"/>
  <c r="AA155" i="37" s="1"/>
  <c r="AA154" i="37" s="1"/>
  <c r="AA153" i="37" s="1"/>
  <c r="Z156" i="37"/>
  <c r="Z155" i="37" s="1"/>
  <c r="Z154" i="37" s="1"/>
  <c r="Z153" i="37" s="1"/>
  <c r="Y156" i="37"/>
  <c r="Y155" i="37"/>
  <c r="Y154" i="37" s="1"/>
  <c r="Y153" i="37" s="1"/>
  <c r="X155" i="37"/>
  <c r="X154" i="37" s="1"/>
  <c r="X153" i="37" s="1"/>
  <c r="W155" i="37"/>
  <c r="W154" i="37" s="1"/>
  <c r="W153" i="37" s="1"/>
  <c r="V155" i="37"/>
  <c r="U155" i="37"/>
  <c r="T155" i="37"/>
  <c r="T154" i="37" s="1"/>
  <c r="T153" i="37" s="1"/>
  <c r="S155" i="37"/>
  <c r="S154" i="37" s="1"/>
  <c r="S153" i="37" s="1"/>
  <c r="R155" i="37"/>
  <c r="Q155" i="37"/>
  <c r="P155" i="37"/>
  <c r="O155" i="37"/>
  <c r="O154" i="37" s="1"/>
  <c r="O153" i="37" s="1"/>
  <c r="N155" i="37"/>
  <c r="N154" i="37" s="1"/>
  <c r="N153" i="37" s="1"/>
  <c r="M155" i="37"/>
  <c r="L155" i="37"/>
  <c r="L154" i="37" s="1"/>
  <c r="L153" i="37" s="1"/>
  <c r="K155" i="37"/>
  <c r="K154" i="37" s="1"/>
  <c r="K153" i="37" s="1"/>
  <c r="J155" i="37"/>
  <c r="I155" i="37"/>
  <c r="I154" i="37" s="1"/>
  <c r="I153" i="37" s="1"/>
  <c r="V154" i="37"/>
  <c r="V153" i="37" s="1"/>
  <c r="U154" i="37"/>
  <c r="U153" i="37" s="1"/>
  <c r="R154" i="37"/>
  <c r="R153" i="37" s="1"/>
  <c r="Q154" i="37"/>
  <c r="P154" i="37"/>
  <c r="P153" i="37" s="1"/>
  <c r="M154" i="37"/>
  <c r="M153" i="37" s="1"/>
  <c r="J154" i="37"/>
  <c r="Q153" i="37"/>
  <c r="J153" i="37"/>
  <c r="AB152" i="37"/>
  <c r="AB151" i="37" s="1"/>
  <c r="AB150" i="37" s="1"/>
  <c r="AB149" i="37" s="1"/>
  <c r="AA152" i="37"/>
  <c r="AA151" i="37" s="1"/>
  <c r="AA150" i="37" s="1"/>
  <c r="AA149" i="37" s="1"/>
  <c r="Z152" i="37"/>
  <c r="Z151" i="37" s="1"/>
  <c r="Z150" i="37" s="1"/>
  <c r="Z149" i="37" s="1"/>
  <c r="Y152" i="37"/>
  <c r="Y151" i="37" s="1"/>
  <c r="Y150" i="37" s="1"/>
  <c r="Y149" i="37" s="1"/>
  <c r="X151" i="37"/>
  <c r="X150" i="37" s="1"/>
  <c r="X149" i="37" s="1"/>
  <c r="W151" i="37"/>
  <c r="W150" i="37" s="1"/>
  <c r="W149" i="37" s="1"/>
  <c r="V151" i="37"/>
  <c r="V150" i="37" s="1"/>
  <c r="V149" i="37" s="1"/>
  <c r="U151" i="37"/>
  <c r="U150" i="37" s="1"/>
  <c r="U149" i="37" s="1"/>
  <c r="T151" i="37"/>
  <c r="S151" i="37"/>
  <c r="S150" i="37" s="1"/>
  <c r="S149" i="37" s="1"/>
  <c r="R151" i="37"/>
  <c r="Q151" i="37"/>
  <c r="Q150" i="37" s="1"/>
  <c r="Q149" i="37" s="1"/>
  <c r="P151" i="37"/>
  <c r="P150" i="37" s="1"/>
  <c r="P149" i="37" s="1"/>
  <c r="O151" i="37"/>
  <c r="O150" i="37" s="1"/>
  <c r="O149" i="37" s="1"/>
  <c r="N151" i="37"/>
  <c r="N150" i="37" s="1"/>
  <c r="N149" i="37" s="1"/>
  <c r="M151" i="37"/>
  <c r="L151" i="37"/>
  <c r="K151" i="37"/>
  <c r="J151" i="37"/>
  <c r="J150" i="37" s="1"/>
  <c r="J149" i="37" s="1"/>
  <c r="I151" i="37"/>
  <c r="I150" i="37" s="1"/>
  <c r="I149" i="37" s="1"/>
  <c r="T150" i="37"/>
  <c r="T149" i="37" s="1"/>
  <c r="R150" i="37"/>
  <c r="R149" i="37" s="1"/>
  <c r="M150" i="37"/>
  <c r="M149" i="37" s="1"/>
  <c r="L150" i="37"/>
  <c r="L149" i="37" s="1"/>
  <c r="K150" i="37"/>
  <c r="K149" i="37" s="1"/>
  <c r="AB148" i="37"/>
  <c r="AB147" i="37" s="1"/>
  <c r="AB146" i="37" s="1"/>
  <c r="AB145" i="37" s="1"/>
  <c r="AA148" i="37"/>
  <c r="AA147" i="37" s="1"/>
  <c r="AA146" i="37" s="1"/>
  <c r="AA145" i="37" s="1"/>
  <c r="Z148" i="37"/>
  <c r="Z147" i="37" s="1"/>
  <c r="Z146" i="37" s="1"/>
  <c r="Z145" i="37" s="1"/>
  <c r="Y148" i="37"/>
  <c r="Y147" i="37"/>
  <c r="Y146" i="37" s="1"/>
  <c r="Y145" i="37" s="1"/>
  <c r="X147" i="37"/>
  <c r="X146" i="37" s="1"/>
  <c r="X145" i="37" s="1"/>
  <c r="W147" i="37"/>
  <c r="W146" i="37" s="1"/>
  <c r="W145" i="37" s="1"/>
  <c r="V147" i="37"/>
  <c r="U147" i="37"/>
  <c r="U146" i="37" s="1"/>
  <c r="U145" i="37" s="1"/>
  <c r="T147" i="37"/>
  <c r="T146" i="37" s="1"/>
  <c r="T145" i="37" s="1"/>
  <c r="S147" i="37"/>
  <c r="S146" i="37" s="1"/>
  <c r="S145" i="37" s="1"/>
  <c r="R147" i="37"/>
  <c r="Q147" i="37"/>
  <c r="P147" i="37"/>
  <c r="P146" i="37" s="1"/>
  <c r="P145" i="37" s="1"/>
  <c r="O147" i="37"/>
  <c r="O146" i="37" s="1"/>
  <c r="O145" i="37" s="1"/>
  <c r="N147" i="37"/>
  <c r="N146" i="37" s="1"/>
  <c r="N145" i="37" s="1"/>
  <c r="M147" i="37"/>
  <c r="M146" i="37" s="1"/>
  <c r="M145" i="37" s="1"/>
  <c r="L147" i="37"/>
  <c r="K147" i="37"/>
  <c r="K146" i="37" s="1"/>
  <c r="K145" i="37" s="1"/>
  <c r="J147" i="37"/>
  <c r="I147" i="37"/>
  <c r="I146" i="37" s="1"/>
  <c r="I145" i="37" s="1"/>
  <c r="V146" i="37"/>
  <c r="V145" i="37" s="1"/>
  <c r="R146" i="37"/>
  <c r="R145" i="37" s="1"/>
  <c r="Q146" i="37"/>
  <c r="Q145" i="37" s="1"/>
  <c r="L146" i="37"/>
  <c r="L145" i="37" s="1"/>
  <c r="J146" i="37"/>
  <c r="J145" i="37" s="1"/>
  <c r="AB144" i="37"/>
  <c r="AB143" i="37" s="1"/>
  <c r="AB142" i="37" s="1"/>
  <c r="AB141" i="37" s="1"/>
  <c r="AA144" i="37"/>
  <c r="AA143" i="37" s="1"/>
  <c r="AA142" i="37" s="1"/>
  <c r="AA141" i="37" s="1"/>
  <c r="Z144" i="37"/>
  <c r="Z143" i="37" s="1"/>
  <c r="Z142" i="37" s="1"/>
  <c r="Z141" i="37" s="1"/>
  <c r="Y144" i="37"/>
  <c r="Y143" i="37" s="1"/>
  <c r="Y142" i="37" s="1"/>
  <c r="Y141" i="37" s="1"/>
  <c r="X143" i="37"/>
  <c r="X142" i="37" s="1"/>
  <c r="X141" i="37" s="1"/>
  <c r="W143" i="37"/>
  <c r="W142" i="37" s="1"/>
  <c r="W141" i="37" s="1"/>
  <c r="V143" i="37"/>
  <c r="V142" i="37" s="1"/>
  <c r="V141" i="37" s="1"/>
  <c r="U143" i="37"/>
  <c r="U142" i="37" s="1"/>
  <c r="U141" i="37" s="1"/>
  <c r="T143" i="37"/>
  <c r="T142" i="37" s="1"/>
  <c r="T141" i="37" s="1"/>
  <c r="S143" i="37"/>
  <c r="R143" i="37"/>
  <c r="R142" i="37" s="1"/>
  <c r="R141" i="37" s="1"/>
  <c r="Q143" i="37"/>
  <c r="Q142" i="37" s="1"/>
  <c r="Q141" i="37" s="1"/>
  <c r="P143" i="37"/>
  <c r="P142" i="37" s="1"/>
  <c r="P141" i="37" s="1"/>
  <c r="O143" i="37"/>
  <c r="N143" i="37"/>
  <c r="N142" i="37" s="1"/>
  <c r="N141" i="37" s="1"/>
  <c r="M143" i="37"/>
  <c r="L143" i="37"/>
  <c r="L142" i="37" s="1"/>
  <c r="L141" i="37" s="1"/>
  <c r="K143" i="37"/>
  <c r="J143" i="37"/>
  <c r="J142" i="37" s="1"/>
  <c r="J141" i="37" s="1"/>
  <c r="I143" i="37"/>
  <c r="I142" i="37" s="1"/>
  <c r="I141" i="37" s="1"/>
  <c r="S142" i="37"/>
  <c r="S141" i="37" s="1"/>
  <c r="O142" i="37"/>
  <c r="O141" i="37" s="1"/>
  <c r="M142" i="37"/>
  <c r="M141" i="37" s="1"/>
  <c r="K142" i="37"/>
  <c r="K141" i="37" s="1"/>
  <c r="AB140" i="37"/>
  <c r="AB139" i="37" s="1"/>
  <c r="AB138" i="37" s="1"/>
  <c r="AB137" i="37" s="1"/>
  <c r="AA140" i="37"/>
  <c r="AA139" i="37" s="1"/>
  <c r="AA138" i="37" s="1"/>
  <c r="AA137" i="37" s="1"/>
  <c r="Z140" i="37"/>
  <c r="Z139" i="37" s="1"/>
  <c r="Z138" i="37" s="1"/>
  <c r="Z137" i="37" s="1"/>
  <c r="Y140" i="37"/>
  <c r="Y139" i="37" s="1"/>
  <c r="Y138" i="37" s="1"/>
  <c r="Y137" i="37" s="1"/>
  <c r="X139" i="37"/>
  <c r="W139" i="37"/>
  <c r="W138" i="37" s="1"/>
  <c r="W137" i="37" s="1"/>
  <c r="V139" i="37"/>
  <c r="V138" i="37" s="1"/>
  <c r="V137" i="37" s="1"/>
  <c r="U139" i="37"/>
  <c r="U138" i="37" s="1"/>
  <c r="U137" i="37" s="1"/>
  <c r="T139" i="37"/>
  <c r="T138" i="37" s="1"/>
  <c r="T137" i="37" s="1"/>
  <c r="S139" i="37"/>
  <c r="R139" i="37"/>
  <c r="R138" i="37" s="1"/>
  <c r="R137" i="37" s="1"/>
  <c r="Q139" i="37"/>
  <c r="Q138" i="37" s="1"/>
  <c r="Q137" i="37" s="1"/>
  <c r="P139" i="37"/>
  <c r="O139" i="37"/>
  <c r="O138" i="37" s="1"/>
  <c r="O137" i="37" s="1"/>
  <c r="N139" i="37"/>
  <c r="N138" i="37" s="1"/>
  <c r="N137" i="37" s="1"/>
  <c r="M139" i="37"/>
  <c r="M138" i="37" s="1"/>
  <c r="M137" i="37" s="1"/>
  <c r="L139" i="37"/>
  <c r="K139" i="37"/>
  <c r="K138" i="37" s="1"/>
  <c r="K137" i="37" s="1"/>
  <c r="J139" i="37"/>
  <c r="J138" i="37" s="1"/>
  <c r="J137" i="37" s="1"/>
  <c r="I139" i="37"/>
  <c r="I138" i="37" s="1"/>
  <c r="I137" i="37" s="1"/>
  <c r="X138" i="37"/>
  <c r="X137" i="37" s="1"/>
  <c r="S138" i="37"/>
  <c r="S137" i="37" s="1"/>
  <c r="P138" i="37"/>
  <c r="P137" i="37" s="1"/>
  <c r="L138" i="37"/>
  <c r="L137" i="37" s="1"/>
  <c r="AB136" i="37"/>
  <c r="AB135" i="37" s="1"/>
  <c r="AB134" i="37" s="1"/>
  <c r="AB133" i="37" s="1"/>
  <c r="AA136" i="37"/>
  <c r="AA135" i="37" s="1"/>
  <c r="AA134" i="37" s="1"/>
  <c r="AA133" i="37" s="1"/>
  <c r="Z136" i="37"/>
  <c r="Z135" i="37" s="1"/>
  <c r="Z134" i="37" s="1"/>
  <c r="Z133" i="37" s="1"/>
  <c r="Y136" i="37"/>
  <c r="Y135" i="37" s="1"/>
  <c r="Y134" i="37" s="1"/>
  <c r="Y133" i="37" s="1"/>
  <c r="X135" i="37"/>
  <c r="W135" i="37"/>
  <c r="W134" i="37" s="1"/>
  <c r="W133" i="37" s="1"/>
  <c r="V135" i="37"/>
  <c r="V134" i="37" s="1"/>
  <c r="V133" i="37" s="1"/>
  <c r="U135" i="37"/>
  <c r="T135" i="37"/>
  <c r="T134" i="37" s="1"/>
  <c r="T133" i="37" s="1"/>
  <c r="S135" i="37"/>
  <c r="S134" i="37" s="1"/>
  <c r="S133" i="37" s="1"/>
  <c r="R135" i="37"/>
  <c r="R134" i="37" s="1"/>
  <c r="R133" i="37" s="1"/>
  <c r="Q135" i="37"/>
  <c r="Q134" i="37" s="1"/>
  <c r="Q133" i="37" s="1"/>
  <c r="P135" i="37"/>
  <c r="P134" i="37" s="1"/>
  <c r="P133" i="37" s="1"/>
  <c r="O135" i="37"/>
  <c r="O134" i="37" s="1"/>
  <c r="O133" i="37" s="1"/>
  <c r="N135" i="37"/>
  <c r="N134" i="37" s="1"/>
  <c r="N133" i="37" s="1"/>
  <c r="M135" i="37"/>
  <c r="L135" i="37"/>
  <c r="L134" i="37" s="1"/>
  <c r="L133" i="37" s="1"/>
  <c r="K135" i="37"/>
  <c r="K134" i="37" s="1"/>
  <c r="K133" i="37" s="1"/>
  <c r="J135" i="37"/>
  <c r="J134" i="37" s="1"/>
  <c r="J133" i="37" s="1"/>
  <c r="I135" i="37"/>
  <c r="I134" i="37" s="1"/>
  <c r="I133" i="37" s="1"/>
  <c r="X134" i="37"/>
  <c r="X133" i="37" s="1"/>
  <c r="U134" i="37"/>
  <c r="U133" i="37" s="1"/>
  <c r="M134" i="37"/>
  <c r="M133" i="37" s="1"/>
  <c r="AB132" i="37"/>
  <c r="AB131" i="37" s="1"/>
  <c r="AB130" i="37" s="1"/>
  <c r="AB129" i="37" s="1"/>
  <c r="AA132" i="37"/>
  <c r="AA131" i="37" s="1"/>
  <c r="AA130" i="37" s="1"/>
  <c r="AA129" i="37" s="1"/>
  <c r="Z132" i="37"/>
  <c r="Z131" i="37" s="1"/>
  <c r="Z130" i="37" s="1"/>
  <c r="Z129" i="37" s="1"/>
  <c r="Y132" i="37"/>
  <c r="Y131" i="37" s="1"/>
  <c r="Y130" i="37" s="1"/>
  <c r="Y129" i="37" s="1"/>
  <c r="X131" i="37"/>
  <c r="W131" i="37"/>
  <c r="W130" i="37" s="1"/>
  <c r="W129" i="37" s="1"/>
  <c r="V131" i="37"/>
  <c r="V130" i="37" s="1"/>
  <c r="V129" i="37" s="1"/>
  <c r="U131" i="37"/>
  <c r="U130" i="37" s="1"/>
  <c r="U129" i="37" s="1"/>
  <c r="T131" i="37"/>
  <c r="T130" i="37" s="1"/>
  <c r="T129" i="37" s="1"/>
  <c r="S131" i="37"/>
  <c r="S130" i="37" s="1"/>
  <c r="S129" i="37" s="1"/>
  <c r="R131" i="37"/>
  <c r="Q131" i="37"/>
  <c r="P131" i="37"/>
  <c r="P130" i="37" s="1"/>
  <c r="P129" i="37" s="1"/>
  <c r="O131" i="37"/>
  <c r="O130" i="37" s="1"/>
  <c r="O129" i="37" s="1"/>
  <c r="N131" i="37"/>
  <c r="N130" i="37" s="1"/>
  <c r="N129" i="37" s="1"/>
  <c r="M131" i="37"/>
  <c r="M130" i="37" s="1"/>
  <c r="M129" i="37" s="1"/>
  <c r="L131" i="37"/>
  <c r="L130" i="37" s="1"/>
  <c r="L129" i="37" s="1"/>
  <c r="K131" i="37"/>
  <c r="K130" i="37" s="1"/>
  <c r="K129" i="37" s="1"/>
  <c r="J131" i="37"/>
  <c r="J130" i="37" s="1"/>
  <c r="J129" i="37" s="1"/>
  <c r="I131" i="37"/>
  <c r="X130" i="37"/>
  <c r="X129" i="37" s="1"/>
  <c r="R130" i="37"/>
  <c r="R129" i="37" s="1"/>
  <c r="Q130" i="37"/>
  <c r="I130" i="37"/>
  <c r="I129" i="37" s="1"/>
  <c r="Q129" i="37"/>
  <c r="AB128" i="37"/>
  <c r="AA128" i="37"/>
  <c r="AA127" i="37" s="1"/>
  <c r="AA126" i="37" s="1"/>
  <c r="AA125" i="37" s="1"/>
  <c r="Z128" i="37"/>
  <c r="Z127" i="37" s="1"/>
  <c r="Z126" i="37" s="1"/>
  <c r="Z125" i="37" s="1"/>
  <c r="Y128" i="37"/>
  <c r="Y127" i="37" s="1"/>
  <c r="Y126" i="37" s="1"/>
  <c r="Y125" i="37" s="1"/>
  <c r="AB127" i="37"/>
  <c r="X127" i="37"/>
  <c r="X126" i="37" s="1"/>
  <c r="X125" i="37" s="1"/>
  <c r="W127" i="37"/>
  <c r="V127" i="37"/>
  <c r="U127" i="37"/>
  <c r="T127" i="37"/>
  <c r="T126" i="37" s="1"/>
  <c r="T125" i="37" s="1"/>
  <c r="S127" i="37"/>
  <c r="S126" i="37" s="1"/>
  <c r="S125" i="37" s="1"/>
  <c r="R127" i="37"/>
  <c r="R126" i="37" s="1"/>
  <c r="R125" i="37" s="1"/>
  <c r="Q127" i="37"/>
  <c r="P127" i="37"/>
  <c r="P126" i="37" s="1"/>
  <c r="P125" i="37" s="1"/>
  <c r="O127" i="37"/>
  <c r="N127" i="37"/>
  <c r="M127" i="37"/>
  <c r="M126" i="37" s="1"/>
  <c r="M125" i="37" s="1"/>
  <c r="L127" i="37"/>
  <c r="L126" i="37" s="1"/>
  <c r="L125" i="37" s="1"/>
  <c r="K127" i="37"/>
  <c r="K126" i="37" s="1"/>
  <c r="K125" i="37" s="1"/>
  <c r="J127" i="37"/>
  <c r="J126" i="37" s="1"/>
  <c r="J125" i="37" s="1"/>
  <c r="I127" i="37"/>
  <c r="AB126" i="37"/>
  <c r="AB125" i="37" s="1"/>
  <c r="W126" i="37"/>
  <c r="W125" i="37" s="1"/>
  <c r="V126" i="37"/>
  <c r="V125" i="37" s="1"/>
  <c r="U126" i="37"/>
  <c r="U125" i="37" s="1"/>
  <c r="Q126" i="37"/>
  <c r="Q125" i="37" s="1"/>
  <c r="O126" i="37"/>
  <c r="O125" i="37" s="1"/>
  <c r="N126" i="37"/>
  <c r="N125" i="37" s="1"/>
  <c r="I126" i="37"/>
  <c r="I125" i="37" s="1"/>
  <c r="AB124" i="37"/>
  <c r="AA124" i="37"/>
  <c r="AA123" i="37" s="1"/>
  <c r="AA122" i="37" s="1"/>
  <c r="AA121" i="37" s="1"/>
  <c r="Z124" i="37"/>
  <c r="Z123" i="37" s="1"/>
  <c r="Z122" i="37" s="1"/>
  <c r="Z121" i="37" s="1"/>
  <c r="Y124" i="37"/>
  <c r="Y123" i="37" s="1"/>
  <c r="Y122" i="37" s="1"/>
  <c r="Y121" i="37" s="1"/>
  <c r="AB123" i="37"/>
  <c r="X123" i="37"/>
  <c r="X122" i="37" s="1"/>
  <c r="X121" i="37" s="1"/>
  <c r="W123" i="37"/>
  <c r="V123" i="37"/>
  <c r="U123" i="37"/>
  <c r="U122" i="37" s="1"/>
  <c r="U121" i="37" s="1"/>
  <c r="T123" i="37"/>
  <c r="T122" i="37" s="1"/>
  <c r="T121" i="37" s="1"/>
  <c r="S123" i="37"/>
  <c r="S122" i="37" s="1"/>
  <c r="S121" i="37" s="1"/>
  <c r="R123" i="37"/>
  <c r="Q123" i="37"/>
  <c r="Q122" i="37" s="1"/>
  <c r="Q121" i="37" s="1"/>
  <c r="P123" i="37"/>
  <c r="P122" i="37" s="1"/>
  <c r="P121" i="37" s="1"/>
  <c r="O123" i="37"/>
  <c r="N123" i="37"/>
  <c r="N122" i="37" s="1"/>
  <c r="N121" i="37" s="1"/>
  <c r="M123" i="37"/>
  <c r="M122" i="37" s="1"/>
  <c r="M121" i="37" s="1"/>
  <c r="L123" i="37"/>
  <c r="L122" i="37" s="1"/>
  <c r="L121" i="37" s="1"/>
  <c r="K123" i="37"/>
  <c r="K122" i="37" s="1"/>
  <c r="K121" i="37" s="1"/>
  <c r="J123" i="37"/>
  <c r="J122" i="37" s="1"/>
  <c r="J121" i="37" s="1"/>
  <c r="I123" i="37"/>
  <c r="I122" i="37" s="1"/>
  <c r="I121" i="37" s="1"/>
  <c r="AB122" i="37"/>
  <c r="AB121" i="37" s="1"/>
  <c r="W122" i="37"/>
  <c r="W121" i="37" s="1"/>
  <c r="V122" i="37"/>
  <c r="R122" i="37"/>
  <c r="O122" i="37"/>
  <c r="O121" i="37" s="1"/>
  <c r="V121" i="37"/>
  <c r="R121" i="37"/>
  <c r="AB119" i="37"/>
  <c r="AA119" i="37"/>
  <c r="Z119" i="37"/>
  <c r="Y119" i="37"/>
  <c r="Y118" i="37" s="1"/>
  <c r="Y117" i="37" s="1"/>
  <c r="Y116" i="37" s="1"/>
  <c r="AB118" i="37"/>
  <c r="AB117" i="37" s="1"/>
  <c r="AB116" i="37" s="1"/>
  <c r="AA118" i="37"/>
  <c r="AA117" i="37" s="1"/>
  <c r="AA116" i="37" s="1"/>
  <c r="Z118" i="37"/>
  <c r="Z117" i="37" s="1"/>
  <c r="Z116" i="37" s="1"/>
  <c r="X118" i="37"/>
  <c r="W118" i="37"/>
  <c r="V118" i="37"/>
  <c r="U118" i="37"/>
  <c r="U117" i="37" s="1"/>
  <c r="U116" i="37" s="1"/>
  <c r="T118" i="37"/>
  <c r="T117" i="37" s="1"/>
  <c r="T116" i="37" s="1"/>
  <c r="S118" i="37"/>
  <c r="S117" i="37" s="1"/>
  <c r="S116" i="37" s="1"/>
  <c r="R118" i="37"/>
  <c r="R117" i="37" s="1"/>
  <c r="R116" i="37" s="1"/>
  <c r="Q118" i="37"/>
  <c r="Q117" i="37" s="1"/>
  <c r="Q116" i="37" s="1"/>
  <c r="P118" i="37"/>
  <c r="P117" i="37" s="1"/>
  <c r="P116" i="37" s="1"/>
  <c r="O118" i="37"/>
  <c r="N118" i="37"/>
  <c r="M118" i="37"/>
  <c r="M117" i="37" s="1"/>
  <c r="M116" i="37" s="1"/>
  <c r="L118" i="37"/>
  <c r="L117" i="37" s="1"/>
  <c r="L116" i="37" s="1"/>
  <c r="K118" i="37"/>
  <c r="K117" i="37" s="1"/>
  <c r="K116" i="37" s="1"/>
  <c r="J118" i="37"/>
  <c r="J117" i="37" s="1"/>
  <c r="J116" i="37" s="1"/>
  <c r="I118" i="37"/>
  <c r="I117" i="37" s="1"/>
  <c r="I116" i="37" s="1"/>
  <c r="X117" i="37"/>
  <c r="X116" i="37" s="1"/>
  <c r="W117" i="37"/>
  <c r="W116" i="37" s="1"/>
  <c r="V117" i="37"/>
  <c r="V116" i="37" s="1"/>
  <c r="O117" i="37"/>
  <c r="O116" i="37" s="1"/>
  <c r="N117" i="37"/>
  <c r="N116" i="37" s="1"/>
  <c r="AB115" i="37"/>
  <c r="AA115" i="37"/>
  <c r="Z115" i="37"/>
  <c r="Z114" i="37" s="1"/>
  <c r="Z113" i="37" s="1"/>
  <c r="Z112" i="37" s="1"/>
  <c r="Y115" i="37"/>
  <c r="Y114" i="37" s="1"/>
  <c r="Y113" i="37" s="1"/>
  <c r="Y112" i="37" s="1"/>
  <c r="AB114" i="37"/>
  <c r="AA114" i="37"/>
  <c r="AA113" i="37" s="1"/>
  <c r="AA112" i="37" s="1"/>
  <c r="X114" i="37"/>
  <c r="X113" i="37" s="1"/>
  <c r="X112" i="37" s="1"/>
  <c r="W114" i="37"/>
  <c r="V114" i="37"/>
  <c r="V113" i="37" s="1"/>
  <c r="V112" i="37" s="1"/>
  <c r="U114" i="37"/>
  <c r="U113" i="37" s="1"/>
  <c r="U112" i="37" s="1"/>
  <c r="T114" i="37"/>
  <c r="T113" i="37" s="1"/>
  <c r="T112" i="37" s="1"/>
  <c r="S114" i="37"/>
  <c r="S113" i="37" s="1"/>
  <c r="S112" i="37" s="1"/>
  <c r="R114" i="37"/>
  <c r="R113" i="37" s="1"/>
  <c r="R112" i="37" s="1"/>
  <c r="Q114" i="37"/>
  <c r="Q113" i="37" s="1"/>
  <c r="Q112" i="37" s="1"/>
  <c r="P114" i="37"/>
  <c r="P113" i="37" s="1"/>
  <c r="P112" i="37" s="1"/>
  <c r="O114" i="37"/>
  <c r="N114" i="37"/>
  <c r="N113" i="37" s="1"/>
  <c r="N112" i="37" s="1"/>
  <c r="M114" i="37"/>
  <c r="M113" i="37" s="1"/>
  <c r="M112" i="37" s="1"/>
  <c r="L114" i="37"/>
  <c r="L113" i="37" s="1"/>
  <c r="L112" i="37" s="1"/>
  <c r="K114" i="37"/>
  <c r="J114" i="37"/>
  <c r="J113" i="37" s="1"/>
  <c r="J112" i="37" s="1"/>
  <c r="I114" i="37"/>
  <c r="I113" i="37" s="1"/>
  <c r="I112" i="37" s="1"/>
  <c r="AB113" i="37"/>
  <c r="AB112" i="37" s="1"/>
  <c r="W113" i="37"/>
  <c r="W112" i="37" s="1"/>
  <c r="O113" i="37"/>
  <c r="O112" i="37" s="1"/>
  <c r="K113" i="37"/>
  <c r="K112" i="37" s="1"/>
  <c r="AB111" i="37"/>
  <c r="AB110" i="37" s="1"/>
  <c r="AB109" i="37" s="1"/>
  <c r="AB108" i="37" s="1"/>
  <c r="AA111" i="37"/>
  <c r="Z111" i="37"/>
  <c r="Z110" i="37" s="1"/>
  <c r="Z109" i="37" s="1"/>
  <c r="Z108" i="37" s="1"/>
  <c r="Y111" i="37"/>
  <c r="Y110" i="37" s="1"/>
  <c r="Y109" i="37" s="1"/>
  <c r="Y108" i="37" s="1"/>
  <c r="AA110" i="37"/>
  <c r="AA109" i="37" s="1"/>
  <c r="AA108" i="37" s="1"/>
  <c r="X110" i="37"/>
  <c r="X109" i="37" s="1"/>
  <c r="X108" i="37" s="1"/>
  <c r="W110" i="37"/>
  <c r="W109" i="37" s="1"/>
  <c r="W108" i="37" s="1"/>
  <c r="V110" i="37"/>
  <c r="V109" i="37" s="1"/>
  <c r="V108" i="37" s="1"/>
  <c r="U110" i="37"/>
  <c r="U109" i="37" s="1"/>
  <c r="U108" i="37" s="1"/>
  <c r="T110" i="37"/>
  <c r="T109" i="37" s="1"/>
  <c r="T108" i="37" s="1"/>
  <c r="S110" i="37"/>
  <c r="R110" i="37"/>
  <c r="R109" i="37" s="1"/>
  <c r="R108" i="37" s="1"/>
  <c r="Q110" i="37"/>
  <c r="Q109" i="37" s="1"/>
  <c r="Q108" i="37" s="1"/>
  <c r="P110" i="37"/>
  <c r="P109" i="37" s="1"/>
  <c r="P108" i="37" s="1"/>
  <c r="O110" i="37"/>
  <c r="O109" i="37" s="1"/>
  <c r="O108" i="37" s="1"/>
  <c r="N110" i="37"/>
  <c r="N109" i="37" s="1"/>
  <c r="N108" i="37" s="1"/>
  <c r="M110" i="37"/>
  <c r="M109" i="37" s="1"/>
  <c r="M108" i="37" s="1"/>
  <c r="L110" i="37"/>
  <c r="L109" i="37" s="1"/>
  <c r="L108" i="37" s="1"/>
  <c r="K110" i="37"/>
  <c r="J110" i="37"/>
  <c r="J109" i="37" s="1"/>
  <c r="J108" i="37" s="1"/>
  <c r="I110" i="37"/>
  <c r="I109" i="37" s="1"/>
  <c r="I108" i="37" s="1"/>
  <c r="S109" i="37"/>
  <c r="S108" i="37" s="1"/>
  <c r="K109" i="37"/>
  <c r="K108" i="37" s="1"/>
  <c r="AB107" i="37"/>
  <c r="AB106" i="37" s="1"/>
  <c r="AB105" i="37" s="1"/>
  <c r="AB104" i="37" s="1"/>
  <c r="AA107" i="37"/>
  <c r="AA106" i="37" s="1"/>
  <c r="AA105" i="37" s="1"/>
  <c r="AA104" i="37" s="1"/>
  <c r="Z107" i="37"/>
  <c r="Z106" i="37" s="1"/>
  <c r="Z105" i="37" s="1"/>
  <c r="Z104" i="37" s="1"/>
  <c r="Y107" i="37"/>
  <c r="Y106" i="37" s="1"/>
  <c r="Y105" i="37" s="1"/>
  <c r="Y104" i="37" s="1"/>
  <c r="X106" i="37"/>
  <c r="W106" i="37"/>
  <c r="W105" i="37" s="1"/>
  <c r="W104" i="37" s="1"/>
  <c r="V106" i="37"/>
  <c r="V105" i="37" s="1"/>
  <c r="V104" i="37" s="1"/>
  <c r="U106" i="37"/>
  <c r="U105" i="37" s="1"/>
  <c r="U104" i="37" s="1"/>
  <c r="T106" i="37"/>
  <c r="T105" i="37" s="1"/>
  <c r="T104" i="37" s="1"/>
  <c r="S106" i="37"/>
  <c r="S105" i="37" s="1"/>
  <c r="S104" i="37" s="1"/>
  <c r="R106" i="37"/>
  <c r="R105" i="37" s="1"/>
  <c r="R104" i="37" s="1"/>
  <c r="Q106" i="37"/>
  <c r="Q105" i="37" s="1"/>
  <c r="Q104" i="37" s="1"/>
  <c r="P106" i="37"/>
  <c r="P105" i="37" s="1"/>
  <c r="P104" i="37" s="1"/>
  <c r="O106" i="37"/>
  <c r="O105" i="37" s="1"/>
  <c r="O104" i="37" s="1"/>
  <c r="N106" i="37"/>
  <c r="N105" i="37" s="1"/>
  <c r="N104" i="37" s="1"/>
  <c r="M106" i="37"/>
  <c r="M105" i="37" s="1"/>
  <c r="M104" i="37" s="1"/>
  <c r="L106" i="37"/>
  <c r="L105" i="37" s="1"/>
  <c r="L104" i="37" s="1"/>
  <c r="K106" i="37"/>
  <c r="K105" i="37" s="1"/>
  <c r="K104" i="37" s="1"/>
  <c r="J106" i="37"/>
  <c r="J105" i="37" s="1"/>
  <c r="J104" i="37" s="1"/>
  <c r="I106" i="37"/>
  <c r="I105" i="37" s="1"/>
  <c r="I104" i="37" s="1"/>
  <c r="X105" i="37"/>
  <c r="X104" i="37" s="1"/>
  <c r="AB103" i="37"/>
  <c r="AB102" i="37" s="1"/>
  <c r="AB101" i="37" s="1"/>
  <c r="AB100" i="37" s="1"/>
  <c r="AA103" i="37"/>
  <c r="AA102" i="37" s="1"/>
  <c r="AA101" i="37" s="1"/>
  <c r="AA100" i="37" s="1"/>
  <c r="Z103" i="37"/>
  <c r="Z102" i="37" s="1"/>
  <c r="Z101" i="37" s="1"/>
  <c r="Z100" i="37" s="1"/>
  <c r="Y103" i="37"/>
  <c r="Y102" i="37" s="1"/>
  <c r="Y101" i="37" s="1"/>
  <c r="Y100" i="37" s="1"/>
  <c r="X102" i="37"/>
  <c r="X101" i="37" s="1"/>
  <c r="X100" i="37" s="1"/>
  <c r="W102" i="37"/>
  <c r="W101" i="37" s="1"/>
  <c r="W100" i="37" s="1"/>
  <c r="V102" i="37"/>
  <c r="V101" i="37" s="1"/>
  <c r="V100" i="37" s="1"/>
  <c r="U102" i="37"/>
  <c r="U101" i="37" s="1"/>
  <c r="U100" i="37" s="1"/>
  <c r="T102" i="37"/>
  <c r="T101" i="37" s="1"/>
  <c r="T100" i="37" s="1"/>
  <c r="S102" i="37"/>
  <c r="S101" i="37" s="1"/>
  <c r="S100" i="37" s="1"/>
  <c r="R102" i="37"/>
  <c r="R101" i="37" s="1"/>
  <c r="R100" i="37" s="1"/>
  <c r="Q102" i="37"/>
  <c r="Q101" i="37" s="1"/>
  <c r="Q100" i="37" s="1"/>
  <c r="P102" i="37"/>
  <c r="P101" i="37" s="1"/>
  <c r="P100" i="37" s="1"/>
  <c r="O102" i="37"/>
  <c r="O101" i="37" s="1"/>
  <c r="O100" i="37" s="1"/>
  <c r="N102" i="37"/>
  <c r="M102" i="37"/>
  <c r="L102" i="37"/>
  <c r="L101" i="37" s="1"/>
  <c r="L100" i="37" s="1"/>
  <c r="K102" i="37"/>
  <c r="K101" i="37" s="1"/>
  <c r="K100" i="37" s="1"/>
  <c r="J102" i="37"/>
  <c r="J101" i="37" s="1"/>
  <c r="J100" i="37" s="1"/>
  <c r="I102" i="37"/>
  <c r="I101" i="37" s="1"/>
  <c r="I100" i="37" s="1"/>
  <c r="N101" i="37"/>
  <c r="N100" i="37" s="1"/>
  <c r="M101" i="37"/>
  <c r="M100" i="37" s="1"/>
  <c r="AB99" i="37"/>
  <c r="AB98" i="37" s="1"/>
  <c r="AB97" i="37" s="1"/>
  <c r="AB96" i="37" s="1"/>
  <c r="AA99" i="37"/>
  <c r="AA98" i="37" s="1"/>
  <c r="AA97" i="37" s="1"/>
  <c r="AA96" i="37" s="1"/>
  <c r="Z99" i="37"/>
  <c r="Z98" i="37" s="1"/>
  <c r="Z97" i="37" s="1"/>
  <c r="Z96" i="37" s="1"/>
  <c r="Y99" i="37"/>
  <c r="Y98" i="37" s="1"/>
  <c r="Y97" i="37" s="1"/>
  <c r="Y96" i="37" s="1"/>
  <c r="X98" i="37"/>
  <c r="X97" i="37" s="1"/>
  <c r="X96" i="37" s="1"/>
  <c r="W98" i="37"/>
  <c r="W97" i="37" s="1"/>
  <c r="W96" i="37" s="1"/>
  <c r="V98" i="37"/>
  <c r="V97" i="37" s="1"/>
  <c r="V96" i="37" s="1"/>
  <c r="U98" i="37"/>
  <c r="U97" i="37" s="1"/>
  <c r="U96" i="37" s="1"/>
  <c r="T98" i="37"/>
  <c r="T97" i="37" s="1"/>
  <c r="T96" i="37" s="1"/>
  <c r="S98" i="37"/>
  <c r="R98" i="37"/>
  <c r="R97" i="37" s="1"/>
  <c r="R96" i="37" s="1"/>
  <c r="Q98" i="37"/>
  <c r="Q97" i="37" s="1"/>
  <c r="Q96" i="37" s="1"/>
  <c r="P98" i="37"/>
  <c r="P97" i="37" s="1"/>
  <c r="P96" i="37" s="1"/>
  <c r="O98" i="37"/>
  <c r="O97" i="37" s="1"/>
  <c r="O96" i="37" s="1"/>
  <c r="N98" i="37"/>
  <c r="N97" i="37" s="1"/>
  <c r="N96" i="37" s="1"/>
  <c r="M98" i="37"/>
  <c r="M97" i="37" s="1"/>
  <c r="M96" i="37" s="1"/>
  <c r="L98" i="37"/>
  <c r="L97" i="37" s="1"/>
  <c r="L96" i="37" s="1"/>
  <c r="K98" i="37"/>
  <c r="K97" i="37" s="1"/>
  <c r="K96" i="37" s="1"/>
  <c r="J98" i="37"/>
  <c r="I98" i="37"/>
  <c r="I97" i="37" s="1"/>
  <c r="I96" i="37" s="1"/>
  <c r="S97" i="37"/>
  <c r="S96" i="37" s="1"/>
  <c r="J97" i="37"/>
  <c r="J96" i="37" s="1"/>
  <c r="AB95" i="37"/>
  <c r="AA95" i="37"/>
  <c r="Z95" i="37"/>
  <c r="Z94" i="37" s="1"/>
  <c r="Z93" i="37" s="1"/>
  <c r="Z92" i="37" s="1"/>
  <c r="Y95" i="37"/>
  <c r="Y94" i="37" s="1"/>
  <c r="Y93" i="37" s="1"/>
  <c r="Y92" i="37" s="1"/>
  <c r="X94" i="37"/>
  <c r="W94" i="37"/>
  <c r="W93" i="37" s="1"/>
  <c r="W92" i="37" s="1"/>
  <c r="V94" i="37"/>
  <c r="V93" i="37" s="1"/>
  <c r="V92" i="37" s="1"/>
  <c r="U94" i="37"/>
  <c r="U93" i="37" s="1"/>
  <c r="U92" i="37" s="1"/>
  <c r="T94" i="37"/>
  <c r="S94" i="37"/>
  <c r="R94" i="37"/>
  <c r="R93" i="37" s="1"/>
  <c r="R92" i="37" s="1"/>
  <c r="Q94" i="37"/>
  <c r="Q93" i="37" s="1"/>
  <c r="Q92" i="37" s="1"/>
  <c r="P94" i="37"/>
  <c r="P93" i="37" s="1"/>
  <c r="P92" i="37" s="1"/>
  <c r="O94" i="37"/>
  <c r="O93" i="37" s="1"/>
  <c r="O92" i="37" s="1"/>
  <c r="N94" i="37"/>
  <c r="N93" i="37" s="1"/>
  <c r="N92" i="37" s="1"/>
  <c r="M94" i="37"/>
  <c r="M93" i="37" s="1"/>
  <c r="M92" i="37" s="1"/>
  <c r="L94" i="37"/>
  <c r="AB94" i="37" s="1"/>
  <c r="K94" i="37"/>
  <c r="AA94" i="37" s="1"/>
  <c r="J94" i="37"/>
  <c r="J93" i="37" s="1"/>
  <c r="J92" i="37" s="1"/>
  <c r="I94" i="37"/>
  <c r="I93" i="37" s="1"/>
  <c r="I92" i="37" s="1"/>
  <c r="X93" i="37"/>
  <c r="X92" i="37" s="1"/>
  <c r="T93" i="37"/>
  <c r="T92" i="37" s="1"/>
  <c r="S93" i="37"/>
  <c r="S92" i="37" s="1"/>
  <c r="AB90" i="37"/>
  <c r="AA90" i="37"/>
  <c r="Z90" i="37"/>
  <c r="Z89" i="37" s="1"/>
  <c r="Z88" i="37" s="1"/>
  <c r="Z87" i="37" s="1"/>
  <c r="Y90" i="37"/>
  <c r="Y89" i="37" s="1"/>
  <c r="Y88" i="37" s="1"/>
  <c r="Y87" i="37" s="1"/>
  <c r="X89" i="37"/>
  <c r="X88" i="37" s="1"/>
  <c r="X87" i="37" s="1"/>
  <c r="W89" i="37"/>
  <c r="W88" i="37" s="1"/>
  <c r="W87" i="37" s="1"/>
  <c r="V89" i="37"/>
  <c r="V88" i="37" s="1"/>
  <c r="V87" i="37" s="1"/>
  <c r="U89" i="37"/>
  <c r="U88" i="37" s="1"/>
  <c r="U87" i="37" s="1"/>
  <c r="T89" i="37"/>
  <c r="T88" i="37" s="1"/>
  <c r="T87" i="37" s="1"/>
  <c r="S89" i="37"/>
  <c r="S88" i="37" s="1"/>
  <c r="S87" i="37" s="1"/>
  <c r="R89" i="37"/>
  <c r="R88" i="37" s="1"/>
  <c r="R87" i="37" s="1"/>
  <c r="Q89" i="37"/>
  <c r="Q88" i="37" s="1"/>
  <c r="Q87" i="37" s="1"/>
  <c r="P89" i="37"/>
  <c r="P88" i="37" s="1"/>
  <c r="P87" i="37" s="1"/>
  <c r="O89" i="37"/>
  <c r="O88" i="37" s="1"/>
  <c r="O87" i="37" s="1"/>
  <c r="N89" i="37"/>
  <c r="N88" i="37" s="1"/>
  <c r="N87" i="37" s="1"/>
  <c r="M89" i="37"/>
  <c r="M88" i="37" s="1"/>
  <c r="M87" i="37" s="1"/>
  <c r="L89" i="37"/>
  <c r="K89" i="37"/>
  <c r="K88" i="37" s="1"/>
  <c r="K87" i="37" s="1"/>
  <c r="J89" i="37"/>
  <c r="J88" i="37" s="1"/>
  <c r="J87" i="37" s="1"/>
  <c r="I89" i="37"/>
  <c r="I88" i="37" s="1"/>
  <c r="I87" i="37" s="1"/>
  <c r="AB86" i="37"/>
  <c r="AB85" i="37" s="1"/>
  <c r="AB84" i="37" s="1"/>
  <c r="AB83" i="37" s="1"/>
  <c r="AA86" i="37"/>
  <c r="AA85" i="37" s="1"/>
  <c r="AA84" i="37" s="1"/>
  <c r="AA83" i="37" s="1"/>
  <c r="Z86" i="37"/>
  <c r="Y86" i="37"/>
  <c r="Y85" i="37" s="1"/>
  <c r="Y84" i="37" s="1"/>
  <c r="Y83" i="37" s="1"/>
  <c r="Z85" i="37"/>
  <c r="Z84" i="37" s="1"/>
  <c r="Z83" i="37" s="1"/>
  <c r="X85" i="37"/>
  <c r="W85" i="37"/>
  <c r="W84" i="37" s="1"/>
  <c r="W83" i="37" s="1"/>
  <c r="V85" i="37"/>
  <c r="V84" i="37" s="1"/>
  <c r="V83" i="37" s="1"/>
  <c r="U85" i="37"/>
  <c r="U84" i="37" s="1"/>
  <c r="U83" i="37" s="1"/>
  <c r="T85" i="37"/>
  <c r="S85" i="37"/>
  <c r="S84" i="37" s="1"/>
  <c r="S83" i="37" s="1"/>
  <c r="R85" i="37"/>
  <c r="R84" i="37" s="1"/>
  <c r="R83" i="37" s="1"/>
  <c r="Q85" i="37"/>
  <c r="P85" i="37"/>
  <c r="O85" i="37"/>
  <c r="O84" i="37" s="1"/>
  <c r="O83" i="37" s="1"/>
  <c r="N85" i="37"/>
  <c r="N84" i="37" s="1"/>
  <c r="N83" i="37" s="1"/>
  <c r="M85" i="37"/>
  <c r="M84" i="37" s="1"/>
  <c r="M83" i="37" s="1"/>
  <c r="L85" i="37"/>
  <c r="L84" i="37" s="1"/>
  <c r="L83" i="37" s="1"/>
  <c r="K85" i="37"/>
  <c r="K84" i="37" s="1"/>
  <c r="K83" i="37" s="1"/>
  <c r="J85" i="37"/>
  <c r="J84" i="37" s="1"/>
  <c r="J83" i="37" s="1"/>
  <c r="I85" i="37"/>
  <c r="I84" i="37" s="1"/>
  <c r="I83" i="37" s="1"/>
  <c r="X84" i="37"/>
  <c r="X83" i="37" s="1"/>
  <c r="T84" i="37"/>
  <c r="T83" i="37" s="1"/>
  <c r="Q84" i="37"/>
  <c r="Q83" i="37" s="1"/>
  <c r="P84" i="37"/>
  <c r="P83" i="37" s="1"/>
  <c r="AB82" i="37"/>
  <c r="AB81" i="37" s="1"/>
  <c r="AB80" i="37" s="1"/>
  <c r="AB79" i="37" s="1"/>
  <c r="AA82" i="37"/>
  <c r="Z82" i="37"/>
  <c r="Z81" i="37" s="1"/>
  <c r="Z80" i="37" s="1"/>
  <c r="Z79" i="37" s="1"/>
  <c r="Y82" i="37"/>
  <c r="Y81" i="37" s="1"/>
  <c r="Y80" i="37" s="1"/>
  <c r="Y79" i="37" s="1"/>
  <c r="AA81" i="37"/>
  <c r="AA80" i="37" s="1"/>
  <c r="AA79" i="37" s="1"/>
  <c r="X81" i="37"/>
  <c r="X80" i="37" s="1"/>
  <c r="X79" i="37" s="1"/>
  <c r="W81" i="37"/>
  <c r="W80" i="37" s="1"/>
  <c r="W79" i="37" s="1"/>
  <c r="V81" i="37"/>
  <c r="V80" i="37" s="1"/>
  <c r="V79" i="37" s="1"/>
  <c r="U81" i="37"/>
  <c r="T81" i="37"/>
  <c r="T80" i="37" s="1"/>
  <c r="T79" i="37" s="1"/>
  <c r="S81" i="37"/>
  <c r="S80" i="37" s="1"/>
  <c r="S79" i="37" s="1"/>
  <c r="R81" i="37"/>
  <c r="R80" i="37" s="1"/>
  <c r="R79" i="37" s="1"/>
  <c r="Q81" i="37"/>
  <c r="P81" i="37"/>
  <c r="P80" i="37" s="1"/>
  <c r="P79" i="37" s="1"/>
  <c r="O81" i="37"/>
  <c r="O80" i="37" s="1"/>
  <c r="O79" i="37" s="1"/>
  <c r="N81" i="37"/>
  <c r="N80" i="37" s="1"/>
  <c r="N79" i="37" s="1"/>
  <c r="M81" i="37"/>
  <c r="M80" i="37" s="1"/>
  <c r="M79" i="37" s="1"/>
  <c r="L81" i="37"/>
  <c r="L80" i="37" s="1"/>
  <c r="L79" i="37" s="1"/>
  <c r="K81" i="37"/>
  <c r="K80" i="37" s="1"/>
  <c r="K79" i="37" s="1"/>
  <c r="J81" i="37"/>
  <c r="J80" i="37" s="1"/>
  <c r="J79" i="37" s="1"/>
  <c r="I81" i="37"/>
  <c r="I80" i="37" s="1"/>
  <c r="I79" i="37" s="1"/>
  <c r="U80" i="37"/>
  <c r="U79" i="37" s="1"/>
  <c r="Q80" i="37"/>
  <c r="Q79" i="37" s="1"/>
  <c r="AB78" i="37"/>
  <c r="AB77" i="37" s="1"/>
  <c r="AB76" i="37" s="1"/>
  <c r="AB75" i="37" s="1"/>
  <c r="AA78" i="37"/>
  <c r="Z78" i="37"/>
  <c r="Z77" i="37" s="1"/>
  <c r="Z76" i="37" s="1"/>
  <c r="Z75" i="37" s="1"/>
  <c r="Y78" i="37"/>
  <c r="Y77" i="37" s="1"/>
  <c r="Y76" i="37" s="1"/>
  <c r="Y75" i="37" s="1"/>
  <c r="AA77" i="37"/>
  <c r="AA76" i="37" s="1"/>
  <c r="AA75" i="37" s="1"/>
  <c r="X77" i="37"/>
  <c r="X76" i="37" s="1"/>
  <c r="X75" i="37" s="1"/>
  <c r="W77" i="37"/>
  <c r="W76" i="37" s="1"/>
  <c r="W75" i="37" s="1"/>
  <c r="V77" i="37"/>
  <c r="V76" i="37" s="1"/>
  <c r="V75" i="37" s="1"/>
  <c r="U77" i="37"/>
  <c r="U76" i="37" s="1"/>
  <c r="U75" i="37" s="1"/>
  <c r="T77" i="37"/>
  <c r="T76" i="37" s="1"/>
  <c r="T75" i="37" s="1"/>
  <c r="S77" i="37"/>
  <c r="R77" i="37"/>
  <c r="Q77" i="37"/>
  <c r="P77" i="37"/>
  <c r="P76" i="37" s="1"/>
  <c r="P75" i="37" s="1"/>
  <c r="O77" i="37"/>
  <c r="O76" i="37" s="1"/>
  <c r="O75" i="37" s="1"/>
  <c r="N77" i="37"/>
  <c r="N76" i="37" s="1"/>
  <c r="N75" i="37" s="1"/>
  <c r="M77" i="37"/>
  <c r="M76" i="37" s="1"/>
  <c r="M75" i="37" s="1"/>
  <c r="L77" i="37"/>
  <c r="L76" i="37" s="1"/>
  <c r="L75" i="37" s="1"/>
  <c r="K77" i="37"/>
  <c r="K76" i="37" s="1"/>
  <c r="K75" i="37" s="1"/>
  <c r="J77" i="37"/>
  <c r="J76" i="37" s="1"/>
  <c r="J75" i="37" s="1"/>
  <c r="I77" i="37"/>
  <c r="I76" i="37" s="1"/>
  <c r="I75" i="37" s="1"/>
  <c r="S76" i="37"/>
  <c r="S75" i="37" s="1"/>
  <c r="R76" i="37"/>
  <c r="R75" i="37" s="1"/>
  <c r="Q76" i="37"/>
  <c r="Q75" i="37" s="1"/>
  <c r="AB73" i="37"/>
  <c r="AB72" i="37" s="1"/>
  <c r="AB71" i="37" s="1"/>
  <c r="AB70" i="37" s="1"/>
  <c r="AA73" i="37"/>
  <c r="AA72" i="37" s="1"/>
  <c r="AA71" i="37" s="1"/>
  <c r="AA70" i="37" s="1"/>
  <c r="Z73" i="37"/>
  <c r="Z72" i="37" s="1"/>
  <c r="Z71" i="37" s="1"/>
  <c r="Z70" i="37" s="1"/>
  <c r="Y73" i="37"/>
  <c r="Y72" i="37" s="1"/>
  <c r="Y71" i="37" s="1"/>
  <c r="Y70" i="37" s="1"/>
  <c r="X72" i="37"/>
  <c r="X71" i="37" s="1"/>
  <c r="X70" i="37" s="1"/>
  <c r="W72" i="37"/>
  <c r="V72" i="37"/>
  <c r="V71" i="37" s="1"/>
  <c r="V70" i="37" s="1"/>
  <c r="U72" i="37"/>
  <c r="U71" i="37" s="1"/>
  <c r="U70" i="37" s="1"/>
  <c r="T72" i="37"/>
  <c r="T71" i="37" s="1"/>
  <c r="T70" i="37" s="1"/>
  <c r="S72" i="37"/>
  <c r="S71" i="37" s="1"/>
  <c r="S70" i="37" s="1"/>
  <c r="R72" i="37"/>
  <c r="R71" i="37" s="1"/>
  <c r="R70" i="37" s="1"/>
  <c r="Q72" i="37"/>
  <c r="Q71" i="37" s="1"/>
  <c r="Q70" i="37" s="1"/>
  <c r="P72" i="37"/>
  <c r="P71" i="37" s="1"/>
  <c r="P70" i="37" s="1"/>
  <c r="O72" i="37"/>
  <c r="N72" i="37"/>
  <c r="N71" i="37" s="1"/>
  <c r="N70" i="37" s="1"/>
  <c r="M72" i="37"/>
  <c r="M71" i="37" s="1"/>
  <c r="M70" i="37" s="1"/>
  <c r="L72" i="37"/>
  <c r="L71" i="37" s="1"/>
  <c r="L70" i="37" s="1"/>
  <c r="K72" i="37"/>
  <c r="K71" i="37" s="1"/>
  <c r="K70" i="37" s="1"/>
  <c r="J72" i="37"/>
  <c r="J71" i="37" s="1"/>
  <c r="J70" i="37" s="1"/>
  <c r="I72" i="37"/>
  <c r="I71" i="37" s="1"/>
  <c r="I70" i="37" s="1"/>
  <c r="W71" i="37"/>
  <c r="W70" i="37" s="1"/>
  <c r="O71" i="37"/>
  <c r="O70" i="37" s="1"/>
  <c r="AB69" i="37"/>
  <c r="AA69" i="37"/>
  <c r="AA68" i="37" s="1"/>
  <c r="AA67" i="37" s="1"/>
  <c r="AA66" i="37" s="1"/>
  <c r="Z69" i="37"/>
  <c r="Y69" i="37"/>
  <c r="Y68" i="37" s="1"/>
  <c r="Y67" i="37" s="1"/>
  <c r="Y66" i="37" s="1"/>
  <c r="AB68" i="37"/>
  <c r="AB67" i="37" s="1"/>
  <c r="AB66" i="37" s="1"/>
  <c r="Z68" i="37"/>
  <c r="Z67" i="37" s="1"/>
  <c r="Z66" i="37" s="1"/>
  <c r="X68" i="37"/>
  <c r="X67" i="37" s="1"/>
  <c r="X66" i="37" s="1"/>
  <c r="W68" i="37"/>
  <c r="W67" i="37" s="1"/>
  <c r="W66" i="37" s="1"/>
  <c r="V68" i="37"/>
  <c r="U68" i="37"/>
  <c r="T68" i="37"/>
  <c r="T67" i="37" s="1"/>
  <c r="T66" i="37" s="1"/>
  <c r="S68" i="37"/>
  <c r="S67" i="37" s="1"/>
  <c r="S66" i="37" s="1"/>
  <c r="R68" i="37"/>
  <c r="Q68" i="37"/>
  <c r="Q67" i="37" s="1"/>
  <c r="Q66" i="37" s="1"/>
  <c r="P68" i="37"/>
  <c r="P67" i="37" s="1"/>
  <c r="P66" i="37" s="1"/>
  <c r="O68" i="37"/>
  <c r="O67" i="37" s="1"/>
  <c r="O66" i="37" s="1"/>
  <c r="N68" i="37"/>
  <c r="N67" i="37" s="1"/>
  <c r="N66" i="37" s="1"/>
  <c r="M68" i="37"/>
  <c r="L68" i="37"/>
  <c r="L67" i="37" s="1"/>
  <c r="L66" i="37" s="1"/>
  <c r="K68" i="37"/>
  <c r="K67" i="37" s="1"/>
  <c r="K66" i="37" s="1"/>
  <c r="J68" i="37"/>
  <c r="J67" i="37" s="1"/>
  <c r="J66" i="37" s="1"/>
  <c r="I68" i="37"/>
  <c r="V67" i="37"/>
  <c r="V66" i="37" s="1"/>
  <c r="U67" i="37"/>
  <c r="U66" i="37" s="1"/>
  <c r="R67" i="37"/>
  <c r="R66" i="37" s="1"/>
  <c r="M67" i="37"/>
  <c r="M66" i="37" s="1"/>
  <c r="I67" i="37"/>
  <c r="I66" i="37"/>
  <c r="AB65" i="37"/>
  <c r="AA65" i="37"/>
  <c r="Z65" i="37"/>
  <c r="Z64" i="37" s="1"/>
  <c r="Z63" i="37" s="1"/>
  <c r="Z62" i="37" s="1"/>
  <c r="Z61" i="37" s="1"/>
  <c r="Y65" i="37"/>
  <c r="Y64" i="37" s="1"/>
  <c r="Y63" i="37" s="1"/>
  <c r="Y62" i="37" s="1"/>
  <c r="AB64" i="37"/>
  <c r="AB63" i="37" s="1"/>
  <c r="AB62" i="37" s="1"/>
  <c r="AA64" i="37"/>
  <c r="AA63" i="37" s="1"/>
  <c r="AA62" i="37" s="1"/>
  <c r="X64" i="37"/>
  <c r="X63" i="37" s="1"/>
  <c r="X62" i="37" s="1"/>
  <c r="W64" i="37"/>
  <c r="W63" i="37" s="1"/>
  <c r="W62" i="37" s="1"/>
  <c r="V64" i="37"/>
  <c r="U64" i="37"/>
  <c r="U63" i="37" s="1"/>
  <c r="U62" i="37" s="1"/>
  <c r="T64" i="37"/>
  <c r="T63" i="37" s="1"/>
  <c r="T62" i="37" s="1"/>
  <c r="S64" i="37"/>
  <c r="R64" i="37"/>
  <c r="Q64" i="37"/>
  <c r="Q63" i="37" s="1"/>
  <c r="Q62" i="37" s="1"/>
  <c r="P64" i="37"/>
  <c r="O64" i="37"/>
  <c r="N64" i="37"/>
  <c r="M64" i="37"/>
  <c r="M63" i="37" s="1"/>
  <c r="M62" i="37" s="1"/>
  <c r="L64" i="37"/>
  <c r="L63" i="37" s="1"/>
  <c r="L62" i="37" s="1"/>
  <c r="K64" i="37"/>
  <c r="K63" i="37" s="1"/>
  <c r="K62" i="37" s="1"/>
  <c r="J64" i="37"/>
  <c r="J63" i="37" s="1"/>
  <c r="J62" i="37" s="1"/>
  <c r="J61" i="37" s="1"/>
  <c r="I64" i="37"/>
  <c r="V63" i="37"/>
  <c r="S63" i="37"/>
  <c r="R63" i="37"/>
  <c r="R62" i="37" s="1"/>
  <c r="P63" i="37"/>
  <c r="P62" i="37" s="1"/>
  <c r="O63" i="37"/>
  <c r="O62" i="37" s="1"/>
  <c r="N63" i="37"/>
  <c r="N62" i="37" s="1"/>
  <c r="I63" i="37"/>
  <c r="I62" i="37" s="1"/>
  <c r="I61" i="37" s="1"/>
  <c r="V62" i="37"/>
  <c r="S62" i="37"/>
  <c r="AB60" i="37"/>
  <c r="AB59" i="37" s="1"/>
  <c r="AB58" i="37" s="1"/>
  <c r="AB57" i="37" s="1"/>
  <c r="AA60" i="37"/>
  <c r="AA59" i="37" s="1"/>
  <c r="AA58" i="37" s="1"/>
  <c r="AA57" i="37" s="1"/>
  <c r="Z60" i="37"/>
  <c r="Z59" i="37" s="1"/>
  <c r="Z58" i="37" s="1"/>
  <c r="Z57" i="37" s="1"/>
  <c r="Y60" i="37"/>
  <c r="Y59" i="37"/>
  <c r="Y58" i="37" s="1"/>
  <c r="Y57" i="37" s="1"/>
  <c r="X59" i="37"/>
  <c r="W59" i="37"/>
  <c r="V59" i="37"/>
  <c r="U59" i="37"/>
  <c r="T59" i="37"/>
  <c r="S59" i="37"/>
  <c r="R59" i="37"/>
  <c r="Q59" i="37"/>
  <c r="P59" i="37"/>
  <c r="P58" i="37" s="1"/>
  <c r="P57" i="37" s="1"/>
  <c r="O59" i="37"/>
  <c r="O58" i="37" s="1"/>
  <c r="O57" i="37" s="1"/>
  <c r="N59" i="37"/>
  <c r="N58" i="37" s="1"/>
  <c r="N57" i="37" s="1"/>
  <c r="M59" i="37"/>
  <c r="M58" i="37" s="1"/>
  <c r="M57" i="37" s="1"/>
  <c r="L59" i="37"/>
  <c r="L58" i="37" s="1"/>
  <c r="L57" i="37" s="1"/>
  <c r="K59" i="37"/>
  <c r="K58" i="37" s="1"/>
  <c r="K57" i="37" s="1"/>
  <c r="J59" i="37"/>
  <c r="I59" i="37"/>
  <c r="I58" i="37" s="1"/>
  <c r="I57" i="37" s="1"/>
  <c r="X58" i="37"/>
  <c r="X57" i="37" s="1"/>
  <c r="W58" i="37"/>
  <c r="V58" i="37"/>
  <c r="U58" i="37"/>
  <c r="U57" i="37" s="1"/>
  <c r="T58" i="37"/>
  <c r="T57" i="37" s="1"/>
  <c r="S58" i="37"/>
  <c r="S57" i="37" s="1"/>
  <c r="R58" i="37"/>
  <c r="R57" i="37" s="1"/>
  <c r="Q58" i="37"/>
  <c r="Q57" i="37" s="1"/>
  <c r="J58" i="37"/>
  <c r="W57" i="37"/>
  <c r="V57" i="37"/>
  <c r="J57" i="37"/>
  <c r="AB56" i="37"/>
  <c r="AB55" i="37" s="1"/>
  <c r="AB54" i="37" s="1"/>
  <c r="AB53" i="37" s="1"/>
  <c r="AA56" i="37"/>
  <c r="AA55" i="37" s="1"/>
  <c r="AA54" i="37" s="1"/>
  <c r="AA53" i="37" s="1"/>
  <c r="Z56" i="37"/>
  <c r="Z55" i="37" s="1"/>
  <c r="Z54" i="37" s="1"/>
  <c r="Z53" i="37" s="1"/>
  <c r="Y56" i="37"/>
  <c r="Y55" i="37" s="1"/>
  <c r="Y54" i="37" s="1"/>
  <c r="Y53" i="37" s="1"/>
  <c r="X55" i="37"/>
  <c r="X54" i="37" s="1"/>
  <c r="X53" i="37" s="1"/>
  <c r="W55" i="37"/>
  <c r="V55" i="37"/>
  <c r="U55" i="37"/>
  <c r="U54" i="37" s="1"/>
  <c r="U53" i="37" s="1"/>
  <c r="T55" i="37"/>
  <c r="T54" i="37" s="1"/>
  <c r="T53" i="37" s="1"/>
  <c r="S55" i="37"/>
  <c r="S54" i="37" s="1"/>
  <c r="S53" i="37" s="1"/>
  <c r="R55" i="37"/>
  <c r="Q55" i="37"/>
  <c r="Q54" i="37" s="1"/>
  <c r="Q53" i="37" s="1"/>
  <c r="P55" i="37"/>
  <c r="O55" i="37"/>
  <c r="O54" i="37" s="1"/>
  <c r="O53" i="37" s="1"/>
  <c r="N55" i="37"/>
  <c r="N54" i="37" s="1"/>
  <c r="N53" i="37" s="1"/>
  <c r="M55" i="37"/>
  <c r="M54" i="37" s="1"/>
  <c r="M53" i="37" s="1"/>
  <c r="L55" i="37"/>
  <c r="L54" i="37" s="1"/>
  <c r="L53" i="37" s="1"/>
  <c r="K55" i="37"/>
  <c r="K54" i="37" s="1"/>
  <c r="K53" i="37" s="1"/>
  <c r="J55" i="37"/>
  <c r="J54" i="37" s="1"/>
  <c r="J53" i="37" s="1"/>
  <c r="I55" i="37"/>
  <c r="I54" i="37" s="1"/>
  <c r="I53" i="37" s="1"/>
  <c r="W54" i="37"/>
  <c r="W53" i="37" s="1"/>
  <c r="V54" i="37"/>
  <c r="V53" i="37" s="1"/>
  <c r="R54" i="37"/>
  <c r="P54" i="37"/>
  <c r="P53" i="37" s="1"/>
  <c r="R53" i="37"/>
  <c r="AB52" i="37"/>
  <c r="AB51" i="37" s="1"/>
  <c r="AB50" i="37" s="1"/>
  <c r="AB49" i="37" s="1"/>
  <c r="AA52" i="37"/>
  <c r="AA51" i="37" s="1"/>
  <c r="AA50" i="37" s="1"/>
  <c r="AA49" i="37" s="1"/>
  <c r="Z52" i="37"/>
  <c r="Z51" i="37" s="1"/>
  <c r="Z50" i="37" s="1"/>
  <c r="Z49" i="37" s="1"/>
  <c r="Y52" i="37"/>
  <c r="Y51" i="37" s="1"/>
  <c r="Y50" i="37" s="1"/>
  <c r="Y49" i="37" s="1"/>
  <c r="X51" i="37"/>
  <c r="X50" i="37" s="1"/>
  <c r="X49" i="37" s="1"/>
  <c r="W51" i="37"/>
  <c r="V51" i="37"/>
  <c r="V50" i="37" s="1"/>
  <c r="V49" i="37" s="1"/>
  <c r="U51" i="37"/>
  <c r="U50" i="37" s="1"/>
  <c r="U49" i="37" s="1"/>
  <c r="T51" i="37"/>
  <c r="T50" i="37" s="1"/>
  <c r="T49" i="37" s="1"/>
  <c r="S51" i="37"/>
  <c r="R51" i="37"/>
  <c r="Q51" i="37"/>
  <c r="Q50" i="37" s="1"/>
  <c r="Q49" i="37" s="1"/>
  <c r="P51" i="37"/>
  <c r="P50" i="37" s="1"/>
  <c r="P49" i="37" s="1"/>
  <c r="O51" i="37"/>
  <c r="O50" i="37" s="1"/>
  <c r="O49" i="37" s="1"/>
  <c r="N51" i="37"/>
  <c r="N50" i="37" s="1"/>
  <c r="N49" i="37" s="1"/>
  <c r="M51" i="37"/>
  <c r="M50" i="37" s="1"/>
  <c r="M49" i="37" s="1"/>
  <c r="L51" i="37"/>
  <c r="L50" i="37" s="1"/>
  <c r="L49" i="37" s="1"/>
  <c r="K51" i="37"/>
  <c r="K50" i="37" s="1"/>
  <c r="K49" i="37" s="1"/>
  <c r="J51" i="37"/>
  <c r="J50" i="37" s="1"/>
  <c r="J49" i="37" s="1"/>
  <c r="I51" i="37"/>
  <c r="I50" i="37" s="1"/>
  <c r="I49" i="37" s="1"/>
  <c r="W50" i="37"/>
  <c r="W49" i="37" s="1"/>
  <c r="S50" i="37"/>
  <c r="S49" i="37" s="1"/>
  <c r="R50" i="37"/>
  <c r="R49" i="37" s="1"/>
  <c r="AB46" i="37"/>
  <c r="AA46" i="37"/>
  <c r="Z46" i="37"/>
  <c r="Y46" i="37"/>
  <c r="AB45" i="37"/>
  <c r="AA45" i="37"/>
  <c r="Z45" i="37"/>
  <c r="Y45" i="37"/>
  <c r="AB44" i="37"/>
  <c r="AA44" i="37"/>
  <c r="Z44" i="37"/>
  <c r="Y44" i="37"/>
  <c r="AB43" i="37"/>
  <c r="AA43" i="37"/>
  <c r="Z43" i="37"/>
  <c r="Y43" i="37"/>
  <c r="X42" i="37"/>
  <c r="W42" i="37"/>
  <c r="V42" i="37"/>
  <c r="U42" i="37"/>
  <c r="T42" i="37"/>
  <c r="S42" i="37"/>
  <c r="R42" i="37"/>
  <c r="Q42" i="37"/>
  <c r="P42" i="37"/>
  <c r="O42" i="37"/>
  <c r="N42" i="37"/>
  <c r="M42" i="37"/>
  <c r="L42" i="37"/>
  <c r="K42" i="37"/>
  <c r="AA42" i="37" s="1"/>
  <c r="J42" i="37"/>
  <c r="Z42" i="37" s="1"/>
  <c r="I42" i="37"/>
  <c r="Y42" i="37" s="1"/>
  <c r="AB41" i="37"/>
  <c r="AA41" i="37"/>
  <c r="Z41" i="37"/>
  <c r="Y41" i="37"/>
  <c r="AB40" i="37"/>
  <c r="AA40" i="37"/>
  <c r="Z40" i="37"/>
  <c r="Y40" i="37"/>
  <c r="AB39" i="37"/>
  <c r="AA39" i="37"/>
  <c r="Z39" i="37"/>
  <c r="Y39" i="37"/>
  <c r="X38" i="37"/>
  <c r="W38" i="37"/>
  <c r="W37" i="37" s="1"/>
  <c r="V38" i="37"/>
  <c r="V37" i="37" s="1"/>
  <c r="U38" i="37"/>
  <c r="U37" i="37" s="1"/>
  <c r="T38" i="37"/>
  <c r="S38" i="37"/>
  <c r="R38" i="37"/>
  <c r="Q38" i="37"/>
  <c r="Q37" i="37" s="1"/>
  <c r="P38" i="37"/>
  <c r="P37" i="37" s="1"/>
  <c r="O38" i="37"/>
  <c r="O37" i="37" s="1"/>
  <c r="N38" i="37"/>
  <c r="N37" i="37" s="1"/>
  <c r="M38" i="37"/>
  <c r="M37" i="37" s="1"/>
  <c r="L38" i="37"/>
  <c r="AB38" i="37" s="1"/>
  <c r="K38" i="37"/>
  <c r="J38" i="37"/>
  <c r="I38" i="37"/>
  <c r="T37" i="37"/>
  <c r="AB36" i="37"/>
  <c r="AA36" i="37"/>
  <c r="Z36" i="37"/>
  <c r="Y36" i="37"/>
  <c r="AB35" i="37"/>
  <c r="AA35" i="37"/>
  <c r="Z35" i="37"/>
  <c r="Y35" i="37"/>
  <c r="AB34" i="37"/>
  <c r="AA34" i="37"/>
  <c r="Z34" i="37"/>
  <c r="Y34" i="37"/>
  <c r="X33" i="37"/>
  <c r="W33" i="37"/>
  <c r="V33" i="37"/>
  <c r="U33" i="37"/>
  <c r="T33" i="37"/>
  <c r="S33" i="37"/>
  <c r="R33" i="37"/>
  <c r="Q33" i="37"/>
  <c r="P33" i="37"/>
  <c r="O33" i="37"/>
  <c r="N33" i="37"/>
  <c r="M33" i="37"/>
  <c r="L33" i="37"/>
  <c r="AB33" i="37" s="1"/>
  <c r="K33" i="37"/>
  <c r="AA33" i="37" s="1"/>
  <c r="J33" i="37"/>
  <c r="Z33" i="37" s="1"/>
  <c r="I33" i="37"/>
  <c r="AB32" i="37"/>
  <c r="AA32" i="37"/>
  <c r="Z32" i="37"/>
  <c r="Y32" i="37"/>
  <c r="X31" i="37"/>
  <c r="W31" i="37"/>
  <c r="V31" i="37"/>
  <c r="U31" i="37"/>
  <c r="T31" i="37"/>
  <c r="S31" i="37"/>
  <c r="R31" i="37"/>
  <c r="Q31" i="37"/>
  <c r="P31" i="37"/>
  <c r="O31" i="37"/>
  <c r="N31" i="37"/>
  <c r="M31" i="37"/>
  <c r="L31" i="37"/>
  <c r="K31" i="37"/>
  <c r="J31" i="37"/>
  <c r="I31" i="37"/>
  <c r="Y31" i="37" s="1"/>
  <c r="AB30" i="37"/>
  <c r="AA30" i="37"/>
  <c r="Z30" i="37"/>
  <c r="Y30" i="37"/>
  <c r="X29" i="37"/>
  <c r="W29" i="37"/>
  <c r="V29" i="37"/>
  <c r="U29" i="37"/>
  <c r="T29" i="37"/>
  <c r="S29" i="37"/>
  <c r="R29" i="37"/>
  <c r="Q29" i="37"/>
  <c r="P29" i="37"/>
  <c r="O29" i="37"/>
  <c r="N29" i="37"/>
  <c r="M29" i="37"/>
  <c r="L29" i="37"/>
  <c r="K29" i="37"/>
  <c r="J29" i="37"/>
  <c r="I29" i="37"/>
  <c r="AB28" i="37"/>
  <c r="AA28" i="37"/>
  <c r="Z28" i="37"/>
  <c r="Y28" i="37"/>
  <c r="AB27" i="37"/>
  <c r="AA27" i="37"/>
  <c r="Z27" i="37"/>
  <c r="Y27" i="37"/>
  <c r="X26" i="37"/>
  <c r="X25" i="37" s="1"/>
  <c r="W26" i="37"/>
  <c r="V26" i="37"/>
  <c r="V25" i="37" s="1"/>
  <c r="V24" i="37" s="1"/>
  <c r="U26" i="37"/>
  <c r="U25" i="37" s="1"/>
  <c r="U24" i="37" s="1"/>
  <c r="T26" i="37"/>
  <c r="T25" i="37" s="1"/>
  <c r="S26" i="37"/>
  <c r="S25" i="37" s="1"/>
  <c r="R26" i="37"/>
  <c r="Q26" i="37"/>
  <c r="P26" i="37"/>
  <c r="P25" i="37" s="1"/>
  <c r="O26" i="37"/>
  <c r="O25" i="37" s="1"/>
  <c r="N26" i="37"/>
  <c r="N25" i="37" s="1"/>
  <c r="M26" i="37"/>
  <c r="M25" i="37" s="1"/>
  <c r="L26" i="37"/>
  <c r="AB26" i="37" s="1"/>
  <c r="K26" i="37"/>
  <c r="AA26" i="37" s="1"/>
  <c r="J26" i="37"/>
  <c r="Z26" i="37" s="1"/>
  <c r="I26" i="37"/>
  <c r="I25" i="37" s="1"/>
  <c r="W25" i="37"/>
  <c r="R25" i="37"/>
  <c r="Q25" i="37"/>
  <c r="Q24" i="37" s="1"/>
  <c r="AB23" i="37"/>
  <c r="AA23" i="37"/>
  <c r="Z23" i="37"/>
  <c r="Y23" i="37"/>
  <c r="AB22" i="37"/>
  <c r="AA22" i="37"/>
  <c r="Z22" i="37"/>
  <c r="Y22" i="37"/>
  <c r="X21" i="37"/>
  <c r="W21" i="37"/>
  <c r="V21" i="37"/>
  <c r="U21" i="37"/>
  <c r="T21" i="37"/>
  <c r="S21" i="37"/>
  <c r="R21" i="37"/>
  <c r="Q21" i="37"/>
  <c r="P21" i="37"/>
  <c r="O21" i="37"/>
  <c r="N21" i="37"/>
  <c r="M21" i="37"/>
  <c r="L21" i="37"/>
  <c r="K21" i="37"/>
  <c r="J21" i="37"/>
  <c r="Z21" i="37" s="1"/>
  <c r="I21" i="37"/>
  <c r="AB20" i="37"/>
  <c r="AA20" i="37"/>
  <c r="Z20" i="37"/>
  <c r="Y20" i="37"/>
  <c r="AB19" i="37"/>
  <c r="AA19" i="37"/>
  <c r="Z19" i="37"/>
  <c r="Y19" i="37"/>
  <c r="X18" i="37"/>
  <c r="X17" i="37" s="1"/>
  <c r="W18" i="37"/>
  <c r="W17" i="37" s="1"/>
  <c r="V18" i="37"/>
  <c r="U18" i="37"/>
  <c r="U17" i="37" s="1"/>
  <c r="T18" i="37"/>
  <c r="T17" i="37" s="1"/>
  <c r="S18" i="37"/>
  <c r="R18" i="37"/>
  <c r="R17" i="37" s="1"/>
  <c r="Q18" i="37"/>
  <c r="Q17" i="37" s="1"/>
  <c r="P18" i="37"/>
  <c r="P17" i="37" s="1"/>
  <c r="O18" i="37"/>
  <c r="O17" i="37" s="1"/>
  <c r="N18" i="37"/>
  <c r="N17" i="37" s="1"/>
  <c r="M18" i="37"/>
  <c r="M17" i="37" s="1"/>
  <c r="L18" i="37"/>
  <c r="K18" i="37"/>
  <c r="J18" i="37"/>
  <c r="I18" i="37"/>
  <c r="Y18" i="37" s="1"/>
  <c r="V17" i="37"/>
  <c r="S17" i="37"/>
  <c r="J17" i="37"/>
  <c r="AB16" i="37"/>
  <c r="AA16" i="37"/>
  <c r="Z16" i="37"/>
  <c r="Y16" i="37"/>
  <c r="X15" i="37"/>
  <c r="W15" i="37"/>
  <c r="V15" i="37"/>
  <c r="U15" i="37"/>
  <c r="T15" i="37"/>
  <c r="S15" i="37"/>
  <c r="R15" i="37"/>
  <c r="Q15" i="37"/>
  <c r="P15" i="37"/>
  <c r="O15" i="37"/>
  <c r="N15" i="37"/>
  <c r="M15" i="37"/>
  <c r="L15" i="37"/>
  <c r="K15" i="37"/>
  <c r="J15" i="37"/>
  <c r="I15" i="37"/>
  <c r="AB14" i="37"/>
  <c r="AA14" i="37"/>
  <c r="Z14" i="37"/>
  <c r="Y14" i="37"/>
  <c r="AB13" i="37"/>
  <c r="AA13" i="37"/>
  <c r="Z13" i="37"/>
  <c r="Y13" i="37"/>
  <c r="X12" i="37"/>
  <c r="W12" i="37"/>
  <c r="V12" i="37"/>
  <c r="U12" i="37"/>
  <c r="U11" i="37" s="1"/>
  <c r="T12" i="37"/>
  <c r="T11" i="37" s="1"/>
  <c r="T10" i="37" s="1"/>
  <c r="T9" i="37" s="1"/>
  <c r="S12" i="37"/>
  <c r="S11" i="37" s="1"/>
  <c r="S10" i="37" s="1"/>
  <c r="S9" i="37" s="1"/>
  <c r="R12" i="37"/>
  <c r="R11" i="37" s="1"/>
  <c r="R10" i="37" s="1"/>
  <c r="R9" i="37" s="1"/>
  <c r="Q12" i="37"/>
  <c r="Q11" i="37" s="1"/>
  <c r="Q10" i="37" s="1"/>
  <c r="Q9" i="37" s="1"/>
  <c r="P12" i="37"/>
  <c r="O12" i="37"/>
  <c r="O11" i="37" s="1"/>
  <c r="O10" i="37" s="1"/>
  <c r="O9" i="37" s="1"/>
  <c r="N12" i="37"/>
  <c r="N11" i="37" s="1"/>
  <c r="N10" i="37" s="1"/>
  <c r="N9" i="37" s="1"/>
  <c r="M12" i="37"/>
  <c r="M11" i="37" s="1"/>
  <c r="M10" i="37" s="1"/>
  <c r="M9" i="37" s="1"/>
  <c r="L12" i="37"/>
  <c r="K12" i="37"/>
  <c r="J12" i="37"/>
  <c r="I12" i="37"/>
  <c r="I11" i="37" s="1"/>
  <c r="X11" i="37"/>
  <c r="W11" i="37"/>
  <c r="W10" i="37" s="1"/>
  <c r="W9" i="37" s="1"/>
  <c r="V11" i="37"/>
  <c r="L11" i="37"/>
  <c r="K11" i="37"/>
  <c r="K10" i="37" s="1"/>
  <c r="K9" i="37" s="1"/>
  <c r="J11" i="37"/>
  <c r="J10" i="37" s="1"/>
  <c r="J9" i="37" s="1"/>
  <c r="AB8" i="37"/>
  <c r="AA8" i="37"/>
  <c r="Z8" i="37"/>
  <c r="Y8" i="37"/>
  <c r="AB7" i="37"/>
  <c r="AA7" i="37"/>
  <c r="Z7" i="37"/>
  <c r="Y7" i="37"/>
  <c r="X6" i="37"/>
  <c r="W6" i="37"/>
  <c r="V6" i="37"/>
  <c r="U6" i="37"/>
  <c r="T6" i="37"/>
  <c r="S6" i="37"/>
  <c r="R6" i="37"/>
  <c r="Q6" i="37"/>
  <c r="P6" i="37"/>
  <c r="O6" i="37"/>
  <c r="N6" i="37"/>
  <c r="M6" i="37"/>
  <c r="L6" i="37"/>
  <c r="K6" i="37"/>
  <c r="J6" i="37"/>
  <c r="Z6" i="37" s="1"/>
  <c r="I6" i="37"/>
  <c r="AB5" i="37"/>
  <c r="AA5" i="37"/>
  <c r="Z5" i="37"/>
  <c r="Y5" i="37"/>
  <c r="J91" i="37" l="1"/>
  <c r="U45" i="49"/>
  <c r="U98" i="49"/>
  <c r="N259" i="49"/>
  <c r="N48" i="49"/>
  <c r="K87" i="49"/>
  <c r="K86" i="49" s="1"/>
  <c r="P87" i="49"/>
  <c r="P86" i="49" s="1"/>
  <c r="P85" i="49" s="1"/>
  <c r="N215" i="49"/>
  <c r="Q48" i="37"/>
  <c r="Y48" i="37"/>
  <c r="K152" i="49"/>
  <c r="P244" i="49"/>
  <c r="U48" i="37"/>
  <c r="S61" i="37"/>
  <c r="N24" i="37"/>
  <c r="N94" i="49"/>
  <c r="W24" i="37"/>
  <c r="K61" i="37"/>
  <c r="AA61" i="37"/>
  <c r="AB12" i="37"/>
  <c r="S37" i="37"/>
  <c r="N24" i="49"/>
  <c r="N61" i="37"/>
  <c r="R48" i="37"/>
  <c r="O61" i="37"/>
  <c r="AB61" i="37"/>
  <c r="J120" i="37"/>
  <c r="Z120" i="37"/>
  <c r="N91" i="37"/>
  <c r="AA120" i="37"/>
  <c r="S48" i="37"/>
  <c r="W61" i="37"/>
  <c r="U27" i="49"/>
  <c r="Z18" i="37"/>
  <c r="Y38" i="37"/>
  <c r="AB42" i="37"/>
  <c r="AA6" i="37"/>
  <c r="Y15" i="37"/>
  <c r="AA18" i="37"/>
  <c r="Z38" i="37"/>
  <c r="J48" i="37"/>
  <c r="V61" i="37"/>
  <c r="K120" i="37"/>
  <c r="P120" i="37"/>
  <c r="K196" i="49"/>
  <c r="U245" i="49"/>
  <c r="AB6" i="37"/>
  <c r="P11" i="37"/>
  <c r="P10" i="37" s="1"/>
  <c r="P9" i="37" s="1"/>
  <c r="P4" i="37" s="1"/>
  <c r="Z15" i="37"/>
  <c r="AB18" i="37"/>
  <c r="O24" i="37"/>
  <c r="O4" i="37" s="1"/>
  <c r="AA38" i="37"/>
  <c r="Z48" i="37"/>
  <c r="AB89" i="37"/>
  <c r="O91" i="37"/>
  <c r="Q120" i="37"/>
  <c r="L120" i="37"/>
  <c r="M120" i="37"/>
  <c r="AA15" i="37"/>
  <c r="P91" i="37"/>
  <c r="O120" i="37"/>
  <c r="M35" i="49"/>
  <c r="M34" i="49" s="1"/>
  <c r="P258" i="49"/>
  <c r="P24" i="37"/>
  <c r="U10" i="37"/>
  <c r="U9" i="37" s="1"/>
  <c r="AB15" i="37"/>
  <c r="K25" i="37"/>
  <c r="K24" i="37" s="1"/>
  <c r="Y29" i="37"/>
  <c r="T48" i="37"/>
  <c r="M61" i="37"/>
  <c r="L20" i="49"/>
  <c r="L19" i="49" s="1"/>
  <c r="L18" i="49" s="1"/>
  <c r="R144" i="49"/>
  <c r="R143" i="49" s="1"/>
  <c r="V120" i="37"/>
  <c r="J25" i="37"/>
  <c r="V10" i="37"/>
  <c r="V9" i="37" s="1"/>
  <c r="I17" i="37"/>
  <c r="Y17" i="37" s="1"/>
  <c r="M24" i="37"/>
  <c r="Z29" i="37"/>
  <c r="N48" i="37"/>
  <c r="S120" i="37"/>
  <c r="T120" i="37"/>
  <c r="AA29" i="37"/>
  <c r="W48" i="37"/>
  <c r="L93" i="37"/>
  <c r="L92" i="37" s="1"/>
  <c r="AB92" i="37" s="1"/>
  <c r="AB91" i="37" s="1"/>
  <c r="U120" i="37"/>
  <c r="L125" i="49"/>
  <c r="O270" i="49"/>
  <c r="S24" i="37"/>
  <c r="S4" i="37" s="1"/>
  <c r="K17" i="37"/>
  <c r="Y21" i="37"/>
  <c r="T24" i="37"/>
  <c r="T4" i="37" s="1"/>
  <c r="AB29" i="37"/>
  <c r="W120" i="37"/>
  <c r="S196" i="49"/>
  <c r="S195" i="49" s="1"/>
  <c r="T258" i="49"/>
  <c r="R120" i="37"/>
  <c r="J37" i="37"/>
  <c r="Q61" i="37"/>
  <c r="L170" i="37"/>
  <c r="Z12" i="37"/>
  <c r="AA21" i="37"/>
  <c r="Z31" i="37"/>
  <c r="K37" i="37"/>
  <c r="R37" i="37"/>
  <c r="R61" i="37"/>
  <c r="AB120" i="37"/>
  <c r="X120" i="37"/>
  <c r="R270" i="49"/>
  <c r="R24" i="37"/>
  <c r="R4" i="37" s="1"/>
  <c r="AA12" i="37"/>
  <c r="AB21" i="37"/>
  <c r="AA31" i="37"/>
  <c r="Q74" i="37"/>
  <c r="W91" i="37"/>
  <c r="I120" i="37"/>
  <c r="L244" i="49"/>
  <c r="S270" i="49"/>
  <c r="I74" i="37"/>
  <c r="X24" i="37"/>
  <c r="AB31" i="37"/>
  <c r="X91" i="37"/>
  <c r="P196" i="49"/>
  <c r="M244" i="49"/>
  <c r="W4" i="37"/>
  <c r="Y26" i="37"/>
  <c r="Y33" i="37"/>
  <c r="X37" i="37"/>
  <c r="U61" i="37"/>
  <c r="L48" i="37"/>
  <c r="K48" i="37"/>
  <c r="O48" i="37"/>
  <c r="AA48" i="37"/>
  <c r="P48" i="37"/>
  <c r="M48" i="37"/>
  <c r="I48" i="37"/>
  <c r="V48" i="37"/>
  <c r="N4" i="37"/>
  <c r="V4" i="37"/>
  <c r="Z10" i="37"/>
  <c r="Z9" i="37" s="1"/>
  <c r="M4" i="37"/>
  <c r="Q4" i="37"/>
  <c r="U4" i="37"/>
  <c r="X10" i="37"/>
  <c r="X9" i="37" s="1"/>
  <c r="X4" i="37" s="1"/>
  <c r="AA17" i="37"/>
  <c r="Z25" i="37"/>
  <c r="M74" i="37"/>
  <c r="S91" i="37"/>
  <c r="V91" i="37"/>
  <c r="Z91" i="37"/>
  <c r="U74" i="37"/>
  <c r="Z11" i="37"/>
  <c r="AA10" i="37"/>
  <c r="AA9" i="37" s="1"/>
  <c r="AA11" i="37"/>
  <c r="AA37" i="37"/>
  <c r="AB48" i="37"/>
  <c r="Z17" i="37"/>
  <c r="J24" i="37"/>
  <c r="Y25" i="37"/>
  <c r="L37" i="37"/>
  <c r="X48" i="37"/>
  <c r="T91" i="37"/>
  <c r="R91" i="37"/>
  <c r="N120" i="37"/>
  <c r="O74" i="37"/>
  <c r="S74" i="37"/>
  <c r="W74" i="37"/>
  <c r="Z74" i="37"/>
  <c r="U58" i="49"/>
  <c r="N81" i="49"/>
  <c r="L258" i="49"/>
  <c r="K35" i="49"/>
  <c r="Y74" i="37"/>
  <c r="L88" i="37"/>
  <c r="L87" i="37" s="1"/>
  <c r="AB87" i="37" s="1"/>
  <c r="K93" i="37"/>
  <c r="K92" i="37" s="1"/>
  <c r="I91" i="37"/>
  <c r="M91" i="37"/>
  <c r="Q91" i="37"/>
  <c r="U91" i="37"/>
  <c r="N30" i="49"/>
  <c r="N61" i="49"/>
  <c r="N130" i="49"/>
  <c r="Y61" i="37"/>
  <c r="J74" i="37"/>
  <c r="N74" i="37"/>
  <c r="R74" i="37"/>
  <c r="V74" i="37"/>
  <c r="V47" i="37" s="1"/>
  <c r="V166" i="37" s="1"/>
  <c r="Y91" i="37"/>
  <c r="P113" i="49"/>
  <c r="S10" i="49"/>
  <c r="S9" i="49" s="1"/>
  <c r="N42" i="49"/>
  <c r="O56" i="49"/>
  <c r="U104" i="49"/>
  <c r="Q112" i="49"/>
  <c r="U119" i="49"/>
  <c r="K144" i="49"/>
  <c r="K143" i="49" s="1"/>
  <c r="P144" i="49"/>
  <c r="P143" i="49" s="1"/>
  <c r="U148" i="49"/>
  <c r="N159" i="49"/>
  <c r="Q154" i="49"/>
  <c r="Q152" i="49" s="1"/>
  <c r="N190" i="49"/>
  <c r="U207" i="49"/>
  <c r="M270" i="49"/>
  <c r="O282" i="49"/>
  <c r="M282" i="49"/>
  <c r="R282" i="49"/>
  <c r="N36" i="49"/>
  <c r="P44" i="49"/>
  <c r="N58" i="49"/>
  <c r="K51" i="49"/>
  <c r="U73" i="49"/>
  <c r="K85" i="49"/>
  <c r="O87" i="49"/>
  <c r="O86" i="49" s="1"/>
  <c r="O85" i="49" s="1"/>
  <c r="S87" i="49"/>
  <c r="S86" i="49" s="1"/>
  <c r="S85" i="49" s="1"/>
  <c r="N104" i="49"/>
  <c r="O112" i="49"/>
  <c r="N122" i="49"/>
  <c r="T125" i="49"/>
  <c r="U200" i="49"/>
  <c r="T35" i="49"/>
  <c r="T34" i="49" s="1"/>
  <c r="Q42" i="49"/>
  <c r="Q78" i="49"/>
  <c r="Q77" i="49" s="1"/>
  <c r="Q76" i="49" s="1"/>
  <c r="O80" i="49"/>
  <c r="O78" i="49" s="1"/>
  <c r="O77" i="49" s="1"/>
  <c r="O76" i="49" s="1"/>
  <c r="P97" i="49"/>
  <c r="P84" i="49" s="1"/>
  <c r="O97" i="49"/>
  <c r="S97" i="49"/>
  <c r="N113" i="49"/>
  <c r="U116" i="49"/>
  <c r="K125" i="49"/>
  <c r="N137" i="49"/>
  <c r="R155" i="49"/>
  <c r="R154" i="49" s="1"/>
  <c r="R152" i="49" s="1"/>
  <c r="M155" i="49"/>
  <c r="M154" i="49" s="1"/>
  <c r="M152" i="49" s="1"/>
  <c r="M258" i="49"/>
  <c r="R258" i="49"/>
  <c r="Q258" i="49"/>
  <c r="Q270" i="49"/>
  <c r="P270" i="49"/>
  <c r="K282" i="49"/>
  <c r="L10" i="49"/>
  <c r="L9" i="49" s="1"/>
  <c r="N14" i="49"/>
  <c r="U14" i="49"/>
  <c r="Q26" i="49"/>
  <c r="N27" i="49"/>
  <c r="U36" i="49"/>
  <c r="O35" i="49"/>
  <c r="O34" i="49" s="1"/>
  <c r="P43" i="49"/>
  <c r="U48" i="49"/>
  <c r="O57" i="49"/>
  <c r="U70" i="49"/>
  <c r="U190" i="49"/>
  <c r="T196" i="49"/>
  <c r="T195" i="49" s="1"/>
  <c r="U195" i="49" s="1"/>
  <c r="M214" i="49"/>
  <c r="R214" i="49"/>
  <c r="T244" i="49"/>
  <c r="S282" i="49"/>
  <c r="P51" i="49"/>
  <c r="N73" i="49"/>
  <c r="P76" i="49"/>
  <c r="L97" i="49"/>
  <c r="U101" i="49"/>
  <c r="K112" i="49"/>
  <c r="M125" i="49"/>
  <c r="M112" i="49" s="1"/>
  <c r="M111" i="49" s="1"/>
  <c r="M110" i="49" s="1"/>
  <c r="L144" i="49"/>
  <c r="L143" i="49" s="1"/>
  <c r="Q144" i="49"/>
  <c r="Q143" i="49" s="1"/>
  <c r="N148" i="49"/>
  <c r="P214" i="49"/>
  <c r="N245" i="49"/>
  <c r="O10" i="49"/>
  <c r="O9" i="49" s="1"/>
  <c r="M10" i="49"/>
  <c r="M9" i="49" s="1"/>
  <c r="R10" i="49"/>
  <c r="R9" i="49" s="1"/>
  <c r="T20" i="49"/>
  <c r="T19" i="49" s="1"/>
  <c r="U30" i="49"/>
  <c r="U39" i="49"/>
  <c r="N64" i="49"/>
  <c r="M51" i="49"/>
  <c r="M33" i="49" s="1"/>
  <c r="P125" i="49"/>
  <c r="U126" i="49"/>
  <c r="S125" i="49"/>
  <c r="S112" i="49" s="1"/>
  <c r="S111" i="49" s="1"/>
  <c r="S110" i="49" s="1"/>
  <c r="M145" i="49"/>
  <c r="M144" i="49" s="1"/>
  <c r="M143" i="49" s="1"/>
  <c r="S144" i="49"/>
  <c r="S143" i="49" s="1"/>
  <c r="R196" i="49"/>
  <c r="R195" i="49" s="1"/>
  <c r="N208" i="49"/>
  <c r="N223" i="49"/>
  <c r="U232" i="49"/>
  <c r="U237" i="49"/>
  <c r="O244" i="49"/>
  <c r="S244" i="49"/>
  <c r="U259" i="49"/>
  <c r="Q55" i="49"/>
  <c r="L35" i="49"/>
  <c r="L34" i="49" s="1"/>
  <c r="R125" i="49"/>
  <c r="R111" i="49" s="1"/>
  <c r="R110" i="49" s="1"/>
  <c r="L189" i="49"/>
  <c r="N189" i="49" s="1"/>
  <c r="U296" i="49"/>
  <c r="Q10" i="49"/>
  <c r="Q9" i="49" s="1"/>
  <c r="U21" i="49"/>
  <c r="Q38" i="49"/>
  <c r="N39" i="49"/>
  <c r="P41" i="49"/>
  <c r="N52" i="49"/>
  <c r="N78" i="49"/>
  <c r="N91" i="49"/>
  <c r="N101" i="49"/>
  <c r="N119" i="49"/>
  <c r="O125" i="49"/>
  <c r="T145" i="49"/>
  <c r="U145" i="49" s="1"/>
  <c r="S155" i="49"/>
  <c r="O155" i="49"/>
  <c r="O154" i="49" s="1"/>
  <c r="O152" i="49" s="1"/>
  <c r="T189" i="49"/>
  <c r="U189" i="49" s="1"/>
  <c r="P195" i="49"/>
  <c r="L207" i="49"/>
  <c r="N207" i="49" s="1"/>
  <c r="K214" i="49"/>
  <c r="U248" i="49"/>
  <c r="N283" i="49"/>
  <c r="P282" i="49"/>
  <c r="P257" i="49" s="1"/>
  <c r="N297" i="49"/>
  <c r="N301" i="49"/>
  <c r="U301" i="49"/>
  <c r="R20" i="49"/>
  <c r="R19" i="49" s="1"/>
  <c r="R18" i="49" s="1"/>
  <c r="K20" i="49"/>
  <c r="K19" i="49" s="1"/>
  <c r="S51" i="49"/>
  <c r="N116" i="49"/>
  <c r="P116" i="49"/>
  <c r="P112" i="49" s="1"/>
  <c r="P111" i="49" s="1"/>
  <c r="P110" i="49" s="1"/>
  <c r="N150" i="49"/>
  <c r="N169" i="49"/>
  <c r="Q214" i="49"/>
  <c r="O258" i="49"/>
  <c r="S258" i="49"/>
  <c r="U258" i="49" s="1"/>
  <c r="N274" i="49"/>
  <c r="L282" i="49"/>
  <c r="N282" i="49" s="1"/>
  <c r="N296" i="49"/>
  <c r="U297" i="49"/>
  <c r="R51" i="49"/>
  <c r="N11" i="49"/>
  <c r="P10" i="49"/>
  <c r="P9" i="49" s="1"/>
  <c r="U24" i="49"/>
  <c r="U52" i="49"/>
  <c r="N70" i="49"/>
  <c r="N77" i="49"/>
  <c r="R76" i="49"/>
  <c r="N88" i="49"/>
  <c r="U107" i="49"/>
  <c r="Q125" i="49"/>
  <c r="Q111" i="49" s="1"/>
  <c r="Q110" i="49" s="1"/>
  <c r="U137" i="49"/>
  <c r="L155" i="49"/>
  <c r="N197" i="49"/>
  <c r="O195" i="49"/>
  <c r="T236" i="49"/>
  <c r="U236" i="49" s="1"/>
  <c r="N241" i="49"/>
  <c r="L270" i="49"/>
  <c r="Q282" i="49"/>
  <c r="U11" i="49"/>
  <c r="T10" i="49"/>
  <c r="M20" i="49"/>
  <c r="M19" i="49" s="1"/>
  <c r="M18" i="49" s="1"/>
  <c r="N21" i="49"/>
  <c r="K244" i="49"/>
  <c r="N248" i="49"/>
  <c r="N244" i="49" s="1"/>
  <c r="K34" i="49"/>
  <c r="Q54" i="49"/>
  <c r="Q52" i="49" s="1"/>
  <c r="O54" i="49"/>
  <c r="N107" i="49"/>
  <c r="K97" i="49"/>
  <c r="K10" i="49"/>
  <c r="Q25" i="49"/>
  <c r="Q24" i="49" s="1"/>
  <c r="P25" i="49"/>
  <c r="P24" i="49" s="1"/>
  <c r="O25" i="49"/>
  <c r="R35" i="49"/>
  <c r="R34" i="49" s="1"/>
  <c r="P37" i="49"/>
  <c r="P36" i="49" s="1"/>
  <c r="Q37" i="49"/>
  <c r="Q40" i="49"/>
  <c r="Q39" i="49" s="1"/>
  <c r="P40" i="49"/>
  <c r="T87" i="49"/>
  <c r="U88" i="49"/>
  <c r="T97" i="49"/>
  <c r="U97" i="49" s="1"/>
  <c r="L51" i="49"/>
  <c r="U64" i="49"/>
  <c r="S76" i="49"/>
  <c r="U81" i="49"/>
  <c r="Q87" i="49"/>
  <c r="Q86" i="49" s="1"/>
  <c r="Q85" i="49" s="1"/>
  <c r="K110" i="49"/>
  <c r="U113" i="49"/>
  <c r="T112" i="49"/>
  <c r="N271" i="49"/>
  <c r="K270" i="49"/>
  <c r="U271" i="49"/>
  <c r="U283" i="49"/>
  <c r="T282" i="49"/>
  <c r="O26" i="49"/>
  <c r="O28" i="49"/>
  <c r="O27" i="49" s="1"/>
  <c r="P29" i="49"/>
  <c r="P27" i="49" s="1"/>
  <c r="S35" i="49"/>
  <c r="U42" i="49"/>
  <c r="O53" i="49"/>
  <c r="U55" i="49"/>
  <c r="N67" i="49"/>
  <c r="U67" i="49"/>
  <c r="K76" i="49"/>
  <c r="N76" i="49" s="1"/>
  <c r="U78" i="49"/>
  <c r="M87" i="49"/>
  <c r="M86" i="49" s="1"/>
  <c r="M85" i="49" s="1"/>
  <c r="R87" i="49"/>
  <c r="R86" i="49" s="1"/>
  <c r="R85" i="49" s="1"/>
  <c r="U94" i="49"/>
  <c r="N98" i="49"/>
  <c r="Q97" i="49"/>
  <c r="L112" i="49"/>
  <c r="L111" i="49" s="1"/>
  <c r="U150" i="49"/>
  <c r="T144" i="49"/>
  <c r="U169" i="49"/>
  <c r="K195" i="49"/>
  <c r="U196" i="49"/>
  <c r="S20" i="49"/>
  <c r="S19" i="49" s="1"/>
  <c r="S18" i="49" s="1"/>
  <c r="Q28" i="49"/>
  <c r="Q29" i="49"/>
  <c r="N45" i="49"/>
  <c r="N55" i="49"/>
  <c r="Q74" i="49"/>
  <c r="Q73" i="49" s="1"/>
  <c r="O74" i="49"/>
  <c r="O73" i="49" s="1"/>
  <c r="L87" i="49"/>
  <c r="L86" i="49" s="1"/>
  <c r="L85" i="49" s="1"/>
  <c r="M97" i="49"/>
  <c r="R97" i="49"/>
  <c r="T154" i="49"/>
  <c r="U159" i="49"/>
  <c r="L154" i="49"/>
  <c r="L152" i="49" s="1"/>
  <c r="L196" i="49"/>
  <c r="Q196" i="49"/>
  <c r="Q195" i="49" s="1"/>
  <c r="U197" i="49"/>
  <c r="S214" i="49"/>
  <c r="N126" i="49"/>
  <c r="N125" i="49" s="1"/>
  <c r="U130" i="49"/>
  <c r="M196" i="49"/>
  <c r="M195" i="49" s="1"/>
  <c r="U208" i="49"/>
  <c r="O214" i="49"/>
  <c r="U215" i="49"/>
  <c r="U223" i="49"/>
  <c r="N237" i="49"/>
  <c r="U241" i="49"/>
  <c r="N262" i="49"/>
  <c r="K258" i="49"/>
  <c r="U262" i="49"/>
  <c r="T270" i="49"/>
  <c r="U274" i="49"/>
  <c r="N286" i="49"/>
  <c r="T51" i="49"/>
  <c r="T77" i="49"/>
  <c r="U122" i="49"/>
  <c r="N145" i="49"/>
  <c r="N172" i="49"/>
  <c r="U172" i="49"/>
  <c r="T171" i="49"/>
  <c r="U171" i="49" s="1"/>
  <c r="N200" i="49"/>
  <c r="L214" i="49"/>
  <c r="N219" i="49"/>
  <c r="U219" i="49"/>
  <c r="N232" i="49"/>
  <c r="N236" i="49"/>
  <c r="I10" i="37"/>
  <c r="Y11" i="37"/>
  <c r="L61" i="37"/>
  <c r="P61" i="37"/>
  <c r="T61" i="37"/>
  <c r="X61" i="37"/>
  <c r="AB74" i="37"/>
  <c r="L74" i="37"/>
  <c r="P74" i="37"/>
  <c r="T74" i="37"/>
  <c r="X74" i="37"/>
  <c r="Y6" i="37"/>
  <c r="Y12" i="37"/>
  <c r="AA87" i="37"/>
  <c r="AA74" i="37" s="1"/>
  <c r="K74" i="37"/>
  <c r="Y120" i="37"/>
  <c r="Y47" i="37" s="1"/>
  <c r="CU166" i="54" s="1"/>
  <c r="I24" i="37"/>
  <c r="Y24" i="37" s="1"/>
  <c r="I37" i="37"/>
  <c r="Y37" i="37" s="1"/>
  <c r="L10" i="37"/>
  <c r="L17" i="37"/>
  <c r="AB17" i="37" s="1"/>
  <c r="L25" i="37"/>
  <c r="J47" i="37"/>
  <c r="AA89" i="37"/>
  <c r="X47" i="37" l="1"/>
  <c r="X166" i="37" s="1"/>
  <c r="R257" i="49"/>
  <c r="R47" i="37"/>
  <c r="S47" i="37"/>
  <c r="S166" i="37" s="1"/>
  <c r="P39" i="49"/>
  <c r="M257" i="49"/>
  <c r="N47" i="37"/>
  <c r="N166" i="37" s="1"/>
  <c r="U125" i="49"/>
  <c r="S84" i="49"/>
  <c r="AA24" i="37"/>
  <c r="O84" i="49"/>
  <c r="Z37" i="37"/>
  <c r="AB47" i="37"/>
  <c r="CX166" i="54" s="1"/>
  <c r="CX164" i="54" s="1"/>
  <c r="R166" i="37"/>
  <c r="Z47" i="37"/>
  <c r="CV166" i="54" s="1"/>
  <c r="CV164" i="54" s="1"/>
  <c r="W47" i="37"/>
  <c r="W166" i="37" s="1"/>
  <c r="L91" i="37"/>
  <c r="K4" i="37"/>
  <c r="AA4" i="37" s="1"/>
  <c r="Q47" i="37"/>
  <c r="Q166" i="37" s="1"/>
  <c r="U47" i="37"/>
  <c r="U166" i="37" s="1"/>
  <c r="L195" i="49"/>
  <c r="N195" i="49" s="1"/>
  <c r="L33" i="49"/>
  <c r="I47" i="37"/>
  <c r="AB37" i="37"/>
  <c r="AA25" i="37"/>
  <c r="N270" i="49"/>
  <c r="Z24" i="37"/>
  <c r="T47" i="37"/>
  <c r="T166" i="37" s="1"/>
  <c r="P47" i="37"/>
  <c r="P166" i="37" s="1"/>
  <c r="N35" i="49"/>
  <c r="AB11" i="37"/>
  <c r="M47" i="37"/>
  <c r="M166" i="37" s="1"/>
  <c r="O47" i="37"/>
  <c r="O166" i="37" s="1"/>
  <c r="S257" i="49"/>
  <c r="P42" i="49"/>
  <c r="P35" i="49" s="1"/>
  <c r="P34" i="49" s="1"/>
  <c r="P33" i="49" s="1"/>
  <c r="O257" i="49"/>
  <c r="O142" i="49" s="1"/>
  <c r="O55" i="49"/>
  <c r="L47" i="37"/>
  <c r="AA92" i="37"/>
  <c r="AA91" i="37" s="1"/>
  <c r="AA47" i="37" s="1"/>
  <c r="CW166" i="54" s="1"/>
  <c r="CW164" i="54" s="1"/>
  <c r="K91" i="37"/>
  <c r="K47" i="37" s="1"/>
  <c r="K166" i="37" s="1"/>
  <c r="N19" i="49"/>
  <c r="J4" i="37"/>
  <c r="Z4" i="37" s="1"/>
  <c r="T33" i="49"/>
  <c r="K84" i="49"/>
  <c r="N155" i="49"/>
  <c r="P155" i="49" s="1"/>
  <c r="P154" i="49" s="1"/>
  <c r="P152" i="49" s="1"/>
  <c r="P142" i="49" s="1"/>
  <c r="U282" i="49"/>
  <c r="Q257" i="49"/>
  <c r="Q142" i="49" s="1"/>
  <c r="O111" i="49"/>
  <c r="O110" i="49" s="1"/>
  <c r="N143" i="49"/>
  <c r="N214" i="49"/>
  <c r="T214" i="49"/>
  <c r="U214" i="49" s="1"/>
  <c r="K18" i="49"/>
  <c r="N18" i="49" s="1"/>
  <c r="R142" i="49"/>
  <c r="N152" i="49"/>
  <c r="N144" i="49"/>
  <c r="U244" i="49"/>
  <c r="L257" i="49"/>
  <c r="L142" i="49" s="1"/>
  <c r="Q84" i="49"/>
  <c r="Q36" i="49"/>
  <c r="Q35" i="49" s="1"/>
  <c r="Q34" i="49" s="1"/>
  <c r="P20" i="49"/>
  <c r="P19" i="49" s="1"/>
  <c r="P18" i="49" s="1"/>
  <c r="U51" i="49"/>
  <c r="M142" i="49"/>
  <c r="U155" i="49"/>
  <c r="S154" i="49"/>
  <c r="S152" i="49" s="1"/>
  <c r="S142" i="49" s="1"/>
  <c r="N87" i="49"/>
  <c r="R33" i="49"/>
  <c r="K257" i="49"/>
  <c r="K142" i="49" s="1"/>
  <c r="N258" i="49"/>
  <c r="N154" i="49"/>
  <c r="N86" i="49"/>
  <c r="S34" i="49"/>
  <c r="U35" i="49"/>
  <c r="Q51" i="49"/>
  <c r="U87" i="49"/>
  <c r="T86" i="49"/>
  <c r="K9" i="49"/>
  <c r="N10" i="49"/>
  <c r="U20" i="49"/>
  <c r="U10" i="49"/>
  <c r="T9" i="49"/>
  <c r="N34" i="49"/>
  <c r="K33" i="49"/>
  <c r="N33" i="49" s="1"/>
  <c r="U19" i="49"/>
  <c r="T18" i="49"/>
  <c r="T76" i="49"/>
  <c r="U76" i="49" s="1"/>
  <c r="U77" i="49"/>
  <c r="U270" i="49"/>
  <c r="T257" i="49"/>
  <c r="U144" i="49"/>
  <c r="T143" i="49"/>
  <c r="N111" i="49"/>
  <c r="L110" i="49"/>
  <c r="R84" i="49"/>
  <c r="N112" i="49"/>
  <c r="N97" i="49"/>
  <c r="N51" i="49"/>
  <c r="U112" i="49"/>
  <c r="T110" i="49"/>
  <c r="U110" i="49" s="1"/>
  <c r="T111" i="49"/>
  <c r="U111" i="49" s="1"/>
  <c r="T152" i="49"/>
  <c r="L84" i="49"/>
  <c r="N85" i="49"/>
  <c r="Q27" i="49"/>
  <c r="Q20" i="49" s="1"/>
  <c r="Q19" i="49" s="1"/>
  <c r="Q18" i="49" s="1"/>
  <c r="M84" i="49"/>
  <c r="M17" i="49" s="1"/>
  <c r="M8" i="49" s="1"/>
  <c r="O52" i="49"/>
  <c r="N196" i="49"/>
  <c r="N110" i="49"/>
  <c r="O24" i="49"/>
  <c r="O20" i="49" s="1"/>
  <c r="O19" i="49" s="1"/>
  <c r="O18" i="49" s="1"/>
  <c r="N20" i="49"/>
  <c r="AB25" i="37"/>
  <c r="L24" i="37"/>
  <c r="AB24" i="37" s="1"/>
  <c r="AB10" i="37"/>
  <c r="AB9" i="37" s="1"/>
  <c r="L9" i="37"/>
  <c r="I9" i="37"/>
  <c r="I4" i="37" s="1"/>
  <c r="Y10" i="37"/>
  <c r="Y9" i="37" s="1"/>
  <c r="M7" i="49" l="1"/>
  <c r="O51" i="49"/>
  <c r="O33" i="49" s="1"/>
  <c r="O17" i="49" s="1"/>
  <c r="O8" i="49" s="1"/>
  <c r="O7" i="49" s="1"/>
  <c r="U257" i="49"/>
  <c r="AA166" i="37"/>
  <c r="J166" i="37"/>
  <c r="Z166" i="37" s="1"/>
  <c r="U152" i="49"/>
  <c r="U154" i="49"/>
  <c r="Q33" i="49"/>
  <c r="N142" i="49"/>
  <c r="N257" i="49"/>
  <c r="P17" i="49"/>
  <c r="P8" i="49" s="1"/>
  <c r="P7" i="49" s="1"/>
  <c r="N84" i="49"/>
  <c r="Q17" i="49"/>
  <c r="Q8" i="49" s="1"/>
  <c r="Q7" i="49" s="1"/>
  <c r="R17" i="49"/>
  <c r="R8" i="49" s="1"/>
  <c r="R7" i="49" s="1"/>
  <c r="U143" i="49"/>
  <c r="T142" i="49"/>
  <c r="U142" i="49" s="1"/>
  <c r="S33" i="49"/>
  <c r="U34" i="49"/>
  <c r="U18" i="49"/>
  <c r="U9" i="49"/>
  <c r="N9" i="49"/>
  <c r="L17" i="49"/>
  <c r="L8" i="49" s="1"/>
  <c r="L7" i="49" s="1"/>
  <c r="U86" i="49"/>
  <c r="T85" i="49"/>
  <c r="K17" i="49"/>
  <c r="Y4" i="37"/>
  <c r="AC4" i="37" s="1"/>
  <c r="I166" i="37"/>
  <c r="Y166" i="37" s="1"/>
  <c r="L4" i="37"/>
  <c r="N17" i="49" l="1"/>
  <c r="U33" i="49"/>
  <c r="S17" i="49"/>
  <c r="S8" i="49" s="1"/>
  <c r="S7" i="49" s="1"/>
  <c r="T84" i="49"/>
  <c r="U85" i="49"/>
  <c r="K8" i="49"/>
  <c r="AB4" i="37"/>
  <c r="L166" i="37"/>
  <c r="AB166" i="37" s="1"/>
  <c r="U84" i="49" l="1"/>
  <c r="T17" i="49"/>
  <c r="N8" i="49"/>
  <c r="K7" i="49"/>
  <c r="N7" i="49" s="1"/>
  <c r="U17" i="49" l="1"/>
  <c r="T8" i="49"/>
  <c r="T7" i="49" l="1"/>
  <c r="U7" i="49" s="1"/>
  <c r="U8" i="49"/>
  <c r="H208" i="34" l="1"/>
  <c r="H74" i="34"/>
  <c r="H293" i="34"/>
  <c r="AE31" i="34" l="1"/>
  <c r="AE30" i="34"/>
  <c r="AE29" i="34"/>
  <c r="AE28" i="34"/>
  <c r="AE27" i="34"/>
  <c r="AE25" i="34"/>
  <c r="AE24" i="34"/>
  <c r="AG246" i="34"/>
  <c r="AF246" i="34"/>
  <c r="AG127" i="34"/>
  <c r="AF127" i="34"/>
  <c r="AG126" i="34"/>
  <c r="AF126" i="34"/>
  <c r="CP160" i="48"/>
  <c r="CO160" i="48"/>
  <c r="CN160" i="48"/>
  <c r="CM160" i="48"/>
  <c r="CL160" i="48"/>
  <c r="CK160" i="48"/>
  <c r="CJ160" i="48"/>
  <c r="CI160" i="48"/>
  <c r="CH160" i="48"/>
  <c r="CG160" i="48"/>
  <c r="CF160" i="48"/>
  <c r="CE160" i="48"/>
  <c r="CD160" i="48"/>
  <c r="CC160" i="48"/>
  <c r="CB160" i="48"/>
  <c r="CA160" i="48"/>
  <c r="BZ160" i="48"/>
  <c r="BY160" i="48"/>
  <c r="BX160" i="48"/>
  <c r="BT160" i="48"/>
  <c r="BR160" i="48"/>
  <c r="BQ160" i="48"/>
  <c r="BP160" i="48"/>
  <c r="BO160" i="48"/>
  <c r="BN160" i="48"/>
  <c r="BM160" i="48"/>
  <c r="BL160" i="48"/>
  <c r="BK160" i="48"/>
  <c r="BJ160" i="48"/>
  <c r="BI160" i="48"/>
  <c r="BH160" i="48"/>
  <c r="BG160" i="48"/>
  <c r="BF160" i="48"/>
  <c r="BE160" i="48"/>
  <c r="BD160" i="48"/>
  <c r="BC160" i="48"/>
  <c r="BB160" i="48"/>
  <c r="BA160" i="48"/>
  <c r="AZ160" i="48"/>
  <c r="AY160" i="48"/>
  <c r="AX160" i="48"/>
  <c r="AW160" i="48"/>
  <c r="AV160" i="48"/>
  <c r="AU160" i="48"/>
  <c r="AT160" i="48"/>
  <c r="AS160" i="48"/>
  <c r="AR160" i="48"/>
  <c r="AQ160" i="48"/>
  <c r="AP160" i="48"/>
  <c r="AO160" i="48"/>
  <c r="AN160" i="48"/>
  <c r="AL160" i="48"/>
  <c r="AK160" i="48"/>
  <c r="AJ160" i="48"/>
  <c r="AI160" i="48"/>
  <c r="AH160" i="48"/>
  <c r="AG160" i="48"/>
  <c r="AF160" i="48"/>
  <c r="AE160" i="48"/>
  <c r="AD160" i="48"/>
  <c r="AC160" i="48"/>
  <c r="AB160" i="48"/>
  <c r="AA160" i="48"/>
  <c r="Z160" i="48"/>
  <c r="Y160" i="48"/>
  <c r="X160" i="48"/>
  <c r="W160" i="48"/>
  <c r="V160" i="48"/>
  <c r="U160" i="48"/>
  <c r="T160" i="48"/>
  <c r="S160" i="48"/>
  <c r="R160" i="48"/>
  <c r="Q160" i="48"/>
  <c r="P160" i="48"/>
  <c r="O160" i="48"/>
  <c r="N160" i="48"/>
  <c r="M160" i="48"/>
  <c r="L160" i="48"/>
  <c r="K160" i="48"/>
  <c r="J160" i="48"/>
  <c r="I160" i="48"/>
  <c r="H160" i="48"/>
  <c r="G160" i="48"/>
  <c r="E160" i="48"/>
  <c r="D160" i="48"/>
  <c r="C160" i="48"/>
  <c r="B160" i="48"/>
  <c r="CT159" i="48"/>
  <c r="CS159" i="48"/>
  <c r="CR159" i="48"/>
  <c r="CQ159" i="48"/>
  <c r="CT158" i="48"/>
  <c r="CS158" i="48"/>
  <c r="CR158" i="48"/>
  <c r="BW158" i="48"/>
  <c r="CQ158" i="48" s="1"/>
  <c r="CT157" i="48"/>
  <c r="CS157" i="48"/>
  <c r="CR157" i="48"/>
  <c r="BW157" i="48"/>
  <c r="CQ157" i="48" s="1"/>
  <c r="CT156" i="48"/>
  <c r="CS156" i="48"/>
  <c r="CR156" i="48"/>
  <c r="BW156" i="48"/>
  <c r="CQ156" i="48" s="1"/>
  <c r="CT155" i="48"/>
  <c r="CS155" i="48"/>
  <c r="CR155" i="48"/>
  <c r="BW155" i="48"/>
  <c r="CQ155" i="48" s="1"/>
  <c r="CT154" i="48"/>
  <c r="CS154" i="48"/>
  <c r="CR154" i="48"/>
  <c r="BW154" i="48"/>
  <c r="CQ154" i="48" s="1"/>
  <c r="CT153" i="48"/>
  <c r="CS153" i="48"/>
  <c r="CR153" i="48"/>
  <c r="BW153" i="48"/>
  <c r="BW160" i="48" s="1"/>
  <c r="CT152" i="48"/>
  <c r="CS152" i="48"/>
  <c r="CR152" i="48"/>
  <c r="CQ152" i="48"/>
  <c r="CT151" i="48"/>
  <c r="CS151" i="48"/>
  <c r="CR151" i="48"/>
  <c r="BS151" i="48"/>
  <c r="CQ151" i="48" s="1"/>
  <c r="CT150" i="48"/>
  <c r="CS150" i="48"/>
  <c r="CR150" i="48"/>
  <c r="BS150" i="48"/>
  <c r="CQ150" i="48" s="1"/>
  <c r="CT149" i="48"/>
  <c r="CS149" i="48"/>
  <c r="CR149" i="48"/>
  <c r="BS149" i="48"/>
  <c r="CQ149" i="48" s="1"/>
  <c r="CT148" i="48"/>
  <c r="CS148" i="48"/>
  <c r="CR148" i="48"/>
  <c r="BS148" i="48"/>
  <c r="CQ148" i="48" s="1"/>
  <c r="CT147" i="48"/>
  <c r="CS147" i="48"/>
  <c r="CR147" i="48"/>
  <c r="BS147" i="48"/>
  <c r="CQ147" i="48" s="1"/>
  <c r="CT146" i="48"/>
  <c r="CS146" i="48"/>
  <c r="CR146" i="48"/>
  <c r="BS146" i="48"/>
  <c r="CQ146" i="48" s="1"/>
  <c r="CT145" i="48"/>
  <c r="CS145" i="48"/>
  <c r="CR145" i="48"/>
  <c r="BS145" i="48"/>
  <c r="CQ145" i="48" s="1"/>
  <c r="CT144" i="48"/>
  <c r="CS144" i="48"/>
  <c r="CR144" i="48"/>
  <c r="BS144" i="48"/>
  <c r="CQ144" i="48" s="1"/>
  <c r="CT143" i="48"/>
  <c r="CS143" i="48"/>
  <c r="CR143" i="48"/>
  <c r="BS143" i="48"/>
  <c r="CQ143" i="48" s="1"/>
  <c r="CT142" i="48"/>
  <c r="CS142" i="48"/>
  <c r="CR142" i="48"/>
  <c r="BS142" i="48"/>
  <c r="CQ142" i="48" s="1"/>
  <c r="CT141" i="48"/>
  <c r="CS141" i="48"/>
  <c r="CR141" i="48"/>
  <c r="BS141" i="48"/>
  <c r="CQ141" i="48" s="1"/>
  <c r="CT140" i="48"/>
  <c r="CS140" i="48"/>
  <c r="CR140" i="48"/>
  <c r="BS140" i="48"/>
  <c r="CQ140" i="48" s="1"/>
  <c r="CT139" i="48"/>
  <c r="CS139" i="48"/>
  <c r="CR139" i="48"/>
  <c r="BS139" i="48"/>
  <c r="CQ139" i="48" s="1"/>
  <c r="CT138" i="48"/>
  <c r="CS138" i="48"/>
  <c r="CR138" i="48"/>
  <c r="BS138" i="48"/>
  <c r="CQ138" i="48" s="1"/>
  <c r="CT137" i="48"/>
  <c r="CS137" i="48"/>
  <c r="CR137" i="48"/>
  <c r="BS137" i="48"/>
  <c r="CQ137" i="48" s="1"/>
  <c r="CT136" i="48"/>
  <c r="CS136" i="48"/>
  <c r="CR136" i="48"/>
  <c r="BS136" i="48"/>
  <c r="CQ136" i="48" s="1"/>
  <c r="CT135" i="48"/>
  <c r="CS135" i="48"/>
  <c r="CR135" i="48"/>
  <c r="BS135" i="48"/>
  <c r="CQ135" i="48" s="1"/>
  <c r="CT134" i="48"/>
  <c r="CS134" i="48"/>
  <c r="CR134" i="48"/>
  <c r="BS134" i="48"/>
  <c r="CQ134" i="48" s="1"/>
  <c r="CT133" i="48"/>
  <c r="CS133" i="48"/>
  <c r="CR133" i="48"/>
  <c r="BS133" i="48"/>
  <c r="CQ133" i="48" s="1"/>
  <c r="CT132" i="48"/>
  <c r="CS132" i="48"/>
  <c r="CR132" i="48"/>
  <c r="BS132" i="48"/>
  <c r="CQ132" i="48" s="1"/>
  <c r="CT131" i="48"/>
  <c r="CS131" i="48"/>
  <c r="CR131" i="48"/>
  <c r="BS131" i="48"/>
  <c r="CQ131" i="48" s="1"/>
  <c r="CT130" i="48"/>
  <c r="CS130" i="48"/>
  <c r="CR130" i="48"/>
  <c r="BS130" i="48"/>
  <c r="CQ130" i="48" s="1"/>
  <c r="CT129" i="48"/>
  <c r="CS129" i="48"/>
  <c r="CR129" i="48"/>
  <c r="BS129" i="48"/>
  <c r="CQ129" i="48" s="1"/>
  <c r="CT128" i="48"/>
  <c r="CS128" i="48"/>
  <c r="CR128" i="48"/>
  <c r="BS128" i="48"/>
  <c r="CQ128" i="48" s="1"/>
  <c r="CT127" i="48"/>
  <c r="CS127" i="48"/>
  <c r="CR127" i="48"/>
  <c r="BS127" i="48"/>
  <c r="CQ127" i="48" s="1"/>
  <c r="CT126" i="48"/>
  <c r="CS126" i="48"/>
  <c r="CR126" i="48"/>
  <c r="BS126" i="48"/>
  <c r="CQ126" i="48" s="1"/>
  <c r="CT125" i="48"/>
  <c r="CS125" i="48"/>
  <c r="CR125" i="48"/>
  <c r="BS125" i="48"/>
  <c r="CQ125" i="48" s="1"/>
  <c r="CT124" i="48"/>
  <c r="CS124" i="48"/>
  <c r="CR124" i="48"/>
  <c r="BS124" i="48"/>
  <c r="CQ124" i="48" s="1"/>
  <c r="CT123" i="48"/>
  <c r="CS123" i="48"/>
  <c r="CR123" i="48"/>
  <c r="BS123" i="48"/>
  <c r="CQ123" i="48" s="1"/>
  <c r="CT122" i="48"/>
  <c r="CS122" i="48"/>
  <c r="CR122" i="48"/>
  <c r="BS122" i="48"/>
  <c r="CQ122" i="48" s="1"/>
  <c r="CT121" i="48"/>
  <c r="CS121" i="48"/>
  <c r="CR121" i="48"/>
  <c r="BS121" i="48"/>
  <c r="CQ121" i="48" s="1"/>
  <c r="CT120" i="48"/>
  <c r="CS120" i="48"/>
  <c r="CR120" i="48"/>
  <c r="BS120" i="48"/>
  <c r="CQ120" i="48" s="1"/>
  <c r="CT119" i="48"/>
  <c r="CS119" i="48"/>
  <c r="CR119" i="48"/>
  <c r="CQ119" i="48"/>
  <c r="BS119" i="48"/>
  <c r="CT118" i="48"/>
  <c r="CS118" i="48"/>
  <c r="CR118" i="48"/>
  <c r="BS118" i="48"/>
  <c r="CQ118" i="48" s="1"/>
  <c r="CT117" i="48"/>
  <c r="CS117" i="48"/>
  <c r="CR117" i="48"/>
  <c r="BS117" i="48"/>
  <c r="CQ117" i="48" s="1"/>
  <c r="CT116" i="48"/>
  <c r="CS116" i="48"/>
  <c r="CR116" i="48"/>
  <c r="BS116" i="48"/>
  <c r="CQ116" i="48" s="1"/>
  <c r="CT115" i="48"/>
  <c r="CS115" i="48"/>
  <c r="CR115" i="48"/>
  <c r="BS115" i="48"/>
  <c r="CQ115" i="48" s="1"/>
  <c r="CT114" i="48"/>
  <c r="CS114" i="48"/>
  <c r="CR114" i="48"/>
  <c r="BS114" i="48"/>
  <c r="CQ114" i="48" s="1"/>
  <c r="CT113" i="48"/>
  <c r="CS113" i="48"/>
  <c r="CR113" i="48"/>
  <c r="CQ113" i="48"/>
  <c r="BS113" i="48"/>
  <c r="CT112" i="48"/>
  <c r="CS112" i="48"/>
  <c r="CR112" i="48"/>
  <c r="CQ112" i="48"/>
  <c r="CT111" i="48"/>
  <c r="CS111" i="48"/>
  <c r="CR111" i="48"/>
  <c r="CQ111" i="48"/>
  <c r="CT110" i="48"/>
  <c r="CS110" i="48"/>
  <c r="CR110" i="48"/>
  <c r="CQ110" i="48"/>
  <c r="CT109" i="48"/>
  <c r="CS109" i="48"/>
  <c r="CR109" i="48"/>
  <c r="CQ109" i="48"/>
  <c r="CT108" i="48"/>
  <c r="CS108" i="48"/>
  <c r="CR108" i="48"/>
  <c r="BS108" i="48"/>
  <c r="CQ108" i="48" s="1"/>
  <c r="CT107" i="48"/>
  <c r="CS107" i="48"/>
  <c r="CR107" i="48"/>
  <c r="BS107" i="48"/>
  <c r="CQ107" i="48" s="1"/>
  <c r="CT106" i="48"/>
  <c r="CS106" i="48"/>
  <c r="CR106" i="48"/>
  <c r="BS106" i="48"/>
  <c r="CQ106" i="48" s="1"/>
  <c r="CT105" i="48"/>
  <c r="CS105" i="48"/>
  <c r="CR105" i="48"/>
  <c r="BS105" i="48"/>
  <c r="CQ105" i="48" s="1"/>
  <c r="CT104" i="48"/>
  <c r="CS104" i="48"/>
  <c r="CR104" i="48"/>
  <c r="BS104" i="48"/>
  <c r="CQ104" i="48" s="1"/>
  <c r="CT103" i="48"/>
  <c r="CS103" i="48"/>
  <c r="CR103" i="48"/>
  <c r="BS103" i="48"/>
  <c r="CQ103" i="48" s="1"/>
  <c r="CT102" i="48"/>
  <c r="CS102" i="48"/>
  <c r="CR102" i="48"/>
  <c r="BS102" i="48"/>
  <c r="CQ102" i="48" s="1"/>
  <c r="CT101" i="48"/>
  <c r="CS101" i="48"/>
  <c r="CR101" i="48"/>
  <c r="BS101" i="48"/>
  <c r="CQ101" i="48" s="1"/>
  <c r="CT100" i="48"/>
  <c r="CS100" i="48"/>
  <c r="CR100" i="48"/>
  <c r="BS100" i="48"/>
  <c r="CQ100" i="48" s="1"/>
  <c r="CT99" i="48"/>
  <c r="CS99" i="48"/>
  <c r="CR99" i="48"/>
  <c r="CQ99" i="48"/>
  <c r="CT98" i="48"/>
  <c r="CS98" i="48"/>
  <c r="CR98" i="48"/>
  <c r="CQ98" i="48"/>
  <c r="CT97" i="48"/>
  <c r="CS97" i="48"/>
  <c r="CR97" i="48"/>
  <c r="BS97" i="48"/>
  <c r="CQ97" i="48" s="1"/>
  <c r="CT96" i="48"/>
  <c r="CS96" i="48"/>
  <c r="CR96" i="48"/>
  <c r="BS96" i="48"/>
  <c r="CQ96" i="48" s="1"/>
  <c r="CT95" i="48"/>
  <c r="CS95" i="48"/>
  <c r="CR95" i="48"/>
  <c r="BS95" i="48"/>
  <c r="CQ95" i="48" s="1"/>
  <c r="CT94" i="48"/>
  <c r="CS94" i="48"/>
  <c r="CR94" i="48"/>
  <c r="BS94" i="48"/>
  <c r="CQ94" i="48" s="1"/>
  <c r="CT93" i="48"/>
  <c r="CS93" i="48"/>
  <c r="CR93" i="48"/>
  <c r="CQ93" i="48"/>
  <c r="CT92" i="48"/>
  <c r="CS92" i="48"/>
  <c r="CR92" i="48"/>
  <c r="CQ92" i="48"/>
  <c r="CT91" i="48"/>
  <c r="CS91" i="48"/>
  <c r="CR91" i="48"/>
  <c r="BS91" i="48"/>
  <c r="CQ91" i="48" s="1"/>
  <c r="CT90" i="48"/>
  <c r="CS90" i="48"/>
  <c r="CR90" i="48"/>
  <c r="BS90" i="48"/>
  <c r="CQ90" i="48" s="1"/>
  <c r="CT89" i="48"/>
  <c r="CS89" i="48"/>
  <c r="CR89" i="48"/>
  <c r="CQ89" i="48"/>
  <c r="CT88" i="48"/>
  <c r="CS88" i="48"/>
  <c r="CR88" i="48"/>
  <c r="BS88" i="48"/>
  <c r="CQ88" i="48" s="1"/>
  <c r="CT87" i="48"/>
  <c r="CS87" i="48"/>
  <c r="CR87" i="48"/>
  <c r="CQ87" i="48"/>
  <c r="CT86" i="48"/>
  <c r="CS86" i="48"/>
  <c r="CR86" i="48"/>
  <c r="BS86" i="48"/>
  <c r="CQ86" i="48" s="1"/>
  <c r="CT85" i="48"/>
  <c r="CS85" i="48"/>
  <c r="CR85" i="48"/>
  <c r="CQ85" i="48"/>
  <c r="BS85" i="48"/>
  <c r="CT84" i="48"/>
  <c r="CS84" i="48"/>
  <c r="CR84" i="48"/>
  <c r="CQ84" i="48"/>
  <c r="CT83" i="48"/>
  <c r="CS83" i="48"/>
  <c r="CR83" i="48"/>
  <c r="BS83" i="48"/>
  <c r="CQ83" i="48" s="1"/>
  <c r="CT82" i="48"/>
  <c r="CS82" i="48"/>
  <c r="CR82" i="48"/>
  <c r="BS82" i="48"/>
  <c r="CQ82" i="48" s="1"/>
  <c r="CT81" i="48"/>
  <c r="CS81" i="48"/>
  <c r="CR81" i="48"/>
  <c r="BS81" i="48"/>
  <c r="CQ81" i="48" s="1"/>
  <c r="CT80" i="48"/>
  <c r="CS80" i="48"/>
  <c r="CR80" i="48"/>
  <c r="BS80" i="48"/>
  <c r="CQ80" i="48" s="1"/>
  <c r="CT79" i="48"/>
  <c r="CS79" i="48"/>
  <c r="CR79" i="48"/>
  <c r="BS79" i="48"/>
  <c r="CQ79" i="48" s="1"/>
  <c r="CT78" i="48"/>
  <c r="CS78" i="48"/>
  <c r="CR78" i="48"/>
  <c r="BS78" i="48"/>
  <c r="CQ78" i="48" s="1"/>
  <c r="CT77" i="48"/>
  <c r="CS77" i="48"/>
  <c r="CR77" i="48"/>
  <c r="BS77" i="48"/>
  <c r="CQ77" i="48" s="1"/>
  <c r="CT76" i="48"/>
  <c r="CS76" i="48"/>
  <c r="CR76" i="48"/>
  <c r="BS76" i="48"/>
  <c r="CQ76" i="48" s="1"/>
  <c r="CT75" i="48"/>
  <c r="CS75" i="48"/>
  <c r="CR75" i="48"/>
  <c r="BS75" i="48"/>
  <c r="CQ75" i="48" s="1"/>
  <c r="CT74" i="48"/>
  <c r="CS74" i="48"/>
  <c r="CR74" i="48"/>
  <c r="BS74" i="48"/>
  <c r="CQ74" i="48" s="1"/>
  <c r="CT73" i="48"/>
  <c r="CS73" i="48"/>
  <c r="CR73" i="48"/>
  <c r="BS73" i="48"/>
  <c r="CQ73" i="48" s="1"/>
  <c r="CT72" i="48"/>
  <c r="CS72" i="48"/>
  <c r="CR72" i="48"/>
  <c r="CQ72" i="48"/>
  <c r="CT71" i="48"/>
  <c r="CS71" i="48"/>
  <c r="CR71" i="48"/>
  <c r="CQ71" i="48"/>
  <c r="CT70" i="48"/>
  <c r="CS70" i="48"/>
  <c r="CR70" i="48"/>
  <c r="BS70" i="48"/>
  <c r="CQ70" i="48" s="1"/>
  <c r="CT69" i="48"/>
  <c r="CS69" i="48"/>
  <c r="CR69" i="48"/>
  <c r="BS69" i="48"/>
  <c r="CQ69" i="48" s="1"/>
  <c r="CT68" i="48"/>
  <c r="CS68" i="48"/>
  <c r="CR68" i="48"/>
  <c r="BS68" i="48"/>
  <c r="CQ68" i="48" s="1"/>
  <c r="CT67" i="48"/>
  <c r="CS67" i="48"/>
  <c r="CR67" i="48"/>
  <c r="BS67" i="48"/>
  <c r="CQ67" i="48" s="1"/>
  <c r="CT66" i="48"/>
  <c r="CS66" i="48"/>
  <c r="CR66" i="48"/>
  <c r="BS66" i="48"/>
  <c r="CQ66" i="48" s="1"/>
  <c r="CT65" i="48"/>
  <c r="CS65" i="48"/>
  <c r="CR65" i="48"/>
  <c r="BS65" i="48"/>
  <c r="CQ65" i="48" s="1"/>
  <c r="CT64" i="48"/>
  <c r="CS64" i="48"/>
  <c r="CR64" i="48"/>
  <c r="BS64" i="48"/>
  <c r="CQ64" i="48" s="1"/>
  <c r="CT63" i="48"/>
  <c r="CS63" i="48"/>
  <c r="CR63" i="48"/>
  <c r="BS63" i="48"/>
  <c r="CQ63" i="48" s="1"/>
  <c r="CT62" i="48"/>
  <c r="CS62" i="48"/>
  <c r="CR62" i="48"/>
  <c r="BS62" i="48"/>
  <c r="CQ62" i="48" s="1"/>
  <c r="CT61" i="48"/>
  <c r="CS61" i="48"/>
  <c r="CR61" i="48"/>
  <c r="CQ61" i="48"/>
  <c r="BS61" i="48"/>
  <c r="CT60" i="48"/>
  <c r="CS60" i="48"/>
  <c r="CR60" i="48"/>
  <c r="BS60" i="48"/>
  <c r="CQ60" i="48" s="1"/>
  <c r="CT59" i="48"/>
  <c r="CS59" i="48"/>
  <c r="CR59" i="48"/>
  <c r="CQ59" i="48"/>
  <c r="CT58" i="48"/>
  <c r="CS58" i="48"/>
  <c r="CR58" i="48"/>
  <c r="BS58" i="48"/>
  <c r="CQ58" i="48" s="1"/>
  <c r="CT57" i="48"/>
  <c r="CS57" i="48"/>
  <c r="CR57" i="48"/>
  <c r="BS57" i="48"/>
  <c r="CQ57" i="48" s="1"/>
  <c r="CT56" i="48"/>
  <c r="CS56" i="48"/>
  <c r="CR56" i="48"/>
  <c r="BS56" i="48"/>
  <c r="CQ56" i="48" s="1"/>
  <c r="CT55" i="48"/>
  <c r="CS55" i="48"/>
  <c r="CR55" i="48"/>
  <c r="BS55" i="48"/>
  <c r="CQ55" i="48" s="1"/>
  <c r="CT54" i="48"/>
  <c r="CS54" i="48"/>
  <c r="CR54" i="48"/>
  <c r="BS54" i="48"/>
  <c r="CQ54" i="48" s="1"/>
  <c r="CT53" i="48"/>
  <c r="CS53" i="48"/>
  <c r="CR53" i="48"/>
  <c r="BS53" i="48"/>
  <c r="CQ53" i="48" s="1"/>
  <c r="CT52" i="48"/>
  <c r="CS52" i="48"/>
  <c r="CR52" i="48"/>
  <c r="CQ52" i="48"/>
  <c r="CT51" i="48"/>
  <c r="CS51" i="48"/>
  <c r="CR51" i="48"/>
  <c r="CQ51" i="48"/>
  <c r="CT50" i="48"/>
  <c r="CS50" i="48"/>
  <c r="CR50" i="48"/>
  <c r="BS50" i="48"/>
  <c r="CQ50" i="48" s="1"/>
  <c r="CT49" i="48"/>
  <c r="CS49" i="48"/>
  <c r="CR49" i="48"/>
  <c r="BS49" i="48"/>
  <c r="CQ49" i="48" s="1"/>
  <c r="CT48" i="48"/>
  <c r="CS48" i="48"/>
  <c r="CR48" i="48"/>
  <c r="BS48" i="48"/>
  <c r="CQ48" i="48" s="1"/>
  <c r="CT47" i="48"/>
  <c r="CS47" i="48"/>
  <c r="CR47" i="48"/>
  <c r="BS47" i="48"/>
  <c r="CQ47" i="48" s="1"/>
  <c r="CT46" i="48"/>
  <c r="CS46" i="48"/>
  <c r="CR46" i="48"/>
  <c r="BS46" i="48"/>
  <c r="CQ46" i="48" s="1"/>
  <c r="CT45" i="48"/>
  <c r="CS45" i="48"/>
  <c r="CR45" i="48"/>
  <c r="BS45" i="48"/>
  <c r="CQ45" i="48" s="1"/>
  <c r="CT44" i="48"/>
  <c r="CS44" i="48"/>
  <c r="CR44" i="48"/>
  <c r="CQ44" i="48"/>
  <c r="CT43" i="48"/>
  <c r="CS43" i="48"/>
  <c r="CR43" i="48"/>
  <c r="BS43" i="48"/>
  <c r="CQ43" i="48" s="1"/>
  <c r="CT42" i="48"/>
  <c r="CS42" i="48"/>
  <c r="CR42" i="48"/>
  <c r="BS42" i="48"/>
  <c r="CQ42" i="48" s="1"/>
  <c r="CT41" i="48"/>
  <c r="CS41" i="48"/>
  <c r="CR41" i="48"/>
  <c r="BS41" i="48"/>
  <c r="CQ41" i="48" s="1"/>
  <c r="CT40" i="48"/>
  <c r="CS40" i="48"/>
  <c r="CR40" i="48"/>
  <c r="BS40" i="48"/>
  <c r="CQ40" i="48" s="1"/>
  <c r="CT39" i="48"/>
  <c r="CS39" i="48"/>
  <c r="CR39" i="48"/>
  <c r="BS39" i="48"/>
  <c r="CQ39" i="48" s="1"/>
  <c r="CT38" i="48"/>
  <c r="CS38" i="48"/>
  <c r="CR38" i="48"/>
  <c r="BS38" i="48"/>
  <c r="CQ38" i="48" s="1"/>
  <c r="CT37" i="48"/>
  <c r="CS37" i="48"/>
  <c r="CR37" i="48"/>
  <c r="BS37" i="48"/>
  <c r="CQ37" i="48" s="1"/>
  <c r="CT36" i="48"/>
  <c r="CS36" i="48"/>
  <c r="CR36" i="48"/>
  <c r="BS36" i="48"/>
  <c r="CQ36" i="48" s="1"/>
  <c r="CT35" i="48"/>
  <c r="CS35" i="48"/>
  <c r="CR35" i="48"/>
  <c r="BS35" i="48"/>
  <c r="CQ35" i="48" s="1"/>
  <c r="CT34" i="48"/>
  <c r="CS34" i="48"/>
  <c r="CR34" i="48"/>
  <c r="BS34" i="48"/>
  <c r="CQ34" i="48" s="1"/>
  <c r="CT33" i="48"/>
  <c r="CS33" i="48"/>
  <c r="CR33" i="48"/>
  <c r="BS33" i="48"/>
  <c r="CQ33" i="48" s="1"/>
  <c r="CT32" i="48"/>
  <c r="CS32" i="48"/>
  <c r="CR32" i="48"/>
  <c r="CQ32" i="48"/>
  <c r="CT31" i="48"/>
  <c r="CS31" i="48"/>
  <c r="CR31" i="48"/>
  <c r="BS31" i="48"/>
  <c r="CQ31" i="48" s="1"/>
  <c r="CR30" i="48"/>
  <c r="CQ30" i="48"/>
  <c r="BU30" i="48"/>
  <c r="BU160" i="48" s="1"/>
  <c r="F30" i="48"/>
  <c r="F160" i="48" s="1"/>
  <c r="CT29" i="48"/>
  <c r="CS29" i="48"/>
  <c r="CR29" i="48"/>
  <c r="CQ29" i="48"/>
  <c r="CT28" i="48"/>
  <c r="CS28" i="48"/>
  <c r="CR28" i="48"/>
  <c r="CQ28" i="48"/>
  <c r="CT27" i="48"/>
  <c r="CS27" i="48"/>
  <c r="CR27" i="48"/>
  <c r="CQ27" i="48"/>
  <c r="CT26" i="48"/>
  <c r="CS26" i="48"/>
  <c r="CR26" i="48"/>
  <c r="CQ26" i="48"/>
  <c r="CS25" i="48"/>
  <c r="CR25" i="48"/>
  <c r="CQ25" i="48"/>
  <c r="BV25" i="48"/>
  <c r="CT24" i="48"/>
  <c r="CS24" i="48"/>
  <c r="CR24" i="48"/>
  <c r="CQ24" i="48"/>
  <c r="CT23" i="48"/>
  <c r="CS23" i="48"/>
  <c r="CR23" i="48"/>
  <c r="BS23" i="48"/>
  <c r="CT22" i="48"/>
  <c r="CS22" i="48"/>
  <c r="CR22" i="48"/>
  <c r="BS22" i="48"/>
  <c r="CQ22" i="48" s="1"/>
  <c r="CT21" i="48"/>
  <c r="CS21" i="48"/>
  <c r="CR21" i="48"/>
  <c r="CQ21" i="48"/>
  <c r="CT20" i="48"/>
  <c r="CS20" i="48"/>
  <c r="CR20" i="48"/>
  <c r="CQ20" i="48"/>
  <c r="CT19" i="48"/>
  <c r="CS19" i="48"/>
  <c r="CR19" i="48"/>
  <c r="CQ19" i="48"/>
  <c r="CT18" i="48"/>
  <c r="CS18" i="48"/>
  <c r="CR18" i="48"/>
  <c r="CQ18" i="48"/>
  <c r="CT17" i="48"/>
  <c r="CS17" i="48"/>
  <c r="CR17" i="48"/>
  <c r="CQ17" i="48"/>
  <c r="CT16" i="48"/>
  <c r="CS16" i="48"/>
  <c r="CR16" i="48"/>
  <c r="CQ16" i="48"/>
  <c r="CT15" i="48"/>
  <c r="CS15" i="48"/>
  <c r="CR15" i="48"/>
  <c r="CQ15" i="48"/>
  <c r="CT14" i="48"/>
  <c r="CS14" i="48"/>
  <c r="CR14" i="48"/>
  <c r="CQ14" i="48"/>
  <c r="CT13" i="48"/>
  <c r="CS13" i="48"/>
  <c r="CR13" i="48"/>
  <c r="CQ13" i="48"/>
  <c r="CT12" i="48"/>
  <c r="CS12" i="48"/>
  <c r="CR12" i="48"/>
  <c r="AM12" i="48"/>
  <c r="CT11" i="48"/>
  <c r="CS11" i="48"/>
  <c r="CR11" i="48"/>
  <c r="CQ11" i="48"/>
  <c r="CT10" i="48"/>
  <c r="CS10" i="48"/>
  <c r="CR10" i="48"/>
  <c r="CQ10" i="48"/>
  <c r="CT9" i="48"/>
  <c r="CS9" i="48"/>
  <c r="CR9" i="48"/>
  <c r="AM9" i="48"/>
  <c r="CQ9" i="48" s="1"/>
  <c r="CT8" i="48"/>
  <c r="CS8" i="48"/>
  <c r="CR8" i="48"/>
  <c r="AM8" i="48"/>
  <c r="CQ8" i="48" s="1"/>
  <c r="CT7" i="48"/>
  <c r="CS7" i="48"/>
  <c r="CR7" i="48"/>
  <c r="AM7" i="48"/>
  <c r="CQ7" i="48" s="1"/>
  <c r="CT6" i="48"/>
  <c r="CS6" i="48"/>
  <c r="CR6" i="48"/>
  <c r="AM6" i="48"/>
  <c r="CQ6" i="48" s="1"/>
  <c r="CT5" i="48"/>
  <c r="CS5" i="48"/>
  <c r="CR5" i="48"/>
  <c r="AM5" i="48"/>
  <c r="CQ5" i="48" s="1"/>
  <c r="CT4" i="48"/>
  <c r="CS4" i="48"/>
  <c r="CR4" i="48"/>
  <c r="AM4" i="48"/>
  <c r="CQ4" i="48" s="1"/>
  <c r="CP3" i="48"/>
  <c r="CO3" i="48"/>
  <c r="CN3" i="48"/>
  <c r="CH3" i="48"/>
  <c r="CG3" i="48"/>
  <c r="CF3" i="48"/>
  <c r="CD3" i="48"/>
  <c r="CC3" i="48"/>
  <c r="CB3" i="48"/>
  <c r="BZ3" i="48"/>
  <c r="BY3" i="48"/>
  <c r="BX3" i="48"/>
  <c r="BT3" i="48"/>
  <c r="BR3" i="48"/>
  <c r="BQ3" i="48"/>
  <c r="BP3" i="48"/>
  <c r="BO3" i="48"/>
  <c r="BN3" i="48"/>
  <c r="BM3" i="48"/>
  <c r="BL3" i="48"/>
  <c r="BK3" i="48"/>
  <c r="BJ3" i="48"/>
  <c r="BI3" i="48"/>
  <c r="BH3" i="48"/>
  <c r="BG3" i="48"/>
  <c r="BF3" i="48"/>
  <c r="BE3" i="48"/>
  <c r="BD3" i="48"/>
  <c r="BC3" i="48"/>
  <c r="BB3" i="48"/>
  <c r="BA3" i="48"/>
  <c r="AZ3" i="48"/>
  <c r="AY3" i="48"/>
  <c r="AX3" i="48"/>
  <c r="AW3" i="48"/>
  <c r="AV3" i="48"/>
  <c r="AU3" i="48"/>
  <c r="AT3" i="48"/>
  <c r="AS3" i="48"/>
  <c r="AR3" i="48"/>
  <c r="AQ3" i="48"/>
  <c r="AP3" i="48"/>
  <c r="AO3" i="48"/>
  <c r="AN3" i="48"/>
  <c r="AL3" i="48"/>
  <c r="AK3" i="48"/>
  <c r="AJ3" i="48"/>
  <c r="AI3" i="48"/>
  <c r="AH3" i="48"/>
  <c r="AG3" i="48"/>
  <c r="AF3" i="48"/>
  <c r="AE3" i="48"/>
  <c r="AD3" i="48"/>
  <c r="AC3" i="48"/>
  <c r="AB3" i="48"/>
  <c r="AA3" i="48"/>
  <c r="Z3" i="48"/>
  <c r="Y3" i="48"/>
  <c r="X3" i="48"/>
  <c r="W3" i="48"/>
  <c r="V3" i="48"/>
  <c r="U3" i="48"/>
  <c r="T3" i="48"/>
  <c r="S3" i="48"/>
  <c r="R3" i="48"/>
  <c r="Q3" i="48"/>
  <c r="P3" i="48"/>
  <c r="O3" i="48"/>
  <c r="N3" i="48"/>
  <c r="M3" i="48"/>
  <c r="L3" i="48"/>
  <c r="K3" i="48"/>
  <c r="J3" i="48"/>
  <c r="I3" i="48"/>
  <c r="H3" i="48"/>
  <c r="G3" i="48"/>
  <c r="F3" i="48"/>
  <c r="E3" i="48"/>
  <c r="D3" i="48"/>
  <c r="B3" i="48"/>
  <c r="BU3" i="48" l="1"/>
  <c r="CS3" i="48" s="1"/>
  <c r="BS3" i="48"/>
  <c r="BV30" i="48"/>
  <c r="BV3" i="48" s="1"/>
  <c r="AM3" i="48"/>
  <c r="CR3" i="48"/>
  <c r="CQ12" i="48"/>
  <c r="CT3" i="48"/>
  <c r="CT30" i="48"/>
  <c r="AM160" i="48"/>
  <c r="BS160" i="48"/>
  <c r="CQ160" i="48" s="1"/>
  <c r="CQ23" i="48"/>
  <c r="CT25" i="48"/>
  <c r="CS30" i="48"/>
  <c r="CQ153" i="48"/>
  <c r="CR160" i="48"/>
  <c r="CS160" i="48"/>
  <c r="CQ3" i="48" l="1"/>
  <c r="BV160" i="48"/>
  <c r="CT160" i="48" s="1"/>
  <c r="AG123" i="34"/>
  <c r="AF123" i="34"/>
  <c r="AG122" i="34"/>
  <c r="AF122" i="34"/>
  <c r="AE59" i="34"/>
  <c r="AE48" i="34"/>
  <c r="I59" i="34" l="1"/>
  <c r="I233" i="34" l="1"/>
  <c r="I210" i="34"/>
  <c r="I205" i="34"/>
  <c r="I164" i="34"/>
  <c r="I75" i="34"/>
  <c r="I73" i="34"/>
  <c r="I69" i="34"/>
  <c r="I61" i="34"/>
  <c r="I63" i="34"/>
  <c r="I221" i="34" l="1"/>
  <c r="X226" i="34"/>
  <c r="X224" i="34"/>
  <c r="X223" i="34"/>
  <c r="X222" i="34"/>
  <c r="X221" i="34"/>
  <c r="X220" i="34"/>
  <c r="I199" i="34"/>
  <c r="X199" i="34"/>
  <c r="X198" i="34"/>
  <c r="X197" i="34"/>
  <c r="X196" i="34"/>
  <c r="X194" i="34"/>
  <c r="X193" i="34"/>
  <c r="X192" i="34"/>
  <c r="I89" i="34"/>
  <c r="X91" i="34"/>
  <c r="X89" i="34"/>
  <c r="X87" i="34"/>
  <c r="X86" i="34"/>
  <c r="X85" i="34"/>
  <c r="X84" i="34"/>
  <c r="X83" i="34"/>
  <c r="X82" i="34"/>
  <c r="I18" i="34"/>
  <c r="I21" i="34"/>
  <c r="I238" i="34"/>
  <c r="I255" i="34" l="1"/>
  <c r="I254" i="34"/>
  <c r="I110" i="34"/>
  <c r="I196" i="34"/>
  <c r="I160" i="34"/>
  <c r="I226" i="34"/>
  <c r="I224" i="34"/>
  <c r="I223" i="34"/>
  <c r="I222" i="34"/>
  <c r="I86" i="34"/>
  <c r="I85" i="34"/>
  <c r="I84" i="34"/>
  <c r="I83" i="34"/>
  <c r="I82" i="34"/>
  <c r="AE293" i="34" l="1"/>
  <c r="AE291" i="34"/>
  <c r="AE290" i="34"/>
  <c r="AE288" i="34"/>
  <c r="AE285" i="34"/>
  <c r="AE283" i="34"/>
  <c r="AE281" i="34"/>
  <c r="AE280" i="34"/>
  <c r="AE277" i="34"/>
  <c r="AE276" i="34"/>
  <c r="AE275" i="34"/>
  <c r="AE274" i="34"/>
  <c r="AE273" i="34"/>
  <c r="AE272" i="34"/>
  <c r="AE269" i="34"/>
  <c r="AE267" i="34"/>
  <c r="AE265" i="34"/>
  <c r="AE264" i="34"/>
  <c r="AE263" i="34"/>
  <c r="AE262" i="34"/>
  <c r="AE259" i="34"/>
  <c r="AE258" i="34"/>
  <c r="AE256" i="34"/>
  <c r="AE255" i="34"/>
  <c r="AE254" i="34"/>
  <c r="AE253" i="34"/>
  <c r="AE252" i="34"/>
  <c r="AE249" i="34"/>
  <c r="AE248" i="34"/>
  <c r="AE247" i="34"/>
  <c r="AE244" i="34"/>
  <c r="AE243" i="34"/>
  <c r="AE242" i="34"/>
  <c r="AE241" i="34"/>
  <c r="AE238" i="34"/>
  <c r="AE237" i="34"/>
  <c r="AE236" i="34"/>
  <c r="AE235" i="34"/>
  <c r="AE233" i="34"/>
  <c r="AE232" i="34"/>
  <c r="AE231" i="34"/>
  <c r="AE228" i="34"/>
  <c r="AE226" i="34"/>
  <c r="AE225" i="34"/>
  <c r="AE224" i="34"/>
  <c r="AE223" i="34"/>
  <c r="AE222" i="34"/>
  <c r="AE221" i="34"/>
  <c r="AE220" i="34"/>
  <c r="AE217" i="34"/>
  <c r="AE216" i="34"/>
  <c r="AE215" i="34"/>
  <c r="AE214" i="34"/>
  <c r="AE207" i="34"/>
  <c r="AE206" i="34"/>
  <c r="AE201" i="34"/>
  <c r="AE199" i="34"/>
  <c r="AE198" i="34"/>
  <c r="AE197" i="34"/>
  <c r="AE195" i="34"/>
  <c r="AE194" i="34"/>
  <c r="AE193" i="34"/>
  <c r="AE192" i="34"/>
  <c r="AE189" i="34"/>
  <c r="AE188" i="34"/>
  <c r="AE187" i="34"/>
  <c r="AE186" i="34"/>
  <c r="AE185" i="34"/>
  <c r="AE184" i="34"/>
  <c r="AE182" i="34"/>
  <c r="AE181" i="34"/>
  <c r="AE180" i="34"/>
  <c r="AE179" i="34"/>
  <c r="AE177" i="34"/>
  <c r="AE175" i="34"/>
  <c r="AE173" i="34"/>
  <c r="AE172" i="34"/>
  <c r="AE171" i="34"/>
  <c r="AE169" i="34"/>
  <c r="AE166" i="34"/>
  <c r="AE162" i="34"/>
  <c r="AE159" i="34"/>
  <c r="AE156" i="34"/>
  <c r="AE154" i="34"/>
  <c r="AE152" i="34"/>
  <c r="AE149" i="34"/>
  <c r="AE145" i="34"/>
  <c r="AE143" i="34"/>
  <c r="AE142" i="34"/>
  <c r="AE139" i="34"/>
  <c r="AE138" i="34"/>
  <c r="AE137" i="34"/>
  <c r="AE136" i="34"/>
  <c r="AE133" i="34"/>
  <c r="AE131" i="34"/>
  <c r="AE130" i="34"/>
  <c r="AE129" i="34"/>
  <c r="AE128" i="34"/>
  <c r="AE127" i="34"/>
  <c r="AE126" i="34"/>
  <c r="AE124" i="34"/>
  <c r="AE123" i="34"/>
  <c r="AE122" i="34"/>
  <c r="AE120" i="34"/>
  <c r="AE119" i="34"/>
  <c r="AE116" i="34"/>
  <c r="AE115" i="34"/>
  <c r="AE113" i="34"/>
  <c r="AE112" i="34"/>
  <c r="AE109" i="34"/>
  <c r="AE108" i="34"/>
  <c r="AE107" i="34"/>
  <c r="AE106" i="34"/>
  <c r="AE104" i="34"/>
  <c r="AE103" i="34"/>
  <c r="AE102" i="34"/>
  <c r="AE98" i="34"/>
  <c r="AE96" i="34"/>
  <c r="AE95" i="34"/>
  <c r="AE94" i="34"/>
  <c r="AE93" i="34"/>
  <c r="AE91" i="34"/>
  <c r="AE90" i="34"/>
  <c r="AE89" i="34"/>
  <c r="AE88" i="34"/>
  <c r="AE87" i="34"/>
  <c r="AE83" i="34"/>
  <c r="AE81" i="34"/>
  <c r="AE78" i="34"/>
  <c r="AE72" i="34"/>
  <c r="AE67" i="34"/>
  <c r="AE66" i="34"/>
  <c r="AE62" i="34"/>
  <c r="AE60" i="34"/>
  <c r="AE55" i="34"/>
  <c r="AE53" i="34"/>
  <c r="AE47" i="34"/>
  <c r="AE44" i="34"/>
  <c r="AE42" i="34"/>
  <c r="AE41" i="34"/>
  <c r="AE40" i="34"/>
  <c r="AE39" i="34"/>
  <c r="AE38" i="34"/>
  <c r="AE36" i="34"/>
  <c r="AE35" i="34"/>
  <c r="AE34" i="34"/>
  <c r="AE22" i="34"/>
  <c r="AE21" i="34"/>
  <c r="AE19" i="34"/>
  <c r="AE18" i="34"/>
  <c r="AE15" i="34"/>
  <c r="AE14" i="34"/>
  <c r="AE13" i="34"/>
  <c r="AE12" i="34"/>
  <c r="AH293" i="34"/>
  <c r="AB293" i="34"/>
  <c r="AD293" i="34"/>
  <c r="AD292" i="34" l="1"/>
  <c r="AD291" i="34"/>
  <c r="AD290" i="34"/>
  <c r="AD288" i="34"/>
  <c r="AD285" i="34"/>
  <c r="AD283" i="34"/>
  <c r="AD281" i="34"/>
  <c r="AD280" i="34"/>
  <c r="AD277" i="34"/>
  <c r="AD276" i="34"/>
  <c r="AD275" i="34"/>
  <c r="AD274" i="34"/>
  <c r="AD273" i="34"/>
  <c r="AD272" i="34"/>
  <c r="AD269" i="34"/>
  <c r="AD267" i="34"/>
  <c r="AD265" i="34"/>
  <c r="AD264" i="34"/>
  <c r="AD263" i="34"/>
  <c r="AD262" i="34"/>
  <c r="AD259" i="34"/>
  <c r="AD258" i="34"/>
  <c r="AD256" i="34"/>
  <c r="AD255" i="34"/>
  <c r="AD254" i="34"/>
  <c r="AD253" i="34"/>
  <c r="AD252" i="34"/>
  <c r="AD249" i="34"/>
  <c r="AD248" i="34"/>
  <c r="AD247" i="34"/>
  <c r="AD244" i="34"/>
  <c r="AD243" i="34"/>
  <c r="AD242" i="34"/>
  <c r="AD241" i="34"/>
  <c r="AD238" i="34"/>
  <c r="AD237" i="34"/>
  <c r="AD236" i="34"/>
  <c r="AD235" i="34"/>
  <c r="AD233" i="34"/>
  <c r="AD232" i="34"/>
  <c r="AD231" i="34"/>
  <c r="AD228" i="34"/>
  <c r="AD226" i="34"/>
  <c r="AD225" i="34"/>
  <c r="AD224" i="34"/>
  <c r="AD223" i="34"/>
  <c r="AD222" i="34"/>
  <c r="AD221" i="34"/>
  <c r="AD220" i="34"/>
  <c r="AD217" i="34"/>
  <c r="AD216" i="34"/>
  <c r="AD215" i="34"/>
  <c r="AD214" i="34"/>
  <c r="AD210" i="34"/>
  <c r="AD207" i="34"/>
  <c r="AD206" i="34"/>
  <c r="AD205" i="34"/>
  <c r="AD204" i="34"/>
  <c r="AD201" i="34"/>
  <c r="AD199" i="34"/>
  <c r="AD198" i="34"/>
  <c r="AD197" i="34"/>
  <c r="AD196" i="34"/>
  <c r="AD195" i="34"/>
  <c r="AD194" i="34"/>
  <c r="AD193" i="34"/>
  <c r="AD192" i="34"/>
  <c r="AD189" i="34"/>
  <c r="AD188" i="34"/>
  <c r="AD187" i="34"/>
  <c r="AD186" i="34"/>
  <c r="AD185" i="34"/>
  <c r="AD184" i="34"/>
  <c r="AD180" i="34"/>
  <c r="AD179" i="34"/>
  <c r="AD177" i="34"/>
  <c r="AD175" i="34"/>
  <c r="AD174" i="34"/>
  <c r="AD173" i="34"/>
  <c r="AD172" i="34"/>
  <c r="AD171" i="34"/>
  <c r="AD170" i="34"/>
  <c r="AD169" i="34"/>
  <c r="AD166" i="34"/>
  <c r="AD164" i="34"/>
  <c r="AD162" i="34"/>
  <c r="AD160" i="34"/>
  <c r="AD159" i="34"/>
  <c r="AD156" i="34"/>
  <c r="AD154" i="34"/>
  <c r="AD152" i="34"/>
  <c r="AD149" i="34"/>
  <c r="AD145" i="34"/>
  <c r="AD143" i="34"/>
  <c r="AD142" i="34"/>
  <c r="AD139" i="34"/>
  <c r="AD138" i="34"/>
  <c r="AD137" i="34"/>
  <c r="AD136" i="34"/>
  <c r="AD133" i="34"/>
  <c r="AD129" i="34"/>
  <c r="AD128" i="34"/>
  <c r="AD124" i="34"/>
  <c r="AD120" i="34"/>
  <c r="AD119" i="34"/>
  <c r="AD116" i="34"/>
  <c r="AD115" i="34"/>
  <c r="AD113" i="34"/>
  <c r="AD112" i="34"/>
  <c r="AD110" i="34"/>
  <c r="AD109" i="34"/>
  <c r="AD108" i="34"/>
  <c r="AD107" i="34"/>
  <c r="AD106" i="34"/>
  <c r="AD104" i="34"/>
  <c r="AD103" i="34"/>
  <c r="AD102" i="34"/>
  <c r="AD98" i="34"/>
  <c r="AD96" i="34"/>
  <c r="AD95" i="34"/>
  <c r="AD94" i="34"/>
  <c r="AD93" i="34"/>
  <c r="AD91" i="34"/>
  <c r="AD90" i="34"/>
  <c r="AD89" i="34"/>
  <c r="AD88" i="34"/>
  <c r="AD87" i="34"/>
  <c r="AD86" i="34"/>
  <c r="AD85" i="34"/>
  <c r="AD84" i="34"/>
  <c r="AD83" i="34"/>
  <c r="AD82" i="34"/>
  <c r="AD81" i="34"/>
  <c r="AD78" i="34"/>
  <c r="AD77" i="34"/>
  <c r="AD75" i="34"/>
  <c r="AD73" i="34"/>
  <c r="AD72" i="34"/>
  <c r="AD69" i="34"/>
  <c r="AD68" i="34"/>
  <c r="AD67" i="34"/>
  <c r="AD66" i="34"/>
  <c r="AD65" i="34"/>
  <c r="AD63" i="34"/>
  <c r="AD62" i="34"/>
  <c r="AD61" i="34"/>
  <c r="AD60" i="34"/>
  <c r="AD59" i="34"/>
  <c r="AD55" i="34"/>
  <c r="AD54" i="34"/>
  <c r="AD53" i="34"/>
  <c r="AD52" i="34"/>
  <c r="AD51" i="34"/>
  <c r="AD46" i="34"/>
  <c r="AD44" i="34"/>
  <c r="AD43" i="34"/>
  <c r="AD42" i="34"/>
  <c r="AD41" i="34"/>
  <c r="AD40" i="34"/>
  <c r="AD39" i="34"/>
  <c r="AD38" i="34"/>
  <c r="AD36" i="34"/>
  <c r="AD35" i="34"/>
  <c r="AD34" i="34"/>
  <c r="AD31" i="34"/>
  <c r="AD30" i="34"/>
  <c r="AD29" i="34"/>
  <c r="AD28" i="34"/>
  <c r="AD27" i="34"/>
  <c r="AD25" i="34"/>
  <c r="AD24" i="34"/>
  <c r="AD22" i="34"/>
  <c r="AD21" i="34"/>
  <c r="AD20" i="34"/>
  <c r="AD19" i="34"/>
  <c r="AD18" i="34"/>
  <c r="AD17" i="34"/>
  <c r="AD16" i="34"/>
  <c r="AD15" i="34"/>
  <c r="AD14" i="34"/>
  <c r="AD13" i="34"/>
  <c r="AD12" i="34"/>
  <c r="AD11" i="34"/>
  <c r="AD182" i="34" l="1"/>
  <c r="AD181" i="34"/>
  <c r="AD48" i="34"/>
  <c r="I46" i="34"/>
  <c r="AD123" i="34" l="1"/>
  <c r="AD130" i="34"/>
  <c r="AD127" i="34"/>
  <c r="AD122" i="34"/>
  <c r="AD131" i="34"/>
  <c r="AD47" i="34"/>
  <c r="AD126" i="34"/>
  <c r="AC125" i="34"/>
  <c r="AJ292" i="34" l="1"/>
  <c r="AJ291" i="34"/>
  <c r="AI289" i="34"/>
  <c r="AJ288" i="34"/>
  <c r="AJ287" i="34" s="1"/>
  <c r="AI287" i="34"/>
  <c r="AI284" i="34"/>
  <c r="AJ285" i="34"/>
  <c r="AJ284" i="34" s="1"/>
  <c r="AJ283" i="34"/>
  <c r="AJ282" i="34" s="1"/>
  <c r="AI282" i="34"/>
  <c r="AI281" i="34"/>
  <c r="AI280" i="34"/>
  <c r="AI275" i="34"/>
  <c r="AI276" i="34"/>
  <c r="AI274" i="34"/>
  <c r="AI273" i="34"/>
  <c r="AI272" i="34"/>
  <c r="AJ281" i="34"/>
  <c r="AJ277" i="34"/>
  <c r="AJ276" i="34"/>
  <c r="AJ275" i="34"/>
  <c r="AJ274" i="34"/>
  <c r="AJ273" i="34"/>
  <c r="AJ272" i="34"/>
  <c r="AI268" i="34"/>
  <c r="AI266" i="34"/>
  <c r="AJ269" i="34"/>
  <c r="AJ268" i="34" s="1"/>
  <c r="AJ267" i="34"/>
  <c r="AJ266" i="34" s="1"/>
  <c r="AI263" i="34"/>
  <c r="AI264" i="34"/>
  <c r="AI265" i="34"/>
  <c r="AI262" i="34"/>
  <c r="AI279" i="34" l="1"/>
  <c r="AJ271" i="34"/>
  <c r="AJ270" i="34" s="1"/>
  <c r="AI271" i="34"/>
  <c r="AI270" i="34" s="1"/>
  <c r="AJ265" i="34"/>
  <c r="AK265" i="34" s="1"/>
  <c r="AJ264" i="34"/>
  <c r="AK264" i="34" s="1"/>
  <c r="AJ263" i="34"/>
  <c r="AK263" i="34" s="1"/>
  <c r="AJ262" i="34"/>
  <c r="AI261" i="34"/>
  <c r="AJ259" i="34"/>
  <c r="AK259" i="34" s="1"/>
  <c r="AJ258" i="34"/>
  <c r="AK258" i="34" s="1"/>
  <c r="AI257" i="34"/>
  <c r="AI253" i="34"/>
  <c r="AI254" i="34"/>
  <c r="AI255" i="34"/>
  <c r="AI252" i="34"/>
  <c r="AJ256" i="34"/>
  <c r="AK256" i="34" s="1"/>
  <c r="AJ255" i="34"/>
  <c r="AJ254" i="34"/>
  <c r="AJ253" i="34"/>
  <c r="AJ252" i="34"/>
  <c r="AI248" i="34"/>
  <c r="AI247" i="34"/>
  <c r="AI242" i="34"/>
  <c r="AI243" i="34"/>
  <c r="AI244" i="34"/>
  <c r="AI241" i="34"/>
  <c r="AJ249" i="34"/>
  <c r="AK249" i="34" s="1"/>
  <c r="AJ248" i="34"/>
  <c r="AJ247" i="34"/>
  <c r="AJ244" i="34"/>
  <c r="AJ243" i="34"/>
  <c r="AJ242" i="34"/>
  <c r="AJ241" i="34"/>
  <c r="AJ238" i="34"/>
  <c r="AK238" i="34" s="1"/>
  <c r="AJ237" i="34"/>
  <c r="AK237" i="34" s="1"/>
  <c r="AJ236" i="34"/>
  <c r="AK236" i="34" s="1"/>
  <c r="AJ235" i="34"/>
  <c r="AK235" i="34" s="1"/>
  <c r="AI234" i="34"/>
  <c r="AI233" i="34"/>
  <c r="AI232" i="34"/>
  <c r="AI231" i="34"/>
  <c r="AI227" i="34"/>
  <c r="AJ228" i="34"/>
  <c r="AK228" i="34" s="1"/>
  <c r="AI219" i="34"/>
  <c r="AJ217" i="34"/>
  <c r="AK217" i="34" s="1"/>
  <c r="AJ216" i="34"/>
  <c r="AK216" i="34" s="1"/>
  <c r="AJ215" i="34"/>
  <c r="AK215" i="34" s="1"/>
  <c r="AJ214" i="34"/>
  <c r="AI213" i="34"/>
  <c r="AI212" i="34" s="1"/>
  <c r="AJ210" i="34"/>
  <c r="AJ209" i="34" s="1"/>
  <c r="AI209" i="34"/>
  <c r="AI208" i="34" s="1"/>
  <c r="AI203" i="34"/>
  <c r="AI202" i="34" s="1"/>
  <c r="AJ207" i="34"/>
  <c r="AK207" i="34" s="1"/>
  <c r="AJ206" i="34"/>
  <c r="AK206" i="34" s="1"/>
  <c r="AJ205" i="34"/>
  <c r="AK205" i="34" s="1"/>
  <c r="AJ204" i="34"/>
  <c r="AK204" i="34" s="1"/>
  <c r="AJ201" i="34"/>
  <c r="AI200" i="34"/>
  <c r="AI193" i="34"/>
  <c r="AI192" i="34"/>
  <c r="AJ199" i="34"/>
  <c r="AK199" i="34" s="1"/>
  <c r="AJ198" i="34"/>
  <c r="AK198" i="34" s="1"/>
  <c r="AJ197" i="34"/>
  <c r="AK197" i="34" s="1"/>
  <c r="AJ196" i="34"/>
  <c r="AK196" i="34" s="1"/>
  <c r="AJ195" i="34"/>
  <c r="AK195" i="34" s="1"/>
  <c r="AJ194" i="34"/>
  <c r="AK194" i="34" s="1"/>
  <c r="AJ193" i="34"/>
  <c r="AI183" i="34"/>
  <c r="AJ189" i="34"/>
  <c r="AK189" i="34" s="1"/>
  <c r="AJ188" i="34"/>
  <c r="AK188" i="34" s="1"/>
  <c r="AJ187" i="34"/>
  <c r="AK187" i="34" s="1"/>
  <c r="AJ186" i="34"/>
  <c r="AK186" i="34" s="1"/>
  <c r="AJ185" i="34"/>
  <c r="AK185" i="34" s="1"/>
  <c r="AJ184" i="34"/>
  <c r="AK184" i="34" s="1"/>
  <c r="AI178" i="34"/>
  <c r="AI176" i="34"/>
  <c r="AJ182" i="34"/>
  <c r="AK182" i="34" s="1"/>
  <c r="AJ181" i="34"/>
  <c r="AK181" i="34" s="1"/>
  <c r="AJ180" i="34"/>
  <c r="AK180" i="34" s="1"/>
  <c r="AJ179" i="34"/>
  <c r="AK179" i="34" s="1"/>
  <c r="AJ177" i="34"/>
  <c r="AJ175" i="34"/>
  <c r="AK175" i="34" s="1"/>
  <c r="AJ174" i="34"/>
  <c r="AK174" i="34" s="1"/>
  <c r="AJ173" i="34"/>
  <c r="AK173" i="34" s="1"/>
  <c r="AJ172" i="34"/>
  <c r="AJ171" i="34"/>
  <c r="AK171" i="34" s="1"/>
  <c r="AJ170" i="34"/>
  <c r="AK170" i="34" s="1"/>
  <c r="AJ169" i="34"/>
  <c r="AK169" i="34" s="1"/>
  <c r="AI168" i="34"/>
  <c r="AJ166" i="34"/>
  <c r="AJ165" i="34" s="1"/>
  <c r="AI165" i="34"/>
  <c r="AI163" i="34"/>
  <c r="AI161" i="34"/>
  <c r="AJ164" i="34"/>
  <c r="AJ162" i="34"/>
  <c r="AJ161" i="34" s="1"/>
  <c r="AJ160" i="34"/>
  <c r="AK160" i="34" s="1"/>
  <c r="AJ159" i="34"/>
  <c r="AK159" i="34" s="1"/>
  <c r="AI158" i="34"/>
  <c r="AJ156" i="34"/>
  <c r="AJ155" i="34" s="1"/>
  <c r="AJ154" i="34"/>
  <c r="AJ153" i="34" s="1"/>
  <c r="AI155" i="34"/>
  <c r="AI153" i="34"/>
  <c r="AI151" i="34"/>
  <c r="AJ152" i="34"/>
  <c r="AJ149" i="34"/>
  <c r="AJ148" i="34" s="1"/>
  <c r="AI148" i="34"/>
  <c r="AI147" i="34" s="1"/>
  <c r="AI144" i="34"/>
  <c r="AJ145" i="34"/>
  <c r="AJ144" i="34" s="1"/>
  <c r="AJ143" i="34"/>
  <c r="AK143" i="34" s="1"/>
  <c r="AJ142" i="34"/>
  <c r="AK142" i="34" s="1"/>
  <c r="AI141" i="34"/>
  <c r="AJ137" i="34"/>
  <c r="AK137" i="34" s="1"/>
  <c r="AJ138" i="34"/>
  <c r="AK138" i="34" s="1"/>
  <c r="AJ139" i="34"/>
  <c r="AK139" i="34" s="1"/>
  <c r="AJ136" i="34"/>
  <c r="AK136" i="34" s="1"/>
  <c r="AI135" i="34"/>
  <c r="AI134" i="34" s="1"/>
  <c r="AJ133" i="34"/>
  <c r="AJ132" i="34" s="1"/>
  <c r="AI132" i="34"/>
  <c r="AJ130" i="34"/>
  <c r="AK130" i="34" s="1"/>
  <c r="AJ131" i="34"/>
  <c r="AK131" i="34" s="1"/>
  <c r="AJ127" i="34"/>
  <c r="AK127" i="34" s="1"/>
  <c r="AJ128" i="34"/>
  <c r="AK128" i="34" s="1"/>
  <c r="AJ129" i="34"/>
  <c r="AK129" i="34" s="1"/>
  <c r="AJ126" i="34"/>
  <c r="AI125" i="34"/>
  <c r="AJ123" i="34"/>
  <c r="AK123" i="34" s="1"/>
  <c r="AJ124" i="34"/>
  <c r="AK124" i="34" s="1"/>
  <c r="AI121" i="34"/>
  <c r="AJ120" i="34"/>
  <c r="AI118" i="34"/>
  <c r="AJ116" i="34"/>
  <c r="AK116" i="34" s="1"/>
  <c r="AJ115" i="34"/>
  <c r="AK115" i="34" s="1"/>
  <c r="AJ113" i="34"/>
  <c r="AK113" i="34" s="1"/>
  <c r="AI114" i="34"/>
  <c r="AI111" i="34"/>
  <c r="AJ107" i="34"/>
  <c r="AK107" i="34" s="1"/>
  <c r="AJ108" i="34"/>
  <c r="AK108" i="34" s="1"/>
  <c r="AJ109" i="34"/>
  <c r="AK109" i="34" s="1"/>
  <c r="AJ110" i="34"/>
  <c r="AK110" i="34" s="1"/>
  <c r="AC105" i="34"/>
  <c r="AE105" i="34"/>
  <c r="AF105" i="34"/>
  <c r="AG105" i="34"/>
  <c r="AI105" i="34"/>
  <c r="AJ103" i="34"/>
  <c r="AK103" i="34" s="1"/>
  <c r="AJ104" i="34"/>
  <c r="AK104" i="34" s="1"/>
  <c r="AI101" i="34"/>
  <c r="AJ90" i="34"/>
  <c r="AK90" i="34" s="1"/>
  <c r="AJ91" i="34"/>
  <c r="AK91" i="34" s="1"/>
  <c r="AJ87" i="34"/>
  <c r="AK87" i="34" s="1"/>
  <c r="AJ88" i="34"/>
  <c r="AK88" i="34" s="1"/>
  <c r="AJ89" i="34"/>
  <c r="AK89" i="34" s="1"/>
  <c r="AJ82" i="34"/>
  <c r="AK82" i="34" s="1"/>
  <c r="AJ83" i="34"/>
  <c r="AK83" i="34" s="1"/>
  <c r="AJ84" i="34"/>
  <c r="AK84" i="34" s="1"/>
  <c r="AJ85" i="34"/>
  <c r="AK85" i="34" s="1"/>
  <c r="AJ86" i="34"/>
  <c r="AK86" i="34" s="1"/>
  <c r="AI80" i="34"/>
  <c r="AI76" i="34"/>
  <c r="AI71" i="34"/>
  <c r="AI64" i="34"/>
  <c r="AJ60" i="34"/>
  <c r="AJ61" i="34"/>
  <c r="AK61" i="34" s="1"/>
  <c r="AJ62" i="34"/>
  <c r="AK62" i="34" s="1"/>
  <c r="AJ63" i="34"/>
  <c r="AK63" i="34" s="1"/>
  <c r="AI58" i="34"/>
  <c r="AJ52" i="34"/>
  <c r="AK52" i="34" s="1"/>
  <c r="AJ53" i="34"/>
  <c r="AK53" i="34" s="1"/>
  <c r="AJ54" i="34"/>
  <c r="AK54" i="34" s="1"/>
  <c r="AI50" i="34"/>
  <c r="AI49" i="34" s="1"/>
  <c r="AC45" i="34"/>
  <c r="AE45" i="34"/>
  <c r="AF45" i="34"/>
  <c r="AG45" i="34"/>
  <c r="AI45" i="34"/>
  <c r="AJ39" i="34"/>
  <c r="AK39" i="34" s="1"/>
  <c r="AJ40" i="34"/>
  <c r="AK40" i="34" s="1"/>
  <c r="AJ41" i="34"/>
  <c r="AK41" i="34" s="1"/>
  <c r="AJ42" i="34"/>
  <c r="AK42" i="34" s="1"/>
  <c r="AJ43" i="34"/>
  <c r="AK43" i="34" s="1"/>
  <c r="AJ44" i="34"/>
  <c r="AK44" i="34" s="1"/>
  <c r="AI37" i="34"/>
  <c r="AI33" i="34"/>
  <c r="AI26" i="34"/>
  <c r="AI23" i="34"/>
  <c r="AJ22" i="34"/>
  <c r="AK22" i="34" s="1"/>
  <c r="AJ12" i="34"/>
  <c r="AK12" i="34" s="1"/>
  <c r="AJ13" i="34"/>
  <c r="AK13" i="34" s="1"/>
  <c r="AJ14" i="34"/>
  <c r="AK14" i="34" s="1"/>
  <c r="AJ15" i="34"/>
  <c r="AK15" i="34" s="1"/>
  <c r="AJ16" i="34"/>
  <c r="AK16" i="34" s="1"/>
  <c r="AJ17" i="34"/>
  <c r="AK17" i="34" s="1"/>
  <c r="AJ18" i="34"/>
  <c r="AK18" i="34" s="1"/>
  <c r="AJ19" i="34"/>
  <c r="AK19" i="34" s="1"/>
  <c r="AJ20" i="34"/>
  <c r="AK20" i="34" s="1"/>
  <c r="AJ21" i="34"/>
  <c r="AK21" i="34" s="1"/>
  <c r="AK292" i="34"/>
  <c r="AK291" i="34"/>
  <c r="AK288" i="34"/>
  <c r="AK285" i="34"/>
  <c r="AK283" i="34"/>
  <c r="AK281" i="34"/>
  <c r="AK277" i="34"/>
  <c r="AK276" i="34"/>
  <c r="AK275" i="34"/>
  <c r="AK274" i="34"/>
  <c r="AK273" i="34"/>
  <c r="AK272" i="34"/>
  <c r="AK269" i="34"/>
  <c r="AK267" i="34"/>
  <c r="AI10" i="34"/>
  <c r="AH292" i="34"/>
  <c r="AH291" i="34"/>
  <c r="AH290" i="34"/>
  <c r="AH288" i="34"/>
  <c r="AH285" i="34"/>
  <c r="AH283" i="34"/>
  <c r="AH281" i="34"/>
  <c r="AH280" i="34"/>
  <c r="AH277" i="34"/>
  <c r="AH276" i="34"/>
  <c r="AH275" i="34"/>
  <c r="AH274" i="34"/>
  <c r="AH273" i="34"/>
  <c r="AH272" i="34"/>
  <c r="AH269" i="34"/>
  <c r="AH267" i="34"/>
  <c r="AH265" i="34"/>
  <c r="AH264" i="34"/>
  <c r="AH263" i="34"/>
  <c r="AH262" i="34"/>
  <c r="AH259" i="34"/>
  <c r="AH258" i="34"/>
  <c r="AH256" i="34"/>
  <c r="AH255" i="34"/>
  <c r="AH254" i="34"/>
  <c r="AH253" i="34"/>
  <c r="AH252" i="34"/>
  <c r="AH249" i="34"/>
  <c r="AH248" i="34"/>
  <c r="AH247" i="34"/>
  <c r="AH244" i="34"/>
  <c r="AH243" i="34"/>
  <c r="AH242" i="34"/>
  <c r="AH241" i="34"/>
  <c r="AH238" i="34"/>
  <c r="AH237" i="34"/>
  <c r="AH236" i="34"/>
  <c r="AH235" i="34"/>
  <c r="AH233" i="34"/>
  <c r="AH232" i="34"/>
  <c r="AH231" i="34"/>
  <c r="AH228" i="34"/>
  <c r="AH226" i="34"/>
  <c r="AH225" i="34"/>
  <c r="AH224" i="34"/>
  <c r="AH223" i="34"/>
  <c r="AH222" i="34"/>
  <c r="AH221" i="34"/>
  <c r="AH220" i="34"/>
  <c r="AH217" i="34"/>
  <c r="AH216" i="34"/>
  <c r="AH215" i="34"/>
  <c r="AH214" i="34"/>
  <c r="AH210" i="34"/>
  <c r="AH207" i="34"/>
  <c r="AH206" i="34"/>
  <c r="AH205" i="34"/>
  <c r="AH204" i="34"/>
  <c r="AH201" i="34"/>
  <c r="AH199" i="34"/>
  <c r="AH198" i="34"/>
  <c r="AH197" i="34"/>
  <c r="AH196" i="34"/>
  <c r="AH195" i="34"/>
  <c r="AH194" i="34"/>
  <c r="AH193" i="34"/>
  <c r="AH192" i="34"/>
  <c r="AH189" i="34"/>
  <c r="AH188" i="34"/>
  <c r="AH187" i="34"/>
  <c r="AH186" i="34"/>
  <c r="AH185" i="34"/>
  <c r="AH184" i="34"/>
  <c r="AH182" i="34"/>
  <c r="AH181" i="34"/>
  <c r="AH180" i="34"/>
  <c r="AH179" i="34"/>
  <c r="AH177" i="34"/>
  <c r="AH175" i="34"/>
  <c r="AH174" i="34"/>
  <c r="AH173" i="34"/>
  <c r="AH172" i="34"/>
  <c r="AH171" i="34"/>
  <c r="AH170" i="34"/>
  <c r="AH169" i="34"/>
  <c r="AH166" i="34"/>
  <c r="AH164" i="34"/>
  <c r="AH162" i="34"/>
  <c r="AH160" i="34"/>
  <c r="AH159" i="34"/>
  <c r="AH156" i="34"/>
  <c r="AH154" i="34"/>
  <c r="AH152" i="34"/>
  <c r="AH149" i="34"/>
  <c r="AH145" i="34"/>
  <c r="AH143" i="34"/>
  <c r="AH142" i="34"/>
  <c r="AH139" i="34"/>
  <c r="AH138" i="34"/>
  <c r="AH137" i="34"/>
  <c r="AH136" i="34"/>
  <c r="AH133" i="34"/>
  <c r="AH131" i="34"/>
  <c r="AH130" i="34"/>
  <c r="AH129" i="34"/>
  <c r="AH128" i="34"/>
  <c r="AH127" i="34"/>
  <c r="AH126" i="34"/>
  <c r="AH124" i="34"/>
  <c r="AH123" i="34"/>
  <c r="AH122" i="34"/>
  <c r="AH120" i="34"/>
  <c r="AH119" i="34"/>
  <c r="AH116" i="34"/>
  <c r="AH115" i="34"/>
  <c r="AH113" i="34"/>
  <c r="AH112" i="34"/>
  <c r="AH110" i="34"/>
  <c r="AH109" i="34"/>
  <c r="AH108" i="34"/>
  <c r="AH107" i="34"/>
  <c r="AH106" i="34"/>
  <c r="AH104" i="34"/>
  <c r="AH103" i="34"/>
  <c r="AH102" i="34"/>
  <c r="AH98" i="34"/>
  <c r="AH96" i="34"/>
  <c r="AH95" i="34"/>
  <c r="AH94" i="34"/>
  <c r="AH93" i="34"/>
  <c r="AH91" i="34"/>
  <c r="AH90" i="34"/>
  <c r="AH89" i="34"/>
  <c r="AH88" i="34"/>
  <c r="AH87" i="34"/>
  <c r="AH86" i="34"/>
  <c r="AH85" i="34"/>
  <c r="AH84" i="34"/>
  <c r="AH83" i="34"/>
  <c r="AH82" i="34"/>
  <c r="AH81" i="34"/>
  <c r="AH78" i="34"/>
  <c r="AH77" i="34"/>
  <c r="AH75" i="34"/>
  <c r="AH73" i="34"/>
  <c r="AH72" i="34"/>
  <c r="AH69" i="34"/>
  <c r="AH68" i="34"/>
  <c r="AH67" i="34"/>
  <c r="AH66" i="34"/>
  <c r="AH65" i="34"/>
  <c r="AH63" i="34"/>
  <c r="AH62" i="34"/>
  <c r="AH61" i="34"/>
  <c r="AH60" i="34"/>
  <c r="AH59" i="34"/>
  <c r="AH55" i="34"/>
  <c r="AH54" i="34"/>
  <c r="AH53" i="34"/>
  <c r="AH52" i="34"/>
  <c r="AH51" i="34"/>
  <c r="AH48" i="34"/>
  <c r="AH47" i="34"/>
  <c r="AH46" i="34"/>
  <c r="AH44" i="34"/>
  <c r="AH43" i="34"/>
  <c r="AH42" i="34"/>
  <c r="AH41" i="34"/>
  <c r="AH40" i="34"/>
  <c r="AH39" i="34"/>
  <c r="AH38" i="34"/>
  <c r="AH36" i="34"/>
  <c r="AH35" i="34"/>
  <c r="AH34" i="34"/>
  <c r="AH31" i="34"/>
  <c r="AH30" i="34"/>
  <c r="AH29" i="34"/>
  <c r="AH28" i="34"/>
  <c r="AH27" i="34"/>
  <c r="AH25" i="34"/>
  <c r="AH24" i="34"/>
  <c r="AH22" i="34"/>
  <c r="AH21" i="34"/>
  <c r="AH20" i="34"/>
  <c r="AH19" i="34"/>
  <c r="AH18" i="34"/>
  <c r="AH17" i="34"/>
  <c r="AH16" i="34"/>
  <c r="AH15" i="34"/>
  <c r="AH14" i="34"/>
  <c r="AH13" i="34"/>
  <c r="AH12" i="34"/>
  <c r="AH11" i="34"/>
  <c r="AG289" i="34"/>
  <c r="AG287" i="34"/>
  <c r="AG284" i="34"/>
  <c r="AG282" i="34"/>
  <c r="AG279" i="34"/>
  <c r="AG271" i="34"/>
  <c r="AG268" i="34"/>
  <c r="AG266" i="34"/>
  <c r="AG261" i="34"/>
  <c r="AG257" i="34"/>
  <c r="AG251" i="34"/>
  <c r="AG245" i="34"/>
  <c r="AG240" i="34"/>
  <c r="AG239" i="34" s="1"/>
  <c r="AG234" i="34"/>
  <c r="AG230" i="34"/>
  <c r="AG227" i="34"/>
  <c r="AG219" i="34"/>
  <c r="AG213" i="34"/>
  <c r="AG212" i="34" s="1"/>
  <c r="AG209" i="34"/>
  <c r="AG203" i="34"/>
  <c r="AG200" i="34"/>
  <c r="AG191" i="34"/>
  <c r="AG183" i="34"/>
  <c r="AG178" i="34"/>
  <c r="AG176" i="34"/>
  <c r="AG168" i="34"/>
  <c r="AG165" i="34"/>
  <c r="AG163" i="34"/>
  <c r="AG161" i="34"/>
  <c r="AG158" i="34"/>
  <c r="AG155" i="34"/>
  <c r="AG153" i="34"/>
  <c r="AG151" i="34"/>
  <c r="AG148" i="34"/>
  <c r="AG147" i="34" s="1"/>
  <c r="AG144" i="34"/>
  <c r="AG141" i="34"/>
  <c r="AG135" i="34"/>
  <c r="AG132" i="34"/>
  <c r="AG125" i="34"/>
  <c r="AG121" i="34"/>
  <c r="AG118" i="34"/>
  <c r="AG114" i="34"/>
  <c r="AG111" i="34"/>
  <c r="AG101" i="34"/>
  <c r="AG97" i="34"/>
  <c r="AG92" i="34"/>
  <c r="AG80" i="34"/>
  <c r="AG76" i="34"/>
  <c r="AG74" i="34"/>
  <c r="AG71" i="34"/>
  <c r="AG64" i="34"/>
  <c r="AG58" i="34"/>
  <c r="AG50" i="34"/>
  <c r="AG37" i="34"/>
  <c r="AG33" i="34"/>
  <c r="AG26" i="34"/>
  <c r="AG23" i="34"/>
  <c r="AG10" i="34"/>
  <c r="AF289" i="34"/>
  <c r="AF287" i="34"/>
  <c r="AF284" i="34"/>
  <c r="AF282" i="34"/>
  <c r="AF279" i="34"/>
  <c r="AF271" i="34"/>
  <c r="AF270" i="34" s="1"/>
  <c r="AF268" i="34"/>
  <c r="AF266" i="34"/>
  <c r="AF261" i="34"/>
  <c r="AF257" i="34"/>
  <c r="AF251" i="34"/>
  <c r="AF245" i="34"/>
  <c r="AF240" i="34"/>
  <c r="AF239" i="34" s="1"/>
  <c r="AF234" i="34"/>
  <c r="AF230" i="34"/>
  <c r="AF227" i="34"/>
  <c r="AF219" i="34"/>
  <c r="AF213" i="34"/>
  <c r="AF212" i="34" s="1"/>
  <c r="AF209" i="34"/>
  <c r="AF208" i="34" s="1"/>
  <c r="AF203" i="34"/>
  <c r="AF202" i="34" s="1"/>
  <c r="AF200" i="34"/>
  <c r="AF191" i="34"/>
  <c r="AF183" i="34"/>
  <c r="AF178" i="34"/>
  <c r="AF176" i="34"/>
  <c r="AF168" i="34"/>
  <c r="AF165" i="34"/>
  <c r="AF163" i="34"/>
  <c r="AF161" i="34"/>
  <c r="AF158" i="34"/>
  <c r="AF155" i="34"/>
  <c r="AF153" i="34"/>
  <c r="AF151" i="34"/>
  <c r="AF148" i="34"/>
  <c r="AF147" i="34" s="1"/>
  <c r="AF144" i="34"/>
  <c r="AF141" i="34"/>
  <c r="AF135" i="34"/>
  <c r="AF134" i="34" s="1"/>
  <c r="AF132" i="34"/>
  <c r="AF125" i="34"/>
  <c r="AF121" i="34"/>
  <c r="AF118" i="34"/>
  <c r="AF114" i="34"/>
  <c r="AF111" i="34"/>
  <c r="AF101" i="34"/>
  <c r="AF97" i="34"/>
  <c r="AF92" i="34"/>
  <c r="AF80" i="34"/>
  <c r="AF76" i="34"/>
  <c r="AF74" i="34"/>
  <c r="AF71" i="34"/>
  <c r="AF64" i="34"/>
  <c r="AF58" i="34"/>
  <c r="AF50" i="34"/>
  <c r="AF49" i="34" s="1"/>
  <c r="AF37" i="34"/>
  <c r="AF33" i="34"/>
  <c r="AF26" i="34"/>
  <c r="AF23" i="34"/>
  <c r="AF10" i="34"/>
  <c r="AE289" i="34"/>
  <c r="AE287" i="34"/>
  <c r="AE284" i="34"/>
  <c r="AE282" i="34"/>
  <c r="AE279" i="34"/>
  <c r="AE271" i="34"/>
  <c r="AE270" i="34" s="1"/>
  <c r="AE268" i="34"/>
  <c r="AE266" i="34"/>
  <c r="AE261" i="34"/>
  <c r="AE257" i="34"/>
  <c r="AE251" i="34"/>
  <c r="AE246" i="34"/>
  <c r="AE245" i="34" s="1"/>
  <c r="AE240" i="34"/>
  <c r="AE239" i="34" s="1"/>
  <c r="AE234" i="34"/>
  <c r="AE230" i="34"/>
  <c r="AE227" i="34"/>
  <c r="AE219" i="34"/>
  <c r="AE213" i="34"/>
  <c r="AE212" i="34" s="1"/>
  <c r="AE209" i="34"/>
  <c r="AE208" i="34" s="1"/>
  <c r="AE203" i="34"/>
  <c r="AE202" i="34" s="1"/>
  <c r="AE200" i="34"/>
  <c r="AE191" i="34"/>
  <c r="AE183" i="34"/>
  <c r="AE178" i="34"/>
  <c r="AE176" i="34"/>
  <c r="AE168" i="34"/>
  <c r="AE165" i="34"/>
  <c r="AE163" i="34"/>
  <c r="AE161" i="34"/>
  <c r="AE158" i="34"/>
  <c r="AE155" i="34"/>
  <c r="AE153" i="34"/>
  <c r="AE151" i="34"/>
  <c r="AE148" i="34"/>
  <c r="AE147" i="34" s="1"/>
  <c r="AE144" i="34"/>
  <c r="AE141" i="34"/>
  <c r="AE135" i="34"/>
  <c r="AE134" i="34" s="1"/>
  <c r="AE132" i="34"/>
  <c r="AE125" i="34"/>
  <c r="AE121" i="34"/>
  <c r="AE118" i="34"/>
  <c r="AE114" i="34"/>
  <c r="AE111" i="34"/>
  <c r="AE101" i="34"/>
  <c r="AE97" i="34"/>
  <c r="AE92" i="34"/>
  <c r="AE80" i="34"/>
  <c r="AE76" i="34"/>
  <c r="AE74" i="34"/>
  <c r="AE71" i="34"/>
  <c r="AE64" i="34"/>
  <c r="AE58" i="34"/>
  <c r="AE50" i="34"/>
  <c r="AE49" i="34" s="1"/>
  <c r="AE37" i="34"/>
  <c r="AE33" i="34"/>
  <c r="AE26" i="34"/>
  <c r="AE23" i="34"/>
  <c r="AE10" i="34"/>
  <c r="AC289" i="34"/>
  <c r="AA289" i="34"/>
  <c r="AC287" i="34"/>
  <c r="AA287" i="34"/>
  <c r="AC284" i="34"/>
  <c r="AA284" i="34"/>
  <c r="AC282" i="34"/>
  <c r="AA282" i="34"/>
  <c r="AC279" i="34"/>
  <c r="AA279" i="34"/>
  <c r="AC271" i="34"/>
  <c r="AA271" i="34"/>
  <c r="AA270" i="34" s="1"/>
  <c r="AC268" i="34"/>
  <c r="AA268" i="34"/>
  <c r="AC266" i="34"/>
  <c r="AA266" i="34"/>
  <c r="AC261" i="34"/>
  <c r="AA261" i="34"/>
  <c r="AC257" i="34"/>
  <c r="AA257" i="34"/>
  <c r="AC251" i="34"/>
  <c r="AA251" i="34"/>
  <c r="AC246" i="34"/>
  <c r="AA246" i="34"/>
  <c r="AA245" i="34" s="1"/>
  <c r="AC240" i="34"/>
  <c r="AA240" i="34"/>
  <c r="AA239" i="34" s="1"/>
  <c r="AC234" i="34"/>
  <c r="AA234" i="34"/>
  <c r="AC230" i="34"/>
  <c r="AA230" i="34"/>
  <c r="AC227" i="34"/>
  <c r="AA227" i="34"/>
  <c r="AC219" i="34"/>
  <c r="AA219" i="34"/>
  <c r="AC213" i="34"/>
  <c r="AA213" i="34"/>
  <c r="AA212" i="34" s="1"/>
  <c r="AC209" i="34"/>
  <c r="AA209" i="34"/>
  <c r="AA208" i="34" s="1"/>
  <c r="AC203" i="34"/>
  <c r="AA203" i="34"/>
  <c r="AA202" i="34" s="1"/>
  <c r="AC200" i="34"/>
  <c r="AA200" i="34"/>
  <c r="AC191" i="34"/>
  <c r="AA191" i="34"/>
  <c r="AC183" i="34"/>
  <c r="AA183" i="34"/>
  <c r="AC178" i="34"/>
  <c r="AA178" i="34"/>
  <c r="AC176" i="34"/>
  <c r="AA176" i="34"/>
  <c r="AC168" i="34"/>
  <c r="AA168" i="34"/>
  <c r="AC165" i="34"/>
  <c r="AA165" i="34"/>
  <c r="AC163" i="34"/>
  <c r="AA163" i="34"/>
  <c r="AC161" i="34"/>
  <c r="AA161" i="34"/>
  <c r="AC158" i="34"/>
  <c r="AA158" i="34"/>
  <c r="AC155" i="34"/>
  <c r="AA155" i="34"/>
  <c r="AC153" i="34"/>
  <c r="AA153" i="34"/>
  <c r="AC151" i="34"/>
  <c r="AA151" i="34"/>
  <c r="AC148" i="34"/>
  <c r="AA148" i="34"/>
  <c r="AA147" i="34" s="1"/>
  <c r="AC144" i="34"/>
  <c r="AA144" i="34"/>
  <c r="AC141" i="34"/>
  <c r="AA141" i="34"/>
  <c r="AC135" i="34"/>
  <c r="AA135" i="34"/>
  <c r="AA134" i="34" s="1"/>
  <c r="AC132" i="34"/>
  <c r="AA132" i="34"/>
  <c r="AA125" i="34"/>
  <c r="AC121" i="34"/>
  <c r="AA121" i="34"/>
  <c r="AC118" i="34"/>
  <c r="AA118" i="34"/>
  <c r="AC114" i="34"/>
  <c r="AA114" i="34"/>
  <c r="AC111" i="34"/>
  <c r="AA111" i="34"/>
  <c r="AA105" i="34"/>
  <c r="AC101" i="34"/>
  <c r="AA101" i="34"/>
  <c r="AC97" i="34"/>
  <c r="AA97" i="34"/>
  <c r="AC92" i="34"/>
  <c r="AA92" i="34"/>
  <c r="AC80" i="34"/>
  <c r="AA80" i="34"/>
  <c r="AC76" i="34"/>
  <c r="AA76" i="34"/>
  <c r="AC74" i="34"/>
  <c r="AA74" i="34"/>
  <c r="AC71" i="34"/>
  <c r="AA71" i="34"/>
  <c r="AC64" i="34"/>
  <c r="AA64" i="34"/>
  <c r="AC58" i="34"/>
  <c r="AA58" i="34"/>
  <c r="AC50" i="34"/>
  <c r="AA50" i="34"/>
  <c r="AA49" i="34" s="1"/>
  <c r="AA45" i="34"/>
  <c r="AC37" i="34"/>
  <c r="AA37" i="34"/>
  <c r="AC33" i="34"/>
  <c r="AA33" i="34"/>
  <c r="AC26" i="34"/>
  <c r="AA23" i="34"/>
  <c r="AC10" i="34"/>
  <c r="AB17" i="34"/>
  <c r="AB292" i="34"/>
  <c r="AB291" i="34"/>
  <c r="AB290" i="34"/>
  <c r="AB285" i="34"/>
  <c r="AB283" i="34"/>
  <c r="AB277" i="34"/>
  <c r="AB269" i="34"/>
  <c r="AB267" i="34"/>
  <c r="AB259" i="34"/>
  <c r="AB258" i="34"/>
  <c r="AB256" i="34"/>
  <c r="AB255" i="34"/>
  <c r="AB254" i="34"/>
  <c r="AB249" i="34"/>
  <c r="AB238" i="34"/>
  <c r="AB237" i="34"/>
  <c r="AB236" i="34"/>
  <c r="AB235" i="34"/>
  <c r="AB233" i="34"/>
  <c r="AB228" i="34"/>
  <c r="AB226" i="34"/>
  <c r="AB225" i="34"/>
  <c r="AB224" i="34"/>
  <c r="AB223" i="34"/>
  <c r="AB222" i="34"/>
  <c r="AB221" i="34"/>
  <c r="AB220" i="34"/>
  <c r="AB217" i="34"/>
  <c r="AB216" i="34"/>
  <c r="AB215" i="34"/>
  <c r="AB214" i="34"/>
  <c r="AB210" i="34"/>
  <c r="AB207" i="34"/>
  <c r="AB206" i="34"/>
  <c r="AB205" i="34"/>
  <c r="AB204" i="34"/>
  <c r="AB201" i="34"/>
  <c r="AB199" i="34"/>
  <c r="AB198" i="34"/>
  <c r="AB197" i="34"/>
  <c r="AB196" i="34"/>
  <c r="AB195" i="34"/>
  <c r="AB194" i="34"/>
  <c r="AB189" i="34"/>
  <c r="AB188" i="34"/>
  <c r="AB184" i="34"/>
  <c r="AB182" i="34"/>
  <c r="AB181" i="34"/>
  <c r="AB180" i="34"/>
  <c r="AB179" i="34"/>
  <c r="AB177" i="34"/>
  <c r="AB175" i="34"/>
  <c r="AB174" i="34"/>
  <c r="AB173" i="34"/>
  <c r="AB172" i="34"/>
  <c r="AB171" i="34"/>
  <c r="AB170" i="34"/>
  <c r="AB169" i="34"/>
  <c r="AB166" i="34"/>
  <c r="AB164" i="34"/>
  <c r="AB162" i="34"/>
  <c r="AB160" i="34"/>
  <c r="AB159" i="34"/>
  <c r="AB156" i="34"/>
  <c r="AB154" i="34"/>
  <c r="AB152" i="34"/>
  <c r="AB149" i="34"/>
  <c r="AB145" i="34"/>
  <c r="AB143" i="34"/>
  <c r="AB142" i="34"/>
  <c r="AB139" i="34"/>
  <c r="AB138" i="34"/>
  <c r="AB137" i="34"/>
  <c r="AB136" i="34"/>
  <c r="AB133" i="34"/>
  <c r="AB131" i="34"/>
  <c r="AB130" i="34"/>
  <c r="AB129" i="34"/>
  <c r="AB128" i="34"/>
  <c r="AB127" i="34"/>
  <c r="AB126" i="34"/>
  <c r="AB124" i="34"/>
  <c r="AB123" i="34"/>
  <c r="AB122" i="34"/>
  <c r="AB120" i="34"/>
  <c r="AB119" i="34"/>
  <c r="AB116" i="34"/>
  <c r="AB115" i="34"/>
  <c r="AB113" i="34"/>
  <c r="AB112" i="34"/>
  <c r="AB110" i="34"/>
  <c r="AB109" i="34"/>
  <c r="AB108" i="34"/>
  <c r="AB107" i="34"/>
  <c r="AB106" i="34"/>
  <c r="AB104" i="34"/>
  <c r="AB103" i="34"/>
  <c r="AB102" i="34"/>
  <c r="AB98" i="34"/>
  <c r="AB96" i="34"/>
  <c r="AB95" i="34"/>
  <c r="AB94" i="34"/>
  <c r="AB93" i="34"/>
  <c r="AB91" i="34"/>
  <c r="AB90" i="34"/>
  <c r="AB89" i="34"/>
  <c r="AB88" i="34"/>
  <c r="AB87" i="34"/>
  <c r="AB86" i="34"/>
  <c r="AB85" i="34"/>
  <c r="AB84" i="34"/>
  <c r="AB83" i="34"/>
  <c r="AB82" i="34"/>
  <c r="AB81" i="34"/>
  <c r="AB78" i="34"/>
  <c r="AB77" i="34"/>
  <c r="AB75" i="34"/>
  <c r="AB73" i="34"/>
  <c r="AB72" i="34"/>
  <c r="AB69" i="34"/>
  <c r="AB68" i="34"/>
  <c r="AB67" i="34"/>
  <c r="AB66" i="34"/>
  <c r="AB65" i="34"/>
  <c r="AB63" i="34"/>
  <c r="AB62" i="34"/>
  <c r="AB61" i="34"/>
  <c r="AB60" i="34"/>
  <c r="AB59" i="34"/>
  <c r="AB55" i="34"/>
  <c r="AB54" i="34"/>
  <c r="AB53" i="34"/>
  <c r="AB52" i="34"/>
  <c r="AB51" i="34"/>
  <c r="AB46" i="34"/>
  <c r="AB44" i="34"/>
  <c r="AB43" i="34"/>
  <c r="AB42" i="34"/>
  <c r="AB41" i="34"/>
  <c r="AB40" i="34"/>
  <c r="AB39" i="34"/>
  <c r="AB38" i="34"/>
  <c r="AB36" i="34"/>
  <c r="AB35" i="34"/>
  <c r="AB34" i="34"/>
  <c r="AB31" i="34"/>
  <c r="AB30" i="34"/>
  <c r="AB29" i="34"/>
  <c r="AB28" i="34"/>
  <c r="AB27" i="34"/>
  <c r="AB25" i="34"/>
  <c r="AB24" i="34"/>
  <c r="AB22" i="34"/>
  <c r="AB21" i="34"/>
  <c r="AB20" i="34"/>
  <c r="AB19" i="34"/>
  <c r="AB18" i="34"/>
  <c r="AB16" i="34"/>
  <c r="AB15" i="34"/>
  <c r="AB14" i="34"/>
  <c r="AB13" i="34"/>
  <c r="AB12" i="34"/>
  <c r="AB11" i="34"/>
  <c r="AJ290" i="34"/>
  <c r="Z287" i="34"/>
  <c r="AA26" i="34"/>
  <c r="Z282" i="34"/>
  <c r="Z284" i="34"/>
  <c r="Z271" i="34"/>
  <c r="Z270" i="34" s="1"/>
  <c r="Z268" i="34"/>
  <c r="Z266" i="34"/>
  <c r="Z261" i="34"/>
  <c r="Z257" i="34"/>
  <c r="Z251" i="34"/>
  <c r="Z246" i="34"/>
  <c r="Z245" i="34" s="1"/>
  <c r="Z240" i="34"/>
  <c r="Z239" i="34" s="1"/>
  <c r="Z234" i="34"/>
  <c r="Z230" i="34"/>
  <c r="Z227" i="34"/>
  <c r="Z219" i="34"/>
  <c r="Z213" i="34"/>
  <c r="Z212" i="34" s="1"/>
  <c r="Z209" i="34"/>
  <c r="Z208" i="34" s="1"/>
  <c r="Z203" i="34"/>
  <c r="Z202" i="34" s="1"/>
  <c r="Z200" i="34"/>
  <c r="AJ192" i="34"/>
  <c r="Z183" i="34"/>
  <c r="Z178" i="34"/>
  <c r="Z176" i="34"/>
  <c r="Z168" i="34"/>
  <c r="Z165" i="34"/>
  <c r="Z163" i="34"/>
  <c r="Z161" i="34"/>
  <c r="Z158" i="34"/>
  <c r="Z155" i="34"/>
  <c r="Z153" i="34"/>
  <c r="Z151" i="34"/>
  <c r="Z148" i="34"/>
  <c r="Z147" i="34" s="1"/>
  <c r="Z144" i="34"/>
  <c r="Z141" i="34"/>
  <c r="Z135" i="34"/>
  <c r="Z134" i="34" s="1"/>
  <c r="Z132" i="34"/>
  <c r="Z125" i="34"/>
  <c r="Z121" i="34"/>
  <c r="Z118" i="34"/>
  <c r="Z114" i="34"/>
  <c r="Z111" i="34"/>
  <c r="Z105" i="34"/>
  <c r="Z101" i="34"/>
  <c r="AI191" i="34" l="1"/>
  <c r="AK247" i="34"/>
  <c r="AK193" i="34"/>
  <c r="AK255" i="34"/>
  <c r="AK253" i="34"/>
  <c r="AK254" i="34"/>
  <c r="AH105" i="34"/>
  <c r="AG134" i="34"/>
  <c r="AH134" i="34" s="1"/>
  <c r="AH135" i="34"/>
  <c r="AI140" i="34"/>
  <c r="AK244" i="34"/>
  <c r="AK210" i="34"/>
  <c r="AC202" i="34"/>
  <c r="AC212" i="34"/>
  <c r="AC245" i="34"/>
  <c r="AK248" i="34"/>
  <c r="AC147" i="34"/>
  <c r="AC49" i="34"/>
  <c r="AC134" i="34"/>
  <c r="AC270" i="34"/>
  <c r="Z289" i="34"/>
  <c r="AH45" i="34"/>
  <c r="AK149" i="34"/>
  <c r="AK133" i="34"/>
  <c r="AK154" i="34"/>
  <c r="AF32" i="34"/>
  <c r="AH118" i="34"/>
  <c r="AK270" i="34"/>
  <c r="AJ191" i="34"/>
  <c r="AK145" i="34"/>
  <c r="AH71" i="34"/>
  <c r="AH114" i="34"/>
  <c r="AH158" i="34"/>
  <c r="AK166" i="34"/>
  <c r="AJ158" i="34"/>
  <c r="AK158" i="34" s="1"/>
  <c r="AA57" i="34"/>
  <c r="AC157" i="34"/>
  <c r="AF117" i="34"/>
  <c r="AF278" i="34"/>
  <c r="AH125" i="34"/>
  <c r="AH144" i="34"/>
  <c r="AH155" i="34"/>
  <c r="AH165" i="34"/>
  <c r="AH183" i="34"/>
  <c r="AH230" i="34"/>
  <c r="AH251" i="34"/>
  <c r="AH268" i="34"/>
  <c r="AH284" i="34"/>
  <c r="AJ178" i="34"/>
  <c r="AK132" i="34"/>
  <c r="AK242" i="34"/>
  <c r="AJ261" i="34"/>
  <c r="AE286" i="34"/>
  <c r="AE117" i="34"/>
  <c r="AF9" i="34"/>
  <c r="AF229" i="34"/>
  <c r="AH26" i="34"/>
  <c r="AH101" i="34"/>
  <c r="AH245" i="34"/>
  <c r="AH282" i="34"/>
  <c r="AK162" i="34"/>
  <c r="AJ114" i="34"/>
  <c r="AK114" i="34" s="1"/>
  <c r="AK153" i="34"/>
  <c r="AI190" i="34"/>
  <c r="AJ227" i="34"/>
  <c r="AJ257" i="34"/>
  <c r="Z260" i="34"/>
  <c r="AE79" i="34"/>
  <c r="AE190" i="34"/>
  <c r="AH266" i="34"/>
  <c r="AH37" i="34"/>
  <c r="AH92" i="34"/>
  <c r="AH212" i="34"/>
  <c r="AH234" i="34"/>
  <c r="AH257" i="34"/>
  <c r="AI230" i="34"/>
  <c r="AI229" i="34" s="1"/>
  <c r="Z191" i="34"/>
  <c r="Z190" i="34" s="1"/>
  <c r="AE218" i="34"/>
  <c r="AF157" i="34"/>
  <c r="AF167" i="34"/>
  <c r="AF190" i="34"/>
  <c r="AH23" i="34"/>
  <c r="AH151" i="34"/>
  <c r="AH161" i="34"/>
  <c r="AH176" i="34"/>
  <c r="AH200" i="34"/>
  <c r="AH239" i="34"/>
  <c r="AH289" i="34"/>
  <c r="AI117" i="34"/>
  <c r="AJ141" i="34"/>
  <c r="AE278" i="34"/>
  <c r="AF286" i="34"/>
  <c r="AH76" i="34"/>
  <c r="AH121" i="34"/>
  <c r="AH153" i="34"/>
  <c r="AH163" i="34"/>
  <c r="AH178" i="34"/>
  <c r="AH227" i="34"/>
  <c r="AE32" i="34"/>
  <c r="AH33" i="34"/>
  <c r="AH64" i="34"/>
  <c r="AH111" i="34"/>
  <c r="AA32" i="34"/>
  <c r="AE9" i="34"/>
  <c r="AE229" i="34"/>
  <c r="AG79" i="34"/>
  <c r="AH80" i="34"/>
  <c r="AH209" i="34"/>
  <c r="AG229" i="34"/>
  <c r="AK120" i="34"/>
  <c r="AJ163" i="34"/>
  <c r="AK164" i="34"/>
  <c r="AJ200" i="34"/>
  <c r="AK200" i="34" s="1"/>
  <c r="AK201" i="34"/>
  <c r="AG140" i="34"/>
  <c r="AH141" i="34"/>
  <c r="AG202" i="34"/>
  <c r="AH202" i="34" s="1"/>
  <c r="AH203" i="34"/>
  <c r="AC70" i="34"/>
  <c r="AA140" i="34"/>
  <c r="AC208" i="34"/>
  <c r="AG9" i="34"/>
  <c r="AH132" i="34"/>
  <c r="AH147" i="34"/>
  <c r="AH191" i="34"/>
  <c r="AG270" i="34"/>
  <c r="AH270" i="34" s="1"/>
  <c r="AH271" i="34"/>
  <c r="AH287" i="34"/>
  <c r="AK152" i="34"/>
  <c r="AJ151" i="34"/>
  <c r="AJ150" i="34" s="1"/>
  <c r="AJ183" i="34"/>
  <c r="AI251" i="34"/>
  <c r="AK252" i="34"/>
  <c r="Z279" i="34"/>
  <c r="AJ280" i="34"/>
  <c r="AJ289" i="34"/>
  <c r="AK290" i="34"/>
  <c r="AC239" i="34"/>
  <c r="AH50" i="34"/>
  <c r="AH74" i="34"/>
  <c r="AH97" i="34"/>
  <c r="AG117" i="34"/>
  <c r="AG218" i="34"/>
  <c r="AH219" i="34"/>
  <c r="AH279" i="34"/>
  <c r="AH246" i="34"/>
  <c r="AJ168" i="34"/>
  <c r="AK168" i="34" s="1"/>
  <c r="AK172" i="34"/>
  <c r="AJ176" i="34"/>
  <c r="AK177" i="34"/>
  <c r="AE70" i="34"/>
  <c r="AE157" i="34"/>
  <c r="AF57" i="34"/>
  <c r="AF100" i="34"/>
  <c r="AF150" i="34"/>
  <c r="AF250" i="34"/>
  <c r="AG49" i="34"/>
  <c r="AH49" i="34" s="1"/>
  <c r="AG70" i="34"/>
  <c r="AG208" i="34"/>
  <c r="AH208" i="34" s="1"/>
  <c r="AG260" i="34"/>
  <c r="AG278" i="34"/>
  <c r="AG286" i="34"/>
  <c r="AH10" i="34"/>
  <c r="AJ125" i="34"/>
  <c r="AK125" i="34" s="1"/>
  <c r="AJ213" i="34"/>
  <c r="AJ212" i="34" s="1"/>
  <c r="AK212" i="34" s="1"/>
  <c r="AK241" i="34"/>
  <c r="AE57" i="34"/>
  <c r="AE150" i="34"/>
  <c r="AE167" i="34"/>
  <c r="AE260" i="34"/>
  <c r="AF79" i="34"/>
  <c r="AF140" i="34"/>
  <c r="AF218" i="34"/>
  <c r="AG32" i="34"/>
  <c r="AG157" i="34"/>
  <c r="AG167" i="34"/>
  <c r="AG190" i="34"/>
  <c r="AH148" i="34"/>
  <c r="AH168" i="34"/>
  <c r="AH240" i="34"/>
  <c r="AJ234" i="34"/>
  <c r="AK234" i="34" s="1"/>
  <c r="AJ240" i="34"/>
  <c r="AJ239" i="34" s="1"/>
  <c r="AJ246" i="34"/>
  <c r="AJ245" i="34" s="1"/>
  <c r="AE140" i="34"/>
  <c r="AE250" i="34"/>
  <c r="AF70" i="34"/>
  <c r="AF260" i="34"/>
  <c r="AG57" i="34"/>
  <c r="AG100" i="34"/>
  <c r="AG150" i="34"/>
  <c r="AG250" i="34"/>
  <c r="AH58" i="34"/>
  <c r="AH213" i="34"/>
  <c r="AH261" i="34"/>
  <c r="AI9" i="34"/>
  <c r="AI100" i="34"/>
  <c r="AJ135" i="34"/>
  <c r="AJ134" i="34" s="1"/>
  <c r="AJ203" i="34"/>
  <c r="AJ202" i="34" s="1"/>
  <c r="AK202" i="34" s="1"/>
  <c r="AK243" i="34"/>
  <c r="AJ251" i="34"/>
  <c r="AK262" i="34"/>
  <c r="AI246" i="34"/>
  <c r="AI245" i="34" s="1"/>
  <c r="AI240" i="34"/>
  <c r="AI239" i="34" s="1"/>
  <c r="AK214" i="34"/>
  <c r="AJ208" i="34"/>
  <c r="AK208" i="34" s="1"/>
  <c r="AK209" i="34"/>
  <c r="AK192" i="34"/>
  <c r="AK165" i="34"/>
  <c r="AK155" i="34"/>
  <c r="AK156" i="34"/>
  <c r="AI150" i="34"/>
  <c r="AJ147" i="34"/>
  <c r="AK147" i="34" s="1"/>
  <c r="AK148" i="34"/>
  <c r="AK126" i="34"/>
  <c r="AE100" i="34"/>
  <c r="AI57" i="34"/>
  <c r="AK60" i="34"/>
  <c r="AI32" i="34"/>
  <c r="AC229" i="34"/>
  <c r="AA229" i="34"/>
  <c r="AC218" i="34"/>
  <c r="AA218" i="34"/>
  <c r="AC190" i="34"/>
  <c r="AA190" i="34"/>
  <c r="AC167" i="34"/>
  <c r="AA167" i="34"/>
  <c r="AA157" i="34"/>
  <c r="AC150" i="34"/>
  <c r="AA150" i="34"/>
  <c r="AC140" i="34"/>
  <c r="AC117" i="34"/>
  <c r="AA117" i="34"/>
  <c r="AA100" i="34"/>
  <c r="AC100" i="34"/>
  <c r="AC79" i="34"/>
  <c r="AA79" i="34"/>
  <c r="AA70" i="34"/>
  <c r="AC57" i="34"/>
  <c r="AC32" i="34"/>
  <c r="Z229" i="34"/>
  <c r="Z218" i="34"/>
  <c r="Z157" i="34"/>
  <c r="Z150" i="34"/>
  <c r="Z140" i="34"/>
  <c r="Z76" i="34"/>
  <c r="Z80" i="34"/>
  <c r="Z74" i="34"/>
  <c r="Z71" i="34"/>
  <c r="Z64" i="34"/>
  <c r="Z58" i="34"/>
  <c r="AJ55" i="34"/>
  <c r="AK55" i="34" s="1"/>
  <c r="AB48" i="34"/>
  <c r="Z45" i="34"/>
  <c r="Z37" i="34"/>
  <c r="Z26" i="34"/>
  <c r="AA10" i="34"/>
  <c r="AA9" i="34" s="1"/>
  <c r="Z10" i="34"/>
  <c r="Y289" i="34"/>
  <c r="AD289" i="34" s="1"/>
  <c r="Y287" i="34"/>
  <c r="AD287" i="34" s="1"/>
  <c r="Y284" i="34"/>
  <c r="AD284" i="34" s="1"/>
  <c r="Y282" i="34"/>
  <c r="AD282" i="34" s="1"/>
  <c r="AB281" i="34"/>
  <c r="AB275" i="34"/>
  <c r="AB276" i="34"/>
  <c r="AB274" i="34"/>
  <c r="AB273" i="34"/>
  <c r="Y268" i="34"/>
  <c r="AD268" i="34" s="1"/>
  <c r="Y266" i="34"/>
  <c r="AD266" i="34" s="1"/>
  <c r="AB263" i="34"/>
  <c r="AB264" i="34"/>
  <c r="AB265" i="34"/>
  <c r="Y257" i="34"/>
  <c r="AD257" i="34" s="1"/>
  <c r="AB253" i="34"/>
  <c r="AB248" i="34"/>
  <c r="AB242" i="34"/>
  <c r="AB243" i="34"/>
  <c r="AB244" i="34"/>
  <c r="Y234" i="34"/>
  <c r="AB234" i="34" s="1"/>
  <c r="AB232" i="34"/>
  <c r="Y227" i="34"/>
  <c r="AB227" i="34" s="1"/>
  <c r="Y219" i="34"/>
  <c r="AD219" i="34" s="1"/>
  <c r="Y213" i="34"/>
  <c r="AB213" i="34" s="1"/>
  <c r="Y209" i="34"/>
  <c r="AB209" i="34" s="1"/>
  <c r="Y203" i="34"/>
  <c r="AB203" i="34" s="1"/>
  <c r="Y200" i="34"/>
  <c r="AB200" i="34" s="1"/>
  <c r="AB193" i="34"/>
  <c r="AB192" i="34"/>
  <c r="AB187" i="34"/>
  <c r="AB186" i="34"/>
  <c r="Y178" i="34"/>
  <c r="AB178" i="34" s="1"/>
  <c r="Y176" i="34"/>
  <c r="AB176" i="34" s="1"/>
  <c r="Y168" i="34"/>
  <c r="AB168" i="34" s="1"/>
  <c r="Y165" i="34"/>
  <c r="AB165" i="34" s="1"/>
  <c r="Y163" i="34"/>
  <c r="AB163" i="34" s="1"/>
  <c r="Y161" i="34"/>
  <c r="AB161" i="34" s="1"/>
  <c r="Y158" i="34"/>
  <c r="AB158" i="34" s="1"/>
  <c r="Y155" i="34"/>
  <c r="AB155" i="34" s="1"/>
  <c r="Y153" i="34"/>
  <c r="AB153" i="34" s="1"/>
  <c r="Y151" i="34"/>
  <c r="Y148" i="34"/>
  <c r="Y147" i="34" s="1"/>
  <c r="AB147" i="34" s="1"/>
  <c r="Y144" i="34"/>
  <c r="AB144" i="34" s="1"/>
  <c r="Y141" i="34"/>
  <c r="AB141" i="34" s="1"/>
  <c r="Y135" i="34"/>
  <c r="Y134" i="34" s="1"/>
  <c r="AB134" i="34" s="1"/>
  <c r="Y132" i="34"/>
  <c r="AB132" i="34" s="1"/>
  <c r="Y125" i="34"/>
  <c r="Y121" i="34"/>
  <c r="AB121" i="34" s="1"/>
  <c r="Y118" i="34"/>
  <c r="AB118" i="34" s="1"/>
  <c r="Y114" i="34"/>
  <c r="AB114" i="34" s="1"/>
  <c r="Y111" i="34"/>
  <c r="AB111" i="34" s="1"/>
  <c r="Y105" i="34"/>
  <c r="AD105" i="34" s="1"/>
  <c r="Y101" i="34"/>
  <c r="AB101" i="34" s="1"/>
  <c r="Y97" i="34"/>
  <c r="AB97" i="34" s="1"/>
  <c r="Y92" i="34"/>
  <c r="AB92" i="34" s="1"/>
  <c r="Y80" i="34"/>
  <c r="AB80" i="34" s="1"/>
  <c r="Y76" i="34"/>
  <c r="AB76" i="34" s="1"/>
  <c r="Y74" i="34"/>
  <c r="AB74" i="34" s="1"/>
  <c r="Y71" i="34"/>
  <c r="AB71" i="34" s="1"/>
  <c r="Y64" i="34"/>
  <c r="AB64" i="34" s="1"/>
  <c r="Y58" i="34"/>
  <c r="AB58" i="34" s="1"/>
  <c r="Y50" i="34"/>
  <c r="AB50" i="34" s="1"/>
  <c r="AB47" i="34"/>
  <c r="Y37" i="34"/>
  <c r="AB37" i="34" s="1"/>
  <c r="Y33" i="34"/>
  <c r="AB33" i="34" s="1"/>
  <c r="Y26" i="34"/>
  <c r="AB26" i="34" s="1"/>
  <c r="Y23" i="34"/>
  <c r="AB23" i="34" s="1"/>
  <c r="Y10" i="34"/>
  <c r="AD10" i="34" s="1"/>
  <c r="U292" i="34"/>
  <c r="V292" i="34" s="1"/>
  <c r="U291" i="34"/>
  <c r="V291" i="34" s="1"/>
  <c r="U290" i="34"/>
  <c r="V290" i="34" s="1"/>
  <c r="U288" i="34"/>
  <c r="V288" i="34" s="1"/>
  <c r="V287" i="34" s="1"/>
  <c r="U285" i="34"/>
  <c r="V285" i="34" s="1"/>
  <c r="V284" i="34" s="1"/>
  <c r="U283" i="34"/>
  <c r="V283" i="34" s="1"/>
  <c r="V282" i="34" s="1"/>
  <c r="U281" i="34"/>
  <c r="V281" i="34" s="1"/>
  <c r="U280" i="34"/>
  <c r="V280" i="34" s="1"/>
  <c r="U277" i="34"/>
  <c r="V277" i="34" s="1"/>
  <c r="U276" i="34"/>
  <c r="V276" i="34" s="1"/>
  <c r="U275" i="34"/>
  <c r="V275" i="34" s="1"/>
  <c r="U274" i="34"/>
  <c r="V274" i="34" s="1"/>
  <c r="U273" i="34"/>
  <c r="V273" i="34" s="1"/>
  <c r="U272" i="34"/>
  <c r="V272" i="34" s="1"/>
  <c r="U269" i="34"/>
  <c r="V269" i="34" s="1"/>
  <c r="V268" i="34" s="1"/>
  <c r="U267" i="34"/>
  <c r="V267" i="34" s="1"/>
  <c r="V266" i="34" s="1"/>
  <c r="U265" i="34"/>
  <c r="V265" i="34" s="1"/>
  <c r="U264" i="34"/>
  <c r="V264" i="34" s="1"/>
  <c r="U263" i="34"/>
  <c r="V263" i="34" s="1"/>
  <c r="U262" i="34"/>
  <c r="V262" i="34" s="1"/>
  <c r="U259" i="34"/>
  <c r="V259" i="34" s="1"/>
  <c r="U258" i="34"/>
  <c r="V258" i="34" s="1"/>
  <c r="U256" i="34"/>
  <c r="V256" i="34" s="1"/>
  <c r="U255" i="34"/>
  <c r="V255" i="34" s="1"/>
  <c r="U254" i="34"/>
  <c r="V254" i="34" s="1"/>
  <c r="U253" i="34"/>
  <c r="V253" i="34" s="1"/>
  <c r="U252" i="34"/>
  <c r="V252" i="34" s="1"/>
  <c r="U249" i="34"/>
  <c r="V249" i="34" s="1"/>
  <c r="U248" i="34"/>
  <c r="V248" i="34" s="1"/>
  <c r="U247" i="34"/>
  <c r="V247" i="34" s="1"/>
  <c r="U238" i="34"/>
  <c r="V238" i="34" s="1"/>
  <c r="U237" i="34"/>
  <c r="V237" i="34" s="1"/>
  <c r="U236" i="34"/>
  <c r="V236" i="34" s="1"/>
  <c r="U235" i="34"/>
  <c r="V235" i="34" s="1"/>
  <c r="U233" i="34"/>
  <c r="V233" i="34" s="1"/>
  <c r="U232" i="34"/>
  <c r="V232" i="34" s="1"/>
  <c r="U231" i="34"/>
  <c r="V231" i="34" s="1"/>
  <c r="U228" i="34"/>
  <c r="V228" i="34" s="1"/>
  <c r="V227" i="34" s="1"/>
  <c r="U221" i="34"/>
  <c r="V221" i="34" s="1"/>
  <c r="U222" i="34"/>
  <c r="V222" i="34" s="1"/>
  <c r="U223" i="34"/>
  <c r="V223" i="34" s="1"/>
  <c r="U224" i="34"/>
  <c r="V224" i="34" s="1"/>
  <c r="U225" i="34"/>
  <c r="V225" i="34" s="1"/>
  <c r="U226" i="34"/>
  <c r="V226" i="34" s="1"/>
  <c r="U220" i="34"/>
  <c r="V220" i="34" s="1"/>
  <c r="U215" i="34"/>
  <c r="V215" i="34" s="1"/>
  <c r="U216" i="34"/>
  <c r="V216" i="34" s="1"/>
  <c r="U217" i="34"/>
  <c r="V217" i="34" s="1"/>
  <c r="U214" i="34"/>
  <c r="V214" i="34" s="1"/>
  <c r="U210" i="34"/>
  <c r="V210" i="34" s="1"/>
  <c r="V209" i="34" s="1"/>
  <c r="V208" i="34" s="1"/>
  <c r="U205" i="34"/>
  <c r="V205" i="34" s="1"/>
  <c r="U206" i="34"/>
  <c r="V206" i="34" s="1"/>
  <c r="U207" i="34"/>
  <c r="V207" i="34" s="1"/>
  <c r="U204" i="34"/>
  <c r="V204" i="34" s="1"/>
  <c r="U201" i="34"/>
  <c r="V201" i="34" s="1"/>
  <c r="V200" i="34" s="1"/>
  <c r="U196" i="34"/>
  <c r="V196" i="34" s="1"/>
  <c r="U197" i="34"/>
  <c r="V197" i="34" s="1"/>
  <c r="U198" i="34"/>
  <c r="V198" i="34" s="1"/>
  <c r="U199" i="34"/>
  <c r="V199" i="34" s="1"/>
  <c r="U193" i="34"/>
  <c r="V193" i="34" s="1"/>
  <c r="U194" i="34"/>
  <c r="V194" i="34" s="1"/>
  <c r="U195" i="34"/>
  <c r="V195" i="34" s="1"/>
  <c r="U192" i="34"/>
  <c r="V192" i="34" s="1"/>
  <c r="U185" i="34"/>
  <c r="V185" i="34" s="1"/>
  <c r="U186" i="34"/>
  <c r="V186" i="34" s="1"/>
  <c r="U187" i="34"/>
  <c r="V187" i="34" s="1"/>
  <c r="U188" i="34"/>
  <c r="V188" i="34" s="1"/>
  <c r="U189" i="34"/>
  <c r="V189" i="34" s="1"/>
  <c r="U184" i="34"/>
  <c r="V184" i="34" s="1"/>
  <c r="U180" i="34"/>
  <c r="V180" i="34" s="1"/>
  <c r="U181" i="34"/>
  <c r="V181" i="34" s="1"/>
  <c r="U182" i="34"/>
  <c r="V182" i="34" s="1"/>
  <c r="U179" i="34"/>
  <c r="V179" i="34" s="1"/>
  <c r="U177" i="34"/>
  <c r="V177" i="34" s="1"/>
  <c r="V176" i="34" s="1"/>
  <c r="U170" i="34"/>
  <c r="V170" i="34" s="1"/>
  <c r="U171" i="34"/>
  <c r="V171" i="34" s="1"/>
  <c r="U172" i="34"/>
  <c r="V172" i="34" s="1"/>
  <c r="U173" i="34"/>
  <c r="V173" i="34" s="1"/>
  <c r="U174" i="34"/>
  <c r="V174" i="34" s="1"/>
  <c r="U175" i="34"/>
  <c r="V175" i="34" s="1"/>
  <c r="U169" i="34"/>
  <c r="V169" i="34" s="1"/>
  <c r="U166" i="34"/>
  <c r="V166" i="34" s="1"/>
  <c r="V165" i="34" s="1"/>
  <c r="U164" i="34"/>
  <c r="V164" i="34" s="1"/>
  <c r="V163" i="34" s="1"/>
  <c r="U162" i="34"/>
  <c r="V162" i="34" s="1"/>
  <c r="V161" i="34" s="1"/>
  <c r="U160" i="34"/>
  <c r="V160" i="34" s="1"/>
  <c r="U159" i="34"/>
  <c r="V159" i="34" s="1"/>
  <c r="U156" i="34"/>
  <c r="V156" i="34" s="1"/>
  <c r="V155" i="34" s="1"/>
  <c r="U154" i="34"/>
  <c r="V154" i="34" s="1"/>
  <c r="V153" i="34" s="1"/>
  <c r="U152" i="34"/>
  <c r="V152" i="34" s="1"/>
  <c r="V151" i="34" s="1"/>
  <c r="U149" i="34"/>
  <c r="V149" i="34" s="1"/>
  <c r="V148" i="34" s="1"/>
  <c r="V147" i="34" s="1"/>
  <c r="U145" i="34"/>
  <c r="V145" i="34" s="1"/>
  <c r="V144" i="34" s="1"/>
  <c r="U143" i="34"/>
  <c r="V143" i="34" s="1"/>
  <c r="U142" i="34"/>
  <c r="V142" i="34" s="1"/>
  <c r="U137" i="34"/>
  <c r="V137" i="34" s="1"/>
  <c r="U138" i="34"/>
  <c r="V138" i="34" s="1"/>
  <c r="U139" i="34"/>
  <c r="V139" i="34" s="1"/>
  <c r="U136" i="34"/>
  <c r="V136" i="34" s="1"/>
  <c r="U133" i="34"/>
  <c r="V133" i="34" s="1"/>
  <c r="V132" i="34" s="1"/>
  <c r="U127" i="34"/>
  <c r="V127" i="34" s="1"/>
  <c r="U128" i="34"/>
  <c r="V128" i="34" s="1"/>
  <c r="U129" i="34"/>
  <c r="V129" i="34" s="1"/>
  <c r="U130" i="34"/>
  <c r="V130" i="34" s="1"/>
  <c r="U131" i="34"/>
  <c r="V131" i="34" s="1"/>
  <c r="U126" i="34"/>
  <c r="V126" i="34" s="1"/>
  <c r="U123" i="34"/>
  <c r="V123" i="34" s="1"/>
  <c r="U124" i="34"/>
  <c r="V124" i="34" s="1"/>
  <c r="U122" i="34"/>
  <c r="V122" i="34" s="1"/>
  <c r="U120" i="34"/>
  <c r="V120" i="34" s="1"/>
  <c r="U116" i="34"/>
  <c r="V116" i="34" s="1"/>
  <c r="U115" i="34"/>
  <c r="V115" i="34" s="1"/>
  <c r="U113" i="34"/>
  <c r="V113" i="34" s="1"/>
  <c r="U112" i="34"/>
  <c r="V112" i="34" s="1"/>
  <c r="U107" i="34"/>
  <c r="V107" i="34" s="1"/>
  <c r="U108" i="34"/>
  <c r="V108" i="34" s="1"/>
  <c r="U109" i="34"/>
  <c r="V109" i="34" s="1"/>
  <c r="U110" i="34"/>
  <c r="V110" i="34" s="1"/>
  <c r="U106" i="34"/>
  <c r="V106" i="34" s="1"/>
  <c r="U103" i="34"/>
  <c r="V103" i="34" s="1"/>
  <c r="U104" i="34"/>
  <c r="V104" i="34" s="1"/>
  <c r="U98" i="34"/>
  <c r="V98" i="34" s="1"/>
  <c r="V97" i="34" s="1"/>
  <c r="U94" i="34"/>
  <c r="V94" i="34" s="1"/>
  <c r="U95" i="34"/>
  <c r="V95" i="34" s="1"/>
  <c r="U96" i="34"/>
  <c r="V96" i="34" s="1"/>
  <c r="U88" i="34"/>
  <c r="V88" i="34" s="1"/>
  <c r="U89" i="34"/>
  <c r="V89" i="34" s="1"/>
  <c r="U90" i="34"/>
  <c r="V90" i="34" s="1"/>
  <c r="U91" i="34"/>
  <c r="V91" i="34" s="1"/>
  <c r="U85" i="34"/>
  <c r="V85" i="34" s="1"/>
  <c r="U86" i="34"/>
  <c r="V86" i="34" s="1"/>
  <c r="U87" i="34"/>
  <c r="V87" i="34" s="1"/>
  <c r="U82" i="34"/>
  <c r="V82" i="34" s="1"/>
  <c r="U83" i="34"/>
  <c r="V83" i="34" s="1"/>
  <c r="U84" i="34"/>
  <c r="V84" i="34" s="1"/>
  <c r="U78" i="34"/>
  <c r="V78" i="34" s="1"/>
  <c r="U77" i="34"/>
  <c r="V77" i="34" s="1"/>
  <c r="U75" i="34"/>
  <c r="V75" i="34" s="1"/>
  <c r="V74" i="34" s="1"/>
  <c r="U73" i="34"/>
  <c r="V73" i="34" s="1"/>
  <c r="U66" i="34"/>
  <c r="V66" i="34" s="1"/>
  <c r="U67" i="34"/>
  <c r="V67" i="34" s="1"/>
  <c r="U68" i="34"/>
  <c r="V68" i="34" s="1"/>
  <c r="U69" i="34"/>
  <c r="V69" i="34" s="1"/>
  <c r="U61" i="34"/>
  <c r="V61" i="34" s="1"/>
  <c r="U62" i="34"/>
  <c r="V62" i="34" s="1"/>
  <c r="U63" i="34"/>
  <c r="V63" i="34" s="1"/>
  <c r="U60" i="34"/>
  <c r="V60" i="34" s="1"/>
  <c r="U59" i="34"/>
  <c r="V59" i="34" s="1"/>
  <c r="U54" i="34"/>
  <c r="V54" i="34" s="1"/>
  <c r="U55" i="34"/>
  <c r="V55" i="34" s="1"/>
  <c r="U52" i="34"/>
  <c r="V52" i="34" s="1"/>
  <c r="U53" i="34"/>
  <c r="V53" i="34" s="1"/>
  <c r="U47" i="34"/>
  <c r="V47" i="34" s="1"/>
  <c r="U48" i="34"/>
  <c r="V48" i="34" s="1"/>
  <c r="U42" i="34"/>
  <c r="V42" i="34" s="1"/>
  <c r="U43" i="34"/>
  <c r="V43" i="34" s="1"/>
  <c r="U44" i="34"/>
  <c r="V44" i="34" s="1"/>
  <c r="U39" i="34"/>
  <c r="V39" i="34" s="1"/>
  <c r="U40" i="34"/>
  <c r="V40" i="34" s="1"/>
  <c r="U41" i="34"/>
  <c r="V41" i="34" s="1"/>
  <c r="U38" i="34"/>
  <c r="V38" i="34" s="1"/>
  <c r="U35" i="34"/>
  <c r="V35" i="34" s="1"/>
  <c r="U36" i="34"/>
  <c r="V36" i="34" s="1"/>
  <c r="U28" i="34"/>
  <c r="V28" i="34" s="1"/>
  <c r="U29" i="34"/>
  <c r="V29" i="34" s="1"/>
  <c r="U30" i="34"/>
  <c r="V30" i="34" s="1"/>
  <c r="U31" i="34"/>
  <c r="V31" i="34" s="1"/>
  <c r="U25" i="34"/>
  <c r="V25" i="34" s="1"/>
  <c r="U22" i="34"/>
  <c r="V22" i="34" s="1"/>
  <c r="U20" i="34"/>
  <c r="V20" i="34" s="1"/>
  <c r="U21" i="34"/>
  <c r="V21" i="34" s="1"/>
  <c r="U17" i="34"/>
  <c r="V17" i="34" s="1"/>
  <c r="U18" i="34"/>
  <c r="V18" i="34" s="1"/>
  <c r="U19" i="34"/>
  <c r="V19" i="34" s="1"/>
  <c r="U15" i="34"/>
  <c r="V15" i="34" s="1"/>
  <c r="U16" i="34"/>
  <c r="V16" i="34" s="1"/>
  <c r="U12" i="34"/>
  <c r="V12" i="34" s="1"/>
  <c r="U13" i="34"/>
  <c r="V13" i="34" s="1"/>
  <c r="U14" i="34"/>
  <c r="V14" i="34" s="1"/>
  <c r="H292" i="34"/>
  <c r="I291" i="34"/>
  <c r="H291" i="34"/>
  <c r="I290" i="34"/>
  <c r="H290" i="34"/>
  <c r="I287" i="34"/>
  <c r="H288" i="34"/>
  <c r="H287" i="34" s="1"/>
  <c r="I285" i="34"/>
  <c r="I284" i="34" s="1"/>
  <c r="H285" i="34"/>
  <c r="H284" i="34" s="1"/>
  <c r="I283" i="34"/>
  <c r="I282" i="34" s="1"/>
  <c r="H283" i="34"/>
  <c r="H282" i="34" s="1"/>
  <c r="I281" i="34"/>
  <c r="H281" i="34"/>
  <c r="I280" i="34"/>
  <c r="H280" i="34"/>
  <c r="H277" i="34"/>
  <c r="I277" i="34"/>
  <c r="I276" i="34"/>
  <c r="H276" i="34"/>
  <c r="I275" i="34"/>
  <c r="H275" i="34"/>
  <c r="H274" i="34"/>
  <c r="I273" i="34"/>
  <c r="H273" i="34"/>
  <c r="I272" i="34"/>
  <c r="H272" i="34"/>
  <c r="I264" i="34"/>
  <c r="I265" i="34"/>
  <c r="H265" i="34"/>
  <c r="H264" i="34"/>
  <c r="I263" i="34"/>
  <c r="H263" i="34"/>
  <c r="I262" i="34"/>
  <c r="H262" i="34"/>
  <c r="I267" i="34"/>
  <c r="I266" i="34" s="1"/>
  <c r="H267" i="34"/>
  <c r="H266" i="34" s="1"/>
  <c r="I269" i="34"/>
  <c r="H269" i="34"/>
  <c r="H268" i="34" s="1"/>
  <c r="I259" i="34"/>
  <c r="H259" i="34"/>
  <c r="I258" i="34"/>
  <c r="H258" i="34"/>
  <c r="H253" i="34"/>
  <c r="I253" i="34"/>
  <c r="H254" i="34"/>
  <c r="H255" i="34"/>
  <c r="H256" i="34"/>
  <c r="I256" i="34"/>
  <c r="I252" i="34"/>
  <c r="H252" i="34"/>
  <c r="H249" i="34"/>
  <c r="I248" i="34"/>
  <c r="H248" i="34"/>
  <c r="I247" i="34"/>
  <c r="H247" i="34"/>
  <c r="I244" i="34"/>
  <c r="H244" i="34"/>
  <c r="I243" i="34"/>
  <c r="H243" i="34"/>
  <c r="I242" i="34"/>
  <c r="H242" i="34"/>
  <c r="I241" i="34"/>
  <c r="H241" i="34"/>
  <c r="I237" i="34"/>
  <c r="H237" i="34"/>
  <c r="I236" i="34"/>
  <c r="H236" i="34"/>
  <c r="I235" i="34"/>
  <c r="H235" i="34"/>
  <c r="H233" i="34"/>
  <c r="I232" i="34"/>
  <c r="H232" i="34"/>
  <c r="H231" i="34"/>
  <c r="I228" i="34"/>
  <c r="I227" i="34" s="1"/>
  <c r="H228" i="34"/>
  <c r="H227" i="34" s="1"/>
  <c r="H221" i="34"/>
  <c r="H222" i="34"/>
  <c r="H223" i="34"/>
  <c r="H224" i="34"/>
  <c r="H225" i="34"/>
  <c r="H226" i="34"/>
  <c r="I220" i="34"/>
  <c r="H220" i="34"/>
  <c r="H215" i="34"/>
  <c r="I215" i="34"/>
  <c r="H216" i="34"/>
  <c r="I216" i="34"/>
  <c r="H217" i="34"/>
  <c r="I217" i="34"/>
  <c r="H214" i="34"/>
  <c r="H206" i="34"/>
  <c r="I206" i="34"/>
  <c r="H207" i="34"/>
  <c r="I207" i="34"/>
  <c r="I200" i="34"/>
  <c r="H201" i="34"/>
  <c r="H200" i="34" s="1"/>
  <c r="H198" i="34"/>
  <c r="I198" i="34"/>
  <c r="H199" i="34"/>
  <c r="H193" i="34"/>
  <c r="I193" i="34"/>
  <c r="H194" i="34"/>
  <c r="I194" i="34"/>
  <c r="H195" i="34"/>
  <c r="H197" i="34"/>
  <c r="I197" i="34"/>
  <c r="H192" i="34"/>
  <c r="I192" i="34"/>
  <c r="I189" i="34"/>
  <c r="H189" i="34"/>
  <c r="H188" i="34"/>
  <c r="I187" i="34"/>
  <c r="H187" i="34"/>
  <c r="I186" i="34"/>
  <c r="H186" i="34"/>
  <c r="I185" i="34"/>
  <c r="H185" i="34"/>
  <c r="H184" i="34"/>
  <c r="H180" i="34"/>
  <c r="I180" i="34"/>
  <c r="H181" i="34"/>
  <c r="H182" i="34"/>
  <c r="I182" i="34"/>
  <c r="I179" i="34"/>
  <c r="H179" i="34"/>
  <c r="I177" i="34"/>
  <c r="I176" i="34" s="1"/>
  <c r="H177" i="34"/>
  <c r="H176" i="34" s="1"/>
  <c r="H175" i="34"/>
  <c r="I173" i="34"/>
  <c r="H173" i="34"/>
  <c r="I172" i="34"/>
  <c r="H172" i="34"/>
  <c r="I171" i="34"/>
  <c r="H171" i="34"/>
  <c r="I169" i="34"/>
  <c r="H169" i="34"/>
  <c r="I163" i="34"/>
  <c r="H163" i="34"/>
  <c r="I162" i="34"/>
  <c r="I161" i="34" s="1"/>
  <c r="H162" i="34"/>
  <c r="H161" i="34" s="1"/>
  <c r="I159" i="34"/>
  <c r="I158" i="34" s="1"/>
  <c r="H159" i="34"/>
  <c r="H158" i="34" s="1"/>
  <c r="I156" i="34"/>
  <c r="I155" i="34" s="1"/>
  <c r="H156" i="34"/>
  <c r="H155" i="34" s="1"/>
  <c r="I154" i="34"/>
  <c r="I153" i="34" s="1"/>
  <c r="H154" i="34"/>
  <c r="H153" i="34" s="1"/>
  <c r="I152" i="34"/>
  <c r="I151" i="34" s="1"/>
  <c r="H152" i="34"/>
  <c r="H151" i="34" s="1"/>
  <c r="I149" i="34"/>
  <c r="I148" i="34" s="1"/>
  <c r="I147" i="34" s="1"/>
  <c r="H149" i="34"/>
  <c r="H148" i="34" s="1"/>
  <c r="H147" i="34" s="1"/>
  <c r="I209" i="34"/>
  <c r="I208" i="34" s="1"/>
  <c r="I166" i="34"/>
  <c r="I165" i="34" s="1"/>
  <c r="H166" i="34"/>
  <c r="H165" i="34" s="1"/>
  <c r="H289" i="34" l="1"/>
  <c r="H286" i="34" s="1"/>
  <c r="H157" i="34"/>
  <c r="H230" i="34"/>
  <c r="H178" i="34"/>
  <c r="H213" i="34"/>
  <c r="H212" i="34" s="1"/>
  <c r="H150" i="34"/>
  <c r="H168" i="34"/>
  <c r="H191" i="34"/>
  <c r="H190" i="34" s="1"/>
  <c r="H203" i="34"/>
  <c r="H202" i="34" s="1"/>
  <c r="H219" i="34"/>
  <c r="H218" i="34" s="1"/>
  <c r="H246" i="34"/>
  <c r="H245" i="34" s="1"/>
  <c r="H183" i="34"/>
  <c r="H251" i="34"/>
  <c r="H261" i="34"/>
  <c r="H260" i="34" s="1"/>
  <c r="H271" i="34"/>
  <c r="H270" i="34" s="1"/>
  <c r="AF211" i="34"/>
  <c r="AB105" i="34"/>
  <c r="AD33" i="34"/>
  <c r="AD50" i="34"/>
  <c r="AD176" i="34"/>
  <c r="AD147" i="34"/>
  <c r="AD97" i="34"/>
  <c r="AD37" i="34"/>
  <c r="AD213" i="34"/>
  <c r="AD178" i="34"/>
  <c r="AD234" i="34"/>
  <c r="AD168" i="34"/>
  <c r="AB125" i="34"/>
  <c r="AD125" i="34"/>
  <c r="AD111" i="34"/>
  <c r="AD155" i="34"/>
  <c r="AD158" i="34"/>
  <c r="AD144" i="34"/>
  <c r="AD80" i="34"/>
  <c r="AD141" i="34"/>
  <c r="AD153" i="34"/>
  <c r="AD26" i="34"/>
  <c r="AD92" i="34"/>
  <c r="AD209" i="34"/>
  <c r="AD165" i="34"/>
  <c r="AD135" i="34"/>
  <c r="AD74" i="34"/>
  <c r="AD163" i="34"/>
  <c r="AD101" i="34"/>
  <c r="AD121" i="34"/>
  <c r="AD203" i="34"/>
  <c r="AD132" i="34"/>
  <c r="AD118" i="34"/>
  <c r="AD227" i="34"/>
  <c r="AD58" i="34"/>
  <c r="AD200" i="34"/>
  <c r="AD161" i="34"/>
  <c r="AD134" i="34"/>
  <c r="AD64" i="34"/>
  <c r="AD148" i="34"/>
  <c r="AD71" i="34"/>
  <c r="AD114" i="34"/>
  <c r="AD76" i="34"/>
  <c r="AH278" i="34"/>
  <c r="AH150" i="34"/>
  <c r="AB151" i="34"/>
  <c r="AD151" i="34"/>
  <c r="AF8" i="34"/>
  <c r="AI8" i="34"/>
  <c r="AH32" i="34"/>
  <c r="AH190" i="34"/>
  <c r="AJ190" i="34"/>
  <c r="AK190" i="34" s="1"/>
  <c r="AF146" i="34"/>
  <c r="I289" i="34"/>
  <c r="Y218" i="34"/>
  <c r="AB218" i="34" s="1"/>
  <c r="AG56" i="34"/>
  <c r="Y286" i="34"/>
  <c r="AK191" i="34"/>
  <c r="AK213" i="34"/>
  <c r="AH229" i="34"/>
  <c r="AK239" i="34"/>
  <c r="AH157" i="34"/>
  <c r="AE56" i="34"/>
  <c r="AG99" i="34"/>
  <c r="AE8" i="34"/>
  <c r="AF99" i="34"/>
  <c r="I219" i="34"/>
  <c r="I218" i="34" s="1"/>
  <c r="I213" i="34"/>
  <c r="I212" i="34" s="1"/>
  <c r="AK245" i="34"/>
  <c r="AH286" i="34"/>
  <c r="AH117" i="34"/>
  <c r="AE99" i="34"/>
  <c r="AK240" i="34"/>
  <c r="AJ250" i="34"/>
  <c r="AH167" i="34"/>
  <c r="AE146" i="34"/>
  <c r="AB135" i="34"/>
  <c r="AH260" i="34"/>
  <c r="AH218" i="34"/>
  <c r="AE211" i="34"/>
  <c r="AB219" i="34"/>
  <c r="AF56" i="34"/>
  <c r="Y183" i="34"/>
  <c r="AB185" i="34"/>
  <c r="Y261" i="34"/>
  <c r="AB262" i="34"/>
  <c r="Y157" i="34"/>
  <c r="AB157" i="34" s="1"/>
  <c r="AC146" i="34"/>
  <c r="Y251" i="34"/>
  <c r="AB252" i="34"/>
  <c r="Y79" i="34"/>
  <c r="AB79" i="34" s="1"/>
  <c r="Y140" i="34"/>
  <c r="AB140" i="34" s="1"/>
  <c r="Y212" i="34"/>
  <c r="AB212" i="34" s="1"/>
  <c r="Z50" i="34"/>
  <c r="Z49" i="34" s="1"/>
  <c r="AC56" i="34"/>
  <c r="AB148" i="34"/>
  <c r="AH57" i="34"/>
  <c r="Y271" i="34"/>
  <c r="AB272" i="34"/>
  <c r="Y49" i="34"/>
  <c r="AB49" i="34" s="1"/>
  <c r="Y100" i="34"/>
  <c r="AB100" i="34" s="1"/>
  <c r="AG211" i="34"/>
  <c r="AH250" i="34"/>
  <c r="AH140" i="34"/>
  <c r="Y230" i="34"/>
  <c r="AD230" i="34" s="1"/>
  <c r="AB231" i="34"/>
  <c r="Y70" i="34"/>
  <c r="AB70" i="34" s="1"/>
  <c r="Y208" i="34"/>
  <c r="AB208" i="34" s="1"/>
  <c r="AJ279" i="34"/>
  <c r="AK280" i="34"/>
  <c r="Y191" i="34"/>
  <c r="AD191" i="34" s="1"/>
  <c r="Y9" i="34"/>
  <c r="Y240" i="34"/>
  <c r="AD240" i="34" s="1"/>
  <c r="AB241" i="34"/>
  <c r="Y246" i="34"/>
  <c r="AD246" i="34" s="1"/>
  <c r="AB247" i="34"/>
  <c r="Y279" i="34"/>
  <c r="AB280" i="34"/>
  <c r="Y57" i="34"/>
  <c r="AB57" i="34" s="1"/>
  <c r="Y117" i="34"/>
  <c r="AB117" i="34" s="1"/>
  <c r="Y150" i="34"/>
  <c r="Y202" i="34"/>
  <c r="AB202" i="34" s="1"/>
  <c r="AG146" i="34"/>
  <c r="AH70" i="34"/>
  <c r="AH100" i="34"/>
  <c r="AG8" i="34"/>
  <c r="AH9" i="34"/>
  <c r="AH79" i="34"/>
  <c r="AA146" i="34"/>
  <c r="AC99" i="34"/>
  <c r="AA99" i="34"/>
  <c r="AA56" i="34"/>
  <c r="Z70" i="34"/>
  <c r="V261" i="34"/>
  <c r="V279" i="34"/>
  <c r="I257" i="34"/>
  <c r="I279" i="34"/>
  <c r="V289" i="34"/>
  <c r="H257" i="34"/>
  <c r="H279" i="34"/>
  <c r="H278" i="34" s="1"/>
  <c r="I271" i="34"/>
  <c r="V111" i="34"/>
  <c r="V158" i="34"/>
  <c r="I183" i="34"/>
  <c r="I203" i="34"/>
  <c r="H240" i="34"/>
  <c r="H239" i="34" s="1"/>
  <c r="V141" i="34"/>
  <c r="V234" i="34"/>
  <c r="Y45" i="34"/>
  <c r="AB45" i="34" s="1"/>
  <c r="V219" i="34"/>
  <c r="V218" i="34" s="1"/>
  <c r="H234" i="34"/>
  <c r="I246" i="34"/>
  <c r="V125" i="34"/>
  <c r="V178" i="34"/>
  <c r="V230" i="34"/>
  <c r="V271" i="34"/>
  <c r="V270" i="34" s="1"/>
  <c r="V76" i="34"/>
  <c r="V213" i="34"/>
  <c r="V212" i="34" s="1"/>
  <c r="V246" i="34"/>
  <c r="V245" i="34" s="1"/>
  <c r="V257" i="34"/>
  <c r="I168" i="34"/>
  <c r="I178" i="34"/>
  <c r="I251" i="34"/>
  <c r="V105" i="34"/>
  <c r="V114" i="34"/>
  <c r="V121" i="34"/>
  <c r="V183" i="34"/>
  <c r="V203" i="34"/>
  <c r="V202" i="34" s="1"/>
  <c r="V251" i="34"/>
  <c r="V168" i="34"/>
  <c r="V135" i="34"/>
  <c r="V134" i="34" s="1"/>
  <c r="V191" i="34"/>
  <c r="I191" i="34"/>
  <c r="I234" i="34"/>
  <c r="I261" i="34"/>
  <c r="I260" i="34" s="1"/>
  <c r="I230" i="34"/>
  <c r="I240" i="34"/>
  <c r="I145" i="34"/>
  <c r="I144" i="34" s="1"/>
  <c r="H145" i="34"/>
  <c r="H144" i="34" s="1"/>
  <c r="H143" i="34"/>
  <c r="I143" i="34"/>
  <c r="H142" i="34"/>
  <c r="H137" i="34"/>
  <c r="I137" i="34"/>
  <c r="H138" i="34"/>
  <c r="I138" i="34"/>
  <c r="H139" i="34"/>
  <c r="I139" i="34"/>
  <c r="I136" i="34"/>
  <c r="H136" i="34"/>
  <c r="I133" i="34"/>
  <c r="I132" i="34" s="1"/>
  <c r="H133" i="34"/>
  <c r="H132" i="34" s="1"/>
  <c r="H127" i="34"/>
  <c r="I127" i="34"/>
  <c r="H128" i="34"/>
  <c r="I128" i="34"/>
  <c r="H129" i="34"/>
  <c r="I129" i="34"/>
  <c r="H130" i="34"/>
  <c r="H131" i="34"/>
  <c r="I131" i="34"/>
  <c r="I126" i="34"/>
  <c r="H126" i="34"/>
  <c r="I124" i="34"/>
  <c r="H124" i="34"/>
  <c r="I123" i="34"/>
  <c r="H123" i="34"/>
  <c r="I122" i="34"/>
  <c r="H122" i="34"/>
  <c r="H120" i="34"/>
  <c r="I120" i="34"/>
  <c r="I119" i="34"/>
  <c r="H119" i="34"/>
  <c r="H116" i="34"/>
  <c r="I116" i="34"/>
  <c r="I115" i="34"/>
  <c r="H115" i="34"/>
  <c r="H113" i="34"/>
  <c r="I113" i="34"/>
  <c r="I112" i="34"/>
  <c r="H112" i="34"/>
  <c r="H107" i="34"/>
  <c r="I107" i="34"/>
  <c r="H108" i="34"/>
  <c r="I108" i="34"/>
  <c r="H109" i="34"/>
  <c r="I106" i="34"/>
  <c r="H106" i="34"/>
  <c r="I104" i="34"/>
  <c r="H104" i="34"/>
  <c r="I103" i="34"/>
  <c r="H103" i="34"/>
  <c r="H102" i="34"/>
  <c r="I98" i="34"/>
  <c r="H98" i="34"/>
  <c r="H97" i="34" s="1"/>
  <c r="H94" i="34"/>
  <c r="I94" i="34"/>
  <c r="H95" i="34"/>
  <c r="H96" i="34"/>
  <c r="I96" i="34"/>
  <c r="H93" i="34"/>
  <c r="I91" i="34"/>
  <c r="I87" i="34"/>
  <c r="H89" i="34"/>
  <c r="H90" i="34"/>
  <c r="H91" i="34"/>
  <c r="H87" i="34"/>
  <c r="H88" i="34"/>
  <c r="H83" i="34"/>
  <c r="H81" i="34"/>
  <c r="I78" i="34"/>
  <c r="I76" i="34" s="1"/>
  <c r="H78" i="34"/>
  <c r="H76" i="34" s="1"/>
  <c r="I72" i="34"/>
  <c r="I71" i="34" s="1"/>
  <c r="H72" i="34"/>
  <c r="H71" i="34" s="1"/>
  <c r="I67" i="34"/>
  <c r="I66" i="34"/>
  <c r="I62" i="34"/>
  <c r="I60" i="34"/>
  <c r="I55" i="34"/>
  <c r="I54" i="34"/>
  <c r="I53" i="34"/>
  <c r="I22" i="34"/>
  <c r="I13" i="34"/>
  <c r="I14" i="34"/>
  <c r="I15" i="34"/>
  <c r="H66" i="34"/>
  <c r="H67" i="34"/>
  <c r="H60" i="34"/>
  <c r="H62" i="34"/>
  <c r="H55" i="34"/>
  <c r="H54" i="34"/>
  <c r="H53" i="34"/>
  <c r="H48" i="34"/>
  <c r="H47" i="34"/>
  <c r="H46" i="34"/>
  <c r="I39" i="34"/>
  <c r="I40" i="34"/>
  <c r="I42" i="34"/>
  <c r="I44" i="34"/>
  <c r="H41" i="34"/>
  <c r="H42" i="34"/>
  <c r="H44" i="34"/>
  <c r="H39" i="34"/>
  <c r="H40" i="34"/>
  <c r="H38" i="34"/>
  <c r="I35" i="34"/>
  <c r="I34" i="34"/>
  <c r="H35" i="34"/>
  <c r="H36" i="34"/>
  <c r="H34" i="34"/>
  <c r="I28" i="34"/>
  <c r="I29" i="34"/>
  <c r="I30" i="34"/>
  <c r="I31" i="34"/>
  <c r="I27" i="34"/>
  <c r="H28" i="34"/>
  <c r="H29" i="34"/>
  <c r="H30" i="34"/>
  <c r="H31" i="34"/>
  <c r="H27" i="34"/>
  <c r="H25" i="34"/>
  <c r="H24" i="34"/>
  <c r="H229" i="34" l="1"/>
  <c r="H111" i="34"/>
  <c r="H105" i="34"/>
  <c r="H125" i="34"/>
  <c r="H33" i="34"/>
  <c r="H70" i="34"/>
  <c r="H45" i="34"/>
  <c r="H167" i="34"/>
  <c r="H146" i="34" s="1"/>
  <c r="H101" i="34"/>
  <c r="H141" i="34"/>
  <c r="H140" i="34" s="1"/>
  <c r="H118" i="34"/>
  <c r="H37" i="34"/>
  <c r="H50" i="34"/>
  <c r="H49" i="34" s="1"/>
  <c r="H64" i="34"/>
  <c r="H80" i="34"/>
  <c r="H58" i="34"/>
  <c r="H92" i="34"/>
  <c r="I10" i="34"/>
  <c r="AD218" i="34"/>
  <c r="AD49" i="34"/>
  <c r="AD208" i="34"/>
  <c r="AD140" i="34"/>
  <c r="AD117" i="34"/>
  <c r="AE294" i="34"/>
  <c r="AD100" i="34"/>
  <c r="AB183" i="34"/>
  <c r="AD183" i="34"/>
  <c r="Y270" i="34"/>
  <c r="AD271" i="34"/>
  <c r="Y32" i="34"/>
  <c r="Y8" i="34" s="1"/>
  <c r="AD45" i="34"/>
  <c r="Y278" i="34"/>
  <c r="AD279" i="34"/>
  <c r="Y250" i="34"/>
  <c r="AD251" i="34"/>
  <c r="Y260" i="34"/>
  <c r="AD261" i="34"/>
  <c r="AD57" i="34"/>
  <c r="AD157" i="34"/>
  <c r="AD79" i="34"/>
  <c r="AD212" i="34"/>
  <c r="AD202" i="34"/>
  <c r="AD70" i="34"/>
  <c r="AH146" i="34"/>
  <c r="AB150" i="34"/>
  <c r="AD150" i="34"/>
  <c r="AH211" i="34"/>
  <c r="AH99" i="34"/>
  <c r="Y56" i="34"/>
  <c r="AB56" i="34" s="1"/>
  <c r="AF294" i="34"/>
  <c r="H250" i="34"/>
  <c r="AH56" i="34"/>
  <c r="AG294" i="34"/>
  <c r="Y99" i="34"/>
  <c r="AB99" i="34" s="1"/>
  <c r="AB246" i="34"/>
  <c r="Y245" i="34"/>
  <c r="AB191" i="34"/>
  <c r="Y190" i="34"/>
  <c r="Y239" i="34"/>
  <c r="AB240" i="34"/>
  <c r="AB230" i="34"/>
  <c r="Y229" i="34"/>
  <c r="Y167" i="34"/>
  <c r="I58" i="34"/>
  <c r="V229" i="34"/>
  <c r="I121" i="34"/>
  <c r="H23" i="34"/>
  <c r="I64" i="34"/>
  <c r="H135" i="34"/>
  <c r="H134" i="34" s="1"/>
  <c r="I101" i="34"/>
  <c r="I111" i="34"/>
  <c r="I26" i="34"/>
  <c r="I33" i="34"/>
  <c r="I114" i="34"/>
  <c r="I118" i="34"/>
  <c r="I135" i="34"/>
  <c r="I80" i="34"/>
  <c r="H121" i="34"/>
  <c r="H114" i="34"/>
  <c r="I125" i="34"/>
  <c r="I141" i="34"/>
  <c r="I105" i="34"/>
  <c r="I92" i="34"/>
  <c r="I50" i="34"/>
  <c r="I49" i="34" s="1"/>
  <c r="H26" i="34"/>
  <c r="H211" i="34" l="1"/>
  <c r="H79" i="34"/>
  <c r="H56" i="34" s="1"/>
  <c r="H57" i="34"/>
  <c r="AB167" i="34"/>
  <c r="AD167" i="34"/>
  <c r="AB239" i="34"/>
  <c r="AD239" i="34"/>
  <c r="AB270" i="34"/>
  <c r="AD270" i="34"/>
  <c r="AB229" i="34"/>
  <c r="AD229" i="34"/>
  <c r="AB190" i="34"/>
  <c r="AD190" i="34"/>
  <c r="AD99" i="34"/>
  <c r="AB32" i="34"/>
  <c r="AD32" i="34"/>
  <c r="AB245" i="34"/>
  <c r="AD245" i="34"/>
  <c r="AD56" i="34"/>
  <c r="AH294" i="34"/>
  <c r="H32" i="34"/>
  <c r="I57" i="34"/>
  <c r="Y211" i="34"/>
  <c r="Y146" i="34"/>
  <c r="H117" i="34"/>
  <c r="H100" i="34"/>
  <c r="Y294" i="34" l="1"/>
  <c r="AB146" i="34"/>
  <c r="AD146" i="34"/>
  <c r="U244" i="34"/>
  <c r="V244" i="34" s="1"/>
  <c r="U243" i="34"/>
  <c r="V243" i="34" s="1"/>
  <c r="U242" i="34"/>
  <c r="V242" i="34" s="1"/>
  <c r="U241" i="34"/>
  <c r="V241" i="34" s="1"/>
  <c r="U240" i="34"/>
  <c r="AJ233" i="34"/>
  <c r="AK233" i="34" s="1"/>
  <c r="AJ232" i="34"/>
  <c r="AK232" i="34" s="1"/>
  <c r="AJ231" i="34"/>
  <c r="AI218" i="34"/>
  <c r="AJ226" i="34"/>
  <c r="AK226" i="34" s="1"/>
  <c r="AJ225" i="34"/>
  <c r="AK225" i="34" s="1"/>
  <c r="AJ224" i="34"/>
  <c r="AK224" i="34" s="1"/>
  <c r="AJ223" i="34"/>
  <c r="AK223" i="34" s="1"/>
  <c r="AJ222" i="34"/>
  <c r="AK222" i="34" s="1"/>
  <c r="AJ221" i="34"/>
  <c r="AK221" i="34" s="1"/>
  <c r="AJ220" i="34"/>
  <c r="U132" i="34"/>
  <c r="U125" i="34"/>
  <c r="AJ122" i="34"/>
  <c r="U121" i="34"/>
  <c r="AJ119" i="34"/>
  <c r="U119" i="34"/>
  <c r="V119" i="34" s="1"/>
  <c r="V118" i="34" s="1"/>
  <c r="AJ112" i="34"/>
  <c r="AJ106" i="34"/>
  <c r="AJ102" i="34"/>
  <c r="U102" i="34"/>
  <c r="V102" i="34" s="1"/>
  <c r="V101" i="34" s="1"/>
  <c r="R99" i="34"/>
  <c r="Q99" i="34"/>
  <c r="P99" i="34"/>
  <c r="AJ98" i="34"/>
  <c r="AK98" i="34" s="1"/>
  <c r="AI97" i="34"/>
  <c r="Z97" i="34"/>
  <c r="U97" i="34"/>
  <c r="AJ96" i="34"/>
  <c r="AK96" i="34" s="1"/>
  <c r="AJ95" i="34"/>
  <c r="AK95" i="34" s="1"/>
  <c r="AJ94" i="34"/>
  <c r="AK94" i="34" s="1"/>
  <c r="AJ93" i="34"/>
  <c r="AK93" i="34" s="1"/>
  <c r="U93" i="34"/>
  <c r="V93" i="34" s="1"/>
  <c r="V92" i="34" s="1"/>
  <c r="AI92" i="34"/>
  <c r="Z92" i="34"/>
  <c r="Z79" i="34" s="1"/>
  <c r="AJ81" i="34"/>
  <c r="U81" i="34"/>
  <c r="V81" i="34" s="1"/>
  <c r="V80" i="34" s="1"/>
  <c r="AJ78" i="34"/>
  <c r="AK78" i="34" s="1"/>
  <c r="AJ77" i="34"/>
  <c r="AJ75" i="34"/>
  <c r="AI74" i="34"/>
  <c r="I74" i="34"/>
  <c r="I70" i="34" s="1"/>
  <c r="AJ73" i="34"/>
  <c r="AK73" i="34" s="1"/>
  <c r="AJ72" i="34"/>
  <c r="U72" i="34"/>
  <c r="V72" i="34" s="1"/>
  <c r="V71" i="34" s="1"/>
  <c r="V70" i="34" s="1"/>
  <c r="AJ69" i="34"/>
  <c r="AK69" i="34" s="1"/>
  <c r="AJ68" i="34"/>
  <c r="AK68" i="34" s="1"/>
  <c r="AJ67" i="34"/>
  <c r="AK67" i="34" s="1"/>
  <c r="AJ66" i="34"/>
  <c r="AK66" i="34" s="1"/>
  <c r="AJ65" i="34"/>
  <c r="U65" i="34"/>
  <c r="V65" i="34" s="1"/>
  <c r="V64" i="34" s="1"/>
  <c r="Z57" i="34"/>
  <c r="AJ59" i="34"/>
  <c r="AJ51" i="34"/>
  <c r="U51" i="34"/>
  <c r="V51" i="34" s="1"/>
  <c r="V50" i="34" s="1"/>
  <c r="V49" i="34" s="1"/>
  <c r="AJ48" i="34"/>
  <c r="AK48" i="34" s="1"/>
  <c r="I48" i="34"/>
  <c r="AJ47" i="34"/>
  <c r="AK47" i="34" s="1"/>
  <c r="I47" i="34"/>
  <c r="AJ46" i="34"/>
  <c r="U46" i="34"/>
  <c r="V46" i="34" s="1"/>
  <c r="V45" i="34" s="1"/>
  <c r="AJ38" i="34"/>
  <c r="AK38" i="34" s="1"/>
  <c r="I38" i="34"/>
  <c r="I37" i="34" s="1"/>
  <c r="AJ36" i="34"/>
  <c r="AK36" i="34" s="1"/>
  <c r="AJ35" i="34"/>
  <c r="AK35" i="34" s="1"/>
  <c r="AJ34" i="34"/>
  <c r="U34" i="34"/>
  <c r="V34" i="34" s="1"/>
  <c r="V33" i="34" s="1"/>
  <c r="Z33" i="34"/>
  <c r="Z32" i="34" s="1"/>
  <c r="AJ31" i="34"/>
  <c r="AK31" i="34" s="1"/>
  <c r="AJ30" i="34"/>
  <c r="AK30" i="34" s="1"/>
  <c r="AJ29" i="34"/>
  <c r="AK29" i="34" s="1"/>
  <c r="AJ28" i="34"/>
  <c r="AK28" i="34" s="1"/>
  <c r="AJ27" i="34"/>
  <c r="U27" i="34"/>
  <c r="V27" i="34" s="1"/>
  <c r="AJ25" i="34"/>
  <c r="AK25" i="34" s="1"/>
  <c r="I25" i="34"/>
  <c r="AJ24" i="34"/>
  <c r="AK24" i="34" s="1"/>
  <c r="U24" i="34"/>
  <c r="V24" i="34" s="1"/>
  <c r="V23" i="34" s="1"/>
  <c r="I24" i="34"/>
  <c r="AC23" i="34"/>
  <c r="AD23" i="34" s="1"/>
  <c r="Z23" i="34"/>
  <c r="H22" i="34"/>
  <c r="H21" i="34"/>
  <c r="H19" i="34"/>
  <c r="H18" i="34"/>
  <c r="H15" i="34"/>
  <c r="H14" i="34"/>
  <c r="H13" i="34"/>
  <c r="H12" i="34"/>
  <c r="AJ11" i="34"/>
  <c r="U11" i="34"/>
  <c r="V11" i="34" s="1"/>
  <c r="V10" i="34" s="1"/>
  <c r="AH8" i="34"/>
  <c r="B4" i="34"/>
  <c r="A2" i="34"/>
  <c r="H10" i="34" l="1"/>
  <c r="H9" i="34" s="1"/>
  <c r="H8" i="34" s="1"/>
  <c r="AI79" i="34"/>
  <c r="V240" i="34"/>
  <c r="V239" i="34" s="1"/>
  <c r="AK27" i="34"/>
  <c r="AJ26" i="34"/>
  <c r="AK26" i="34" s="1"/>
  <c r="AK77" i="34"/>
  <c r="AJ76" i="34"/>
  <c r="AK106" i="34"/>
  <c r="AJ105" i="34"/>
  <c r="AK105" i="34" s="1"/>
  <c r="AJ33" i="34"/>
  <c r="AK33" i="34" s="1"/>
  <c r="AK34" i="34"/>
  <c r="AJ50" i="34"/>
  <c r="AK51" i="34"/>
  <c r="AK65" i="34"/>
  <c r="AJ64" i="34"/>
  <c r="AK64" i="34" s="1"/>
  <c r="AK112" i="34"/>
  <c r="AJ111" i="34"/>
  <c r="AK111" i="34" s="1"/>
  <c r="AK122" i="34"/>
  <c r="AJ121" i="34"/>
  <c r="AK121" i="34" s="1"/>
  <c r="AJ219" i="34"/>
  <c r="AK220" i="34"/>
  <c r="AJ230" i="34"/>
  <c r="AK231" i="34"/>
  <c r="AK11" i="34"/>
  <c r="AJ10" i="34"/>
  <c r="AK10" i="34" s="1"/>
  <c r="AK59" i="34"/>
  <c r="V58" i="34" s="1"/>
  <c r="V57" i="34" s="1"/>
  <c r="AJ58" i="34"/>
  <c r="AC9" i="34"/>
  <c r="AD9" i="34" s="1"/>
  <c r="AJ45" i="34"/>
  <c r="AK45" i="34" s="1"/>
  <c r="AK46" i="34"/>
  <c r="AJ71" i="34"/>
  <c r="AK71" i="34" s="1"/>
  <c r="AK72" i="34"/>
  <c r="AJ74" i="34"/>
  <c r="AK74" i="34" s="1"/>
  <c r="AK75" i="34"/>
  <c r="AK81" i="34"/>
  <c r="AJ80" i="34"/>
  <c r="AK80" i="34" s="1"/>
  <c r="AK102" i="34"/>
  <c r="AJ101" i="34"/>
  <c r="AK119" i="34"/>
  <c r="AJ118" i="34"/>
  <c r="Z56" i="34"/>
  <c r="V79" i="34"/>
  <c r="I45" i="34"/>
  <c r="I32" i="34" s="1"/>
  <c r="AJ23" i="34"/>
  <c r="I23" i="34"/>
  <c r="I9" i="34" s="1"/>
  <c r="AJ97" i="34"/>
  <c r="AK97" i="34" s="1"/>
  <c r="AJ92" i="34"/>
  <c r="I229" i="34"/>
  <c r="H99" i="34"/>
  <c r="V37" i="34"/>
  <c r="I239" i="34"/>
  <c r="AJ37" i="34"/>
  <c r="Z9" i="34"/>
  <c r="I97" i="34"/>
  <c r="I79" i="34" s="1"/>
  <c r="I56" i="34" s="1"/>
  <c r="Z167" i="34"/>
  <c r="AB10" i="34"/>
  <c r="AK246" i="34"/>
  <c r="AJ100" i="34" l="1"/>
  <c r="AK100" i="34" s="1"/>
  <c r="AK101" i="34"/>
  <c r="AJ57" i="34"/>
  <c r="AK57" i="34" s="1"/>
  <c r="AK58" i="34"/>
  <c r="AJ70" i="34"/>
  <c r="AK230" i="34"/>
  <c r="AJ229" i="34"/>
  <c r="AK229" i="34" s="1"/>
  <c r="AK118" i="34"/>
  <c r="AJ117" i="34"/>
  <c r="AK117" i="34" s="1"/>
  <c r="AC8" i="34"/>
  <c r="AJ218" i="34"/>
  <c r="AK219" i="34"/>
  <c r="AJ49" i="34"/>
  <c r="AK49" i="34" s="1"/>
  <c r="AK50" i="34"/>
  <c r="AK227" i="34"/>
  <c r="AI157" i="34"/>
  <c r="AI167" i="34"/>
  <c r="AK92" i="34"/>
  <c r="AJ79" i="34"/>
  <c r="AK23" i="34"/>
  <c r="AJ9" i="34"/>
  <c r="AK9" i="34" s="1"/>
  <c r="AK37" i="34"/>
  <c r="AJ32" i="34"/>
  <c r="H294" i="34"/>
  <c r="AD8" i="34" l="1"/>
  <c r="AI146" i="34"/>
  <c r="AK218" i="34"/>
  <c r="AK141" i="34"/>
  <c r="AK135" i="34"/>
  <c r="AK79" i="34"/>
  <c r="AJ56" i="34"/>
  <c r="AJ8" i="34"/>
  <c r="AK32" i="34"/>
  <c r="Z146" i="34"/>
  <c r="AK134" i="34" l="1"/>
  <c r="AI99" i="34"/>
  <c r="AK76" i="34"/>
  <c r="AI70" i="34"/>
  <c r="Z100" i="34"/>
  <c r="Z117" i="34"/>
  <c r="AK203" i="34"/>
  <c r="AI56" i="34" l="1"/>
  <c r="AK70" i="34"/>
  <c r="Z99" i="34"/>
  <c r="AK56" i="34" l="1"/>
  <c r="Z8" i="34"/>
  <c r="AK183" i="34" l="1"/>
  <c r="AK178" i="34" l="1"/>
  <c r="AK176" i="34" l="1"/>
  <c r="AJ167" i="34"/>
  <c r="AK167" i="34" s="1"/>
  <c r="AK163" i="34" l="1"/>
  <c r="AK161" i="34" l="1"/>
  <c r="AJ157" i="34"/>
  <c r="AK157" i="34" s="1"/>
  <c r="AK151" i="34" l="1"/>
  <c r="AK150" i="34" l="1"/>
  <c r="AJ146" i="34"/>
  <c r="AK146" i="34" s="1"/>
  <c r="AJ140" i="34"/>
  <c r="AK144" i="34"/>
  <c r="M99" i="34"/>
  <c r="AJ99" i="34" l="1"/>
  <c r="AK99" i="34" s="1"/>
  <c r="AK140" i="34"/>
  <c r="L99" i="34"/>
  <c r="O99" i="34"/>
  <c r="K99" i="34"/>
  <c r="N99" i="34"/>
  <c r="AA8" i="34" l="1"/>
  <c r="AB8" i="34" l="1"/>
  <c r="AB9" i="34"/>
  <c r="AK8" i="34" l="1"/>
  <c r="AB251" i="34" l="1"/>
  <c r="AK251" i="34"/>
  <c r="I8" i="34" l="1"/>
  <c r="I100" i="34"/>
  <c r="I117" i="34"/>
  <c r="I134" i="34"/>
  <c r="I140" i="34"/>
  <c r="I150" i="34"/>
  <c r="I157" i="34"/>
  <c r="I167" i="34"/>
  <c r="I190" i="34"/>
  <c r="I202" i="34"/>
  <c r="I245" i="34"/>
  <c r="I250" i="34"/>
  <c r="I270" i="34"/>
  <c r="I278" i="34"/>
  <c r="V32" i="34"/>
  <c r="V26" i="34" s="1"/>
  <c r="V9" i="34" s="1"/>
  <c r="V8" i="34" s="1"/>
  <c r="V56" i="34"/>
  <c r="V100" i="34"/>
  <c r="V117" i="34"/>
  <c r="V140" i="34"/>
  <c r="V150" i="34"/>
  <c r="V157" i="34"/>
  <c r="V167" i="34"/>
  <c r="V190" i="34"/>
  <c r="V250" i="34"/>
  <c r="V260" i="34"/>
  <c r="V278" i="34"/>
  <c r="V286" i="34"/>
  <c r="I99" i="34" l="1"/>
  <c r="V211" i="34"/>
  <c r="V99" i="34"/>
  <c r="V146" i="34"/>
  <c r="I146" i="34"/>
  <c r="V294" i="34" l="1"/>
  <c r="Z250" i="34"/>
  <c r="Z278" i="34"/>
  <c r="Z286" i="34"/>
  <c r="AB257" i="34"/>
  <c r="AA250" i="34"/>
  <c r="AB250" i="34" s="1"/>
  <c r="Z211" i="34" l="1"/>
  <c r="Z294" i="34" s="1"/>
  <c r="AB261" i="34"/>
  <c r="AC250" i="34"/>
  <c r="AD250" i="34" s="1"/>
  <c r="AB266" i="34" l="1"/>
  <c r="AB268" i="34"/>
  <c r="AA260" i="34"/>
  <c r="AB260" i="34" s="1"/>
  <c r="AB279" i="34" l="1"/>
  <c r="AB271" i="34" l="1"/>
  <c r="AC260" i="34"/>
  <c r="AD260" i="34" s="1"/>
  <c r="AB282" i="34" l="1"/>
  <c r="AB284" i="34"/>
  <c r="AA278" i="34"/>
  <c r="AB278" i="34" s="1"/>
  <c r="AC278" i="34" l="1"/>
  <c r="AD278" i="34" s="1"/>
  <c r="AB289" i="34" l="1"/>
  <c r="AA286" i="34"/>
  <c r="AB286" i="34" s="1"/>
  <c r="AA211" i="34" l="1"/>
  <c r="AB211" i="34" l="1"/>
  <c r="AA294" i="34"/>
  <c r="AB294" i="34" s="1"/>
  <c r="AC286" i="34"/>
  <c r="AD286" i="34" s="1"/>
  <c r="AC211" i="34" l="1"/>
  <c r="AI250" i="34"/>
  <c r="AK257" i="34"/>
  <c r="AD211" i="34" l="1"/>
  <c r="AC294" i="34"/>
  <c r="AD294" i="34" s="1"/>
  <c r="AK250" i="34"/>
  <c r="AK261" i="34" l="1"/>
  <c r="AK266" i="34"/>
  <c r="AI260" i="34"/>
  <c r="AK271" i="34"/>
  <c r="AK279" i="34"/>
  <c r="AK282" i="34"/>
  <c r="AI278" i="34"/>
  <c r="AK284" i="34"/>
  <c r="AJ278" i="34"/>
  <c r="AK287" i="34"/>
  <c r="AI286" i="34"/>
  <c r="AK289" i="34"/>
  <c r="AJ286" i="34"/>
  <c r="AI211" i="34" l="1"/>
  <c r="AI294" i="34" s="1"/>
  <c r="AK278" i="34"/>
  <c r="AK286" i="34"/>
  <c r="AK268" i="34"/>
  <c r="AJ260" i="34"/>
  <c r="AJ211" i="34" s="1"/>
  <c r="AK211" i="34" l="1"/>
  <c r="AK260" i="34"/>
  <c r="AJ294" i="34"/>
  <c r="AK294" i="34" s="1"/>
  <c r="I286" i="34"/>
  <c r="I211" i="34" l="1"/>
  <c r="I294" i="34" s="1"/>
  <c r="R30" i="53" l="1"/>
  <c r="R29" i="53" s="1"/>
  <c r="R28" i="53" l="1"/>
  <c r="S29" i="53"/>
  <c r="S30" i="53"/>
  <c r="S28" i="53" l="1"/>
  <c r="R27" i="53"/>
  <c r="S27" i="53" l="1"/>
  <c r="R26" i="53"/>
  <c r="S26" i="53" l="1"/>
  <c r="R25" i="53"/>
  <c r="S25" i="53" l="1"/>
  <c r="R9" i="53"/>
  <c r="S9" i="53" l="1"/>
  <c r="R8" i="53"/>
  <c r="S8" i="53" l="1"/>
  <c r="R7" i="53"/>
  <c r="CU163" i="54" s="1"/>
  <c r="CU164" i="54" s="1"/>
  <c r="B163" i="54" l="1"/>
  <c r="B164" i="54" s="1"/>
  <c r="AC47" i="37"/>
  <c r="S7" i="53"/>
  <c r="R535" i="53"/>
  <c r="X315" i="53"/>
  <c r="Y314" i="53"/>
  <c r="Y233" i="53" s="1"/>
  <c r="Y8" i="53" s="1"/>
  <c r="X314" i="53" l="1"/>
  <c r="X233" i="53" s="1"/>
  <c r="AB315" i="53"/>
  <c r="Y7" i="53"/>
  <c r="Z314" i="53"/>
  <c r="AA314" i="53" s="1"/>
  <c r="AB314" i="53" s="1"/>
  <c r="X8" i="53" l="1"/>
  <c r="Z233" i="53"/>
  <c r="X7" i="53" l="1"/>
  <c r="AA233" i="53"/>
  <c r="AB233" i="53" s="1"/>
  <c r="Z8" i="53"/>
  <c r="Z7" i="53" l="1"/>
  <c r="AA7" i="53" s="1"/>
  <c r="AB7" i="53" s="1"/>
  <c r="AA8" i="53"/>
  <c r="AB8" i="5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tc={B5E11FDD-249A-46D6-9EB8-032219DE3320}</author>
    <author>Usuario</author>
    <author/>
    <author>alirio rodriguez isidro</author>
  </authors>
  <commentList>
    <comment ref="J6" authorId="0" shapeId="0" xr:uid="{B5E11FDD-249A-46D6-9EB8-032219DE332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El diligenciamiento de la información correspondiente a la relación de evidencias que soportan la ejecución de cada una de las actividades, ubicada en las columnas K a la R del Anexo 1, es opcional para el reporte de la vigencia 2021.</t>
        </r>
      </text>
    </comment>
    <comment ref="K6" authorId="1" shapeId="0" xr:uid="{C78F0284-66B8-4D06-92E1-55A3485771EE}">
      <text>
        <r>
          <rPr>
            <b/>
            <sz val="9"/>
            <color indexed="81"/>
            <rFont val="Tahoma"/>
            <family val="2"/>
          </rPr>
          <t>Usuario:</t>
        </r>
        <r>
          <rPr>
            <sz val="9"/>
            <color indexed="81"/>
            <rFont val="Tahoma"/>
            <family val="2"/>
          </rPr>
          <t xml:space="preserve">
Fecha en la cual se hace el registro de la evidencia</t>
        </r>
      </text>
    </comment>
    <comment ref="L6" authorId="1" shapeId="0" xr:uid="{EE2F96F8-9C44-4292-92F6-BD4AB583E6C1}">
      <text>
        <r>
          <rPr>
            <b/>
            <sz val="9"/>
            <color indexed="81"/>
            <rFont val="Tahoma"/>
            <family val="2"/>
          </rPr>
          <t>Usuario:</t>
        </r>
        <r>
          <rPr>
            <sz val="9"/>
            <color indexed="81"/>
            <rFont val="Tahoma"/>
            <family val="2"/>
          </rPr>
          <t xml:space="preserve">
Seleccionar si es contrato o funcionamiento </t>
        </r>
      </text>
    </comment>
    <comment ref="M6" authorId="1" shapeId="0" xr:uid="{95AA5F7F-FF44-4DF2-BA89-FE9FC1619E1C}">
      <text>
        <r>
          <rPr>
            <b/>
            <sz val="9"/>
            <color indexed="81"/>
            <rFont val="Tahoma"/>
            <family val="2"/>
          </rPr>
          <t>Usuario:</t>
        </r>
        <r>
          <rPr>
            <sz val="9"/>
            <color indexed="81"/>
            <rFont val="Tahoma"/>
            <family val="2"/>
          </rPr>
          <t xml:space="preserve">
Si en tipo de evidencia se selecciona funcionamiento, se debe  escribir como se realizó la actividad</t>
        </r>
      </text>
    </comment>
    <comment ref="N6" authorId="1" shapeId="0" xr:uid="{115BC6F7-6DA6-424D-ADF9-36AA49803AD7}">
      <text>
        <r>
          <rPr>
            <b/>
            <sz val="9"/>
            <color indexed="81"/>
            <rFont val="Tahoma"/>
            <family val="2"/>
          </rPr>
          <t>Usuario:</t>
        </r>
        <r>
          <rPr>
            <sz val="9"/>
            <color indexed="81"/>
            <rFont val="Tahoma"/>
            <family val="2"/>
          </rPr>
          <t xml:space="preserve">
Solo si en tipo de evidencia  selecciona la opción contrato, debe indicar el estado en que se encuentra de acuerdo a la lista desplegable. </t>
        </r>
      </text>
    </comment>
    <comment ref="O6" authorId="1" shapeId="0" xr:uid="{291C290C-1EDC-4F3F-BAEB-E2F38F8925F1}">
      <text>
        <r>
          <rPr>
            <b/>
            <sz val="9"/>
            <color indexed="81"/>
            <rFont val="Tahoma"/>
            <family val="2"/>
          </rPr>
          <t>Usuario:</t>
        </r>
        <r>
          <rPr>
            <sz val="9"/>
            <color indexed="81"/>
            <rFont val="Tahoma"/>
            <family val="2"/>
          </rPr>
          <t xml:space="preserve">
Solo si en tipo de evidencia  selecciona la opción contrato, ingrese la información del número de contrato. Si son varios, separelos con una coma.</t>
        </r>
      </text>
    </comment>
    <comment ref="P6" authorId="1" shapeId="0" xr:uid="{23969541-140D-43D8-A428-52AA35A9EF6B}">
      <text>
        <r>
          <rPr>
            <b/>
            <sz val="9"/>
            <color indexed="81"/>
            <rFont val="Tahoma"/>
            <family val="2"/>
          </rPr>
          <t>Usuario:</t>
        </r>
        <r>
          <rPr>
            <sz val="9"/>
            <color indexed="81"/>
            <rFont val="Tahoma"/>
            <family val="2"/>
          </rPr>
          <t xml:space="preserve">
• Es obligatorio asociar valor si se celebro un contrato, en caso contrario, es opcional el indicar o no, el valor que va a gastar en la actividad</t>
        </r>
      </text>
    </comment>
    <comment ref="Q6" authorId="1" shapeId="0" xr:uid="{8F0AEFE2-26D5-4A9B-8C8C-CF3808FC2C3E}">
      <text>
        <r>
          <rPr>
            <b/>
            <sz val="9"/>
            <color indexed="81"/>
            <rFont val="Tahoma"/>
            <family val="2"/>
          </rPr>
          <t>Usuario:</t>
        </r>
        <r>
          <rPr>
            <sz val="9"/>
            <color indexed="81"/>
            <rFont val="Tahoma"/>
            <family val="2"/>
          </rPr>
          <t xml:space="preserve">
Indique el valor pagado por la actividad a la fecha del reporte.</t>
        </r>
      </text>
    </comment>
    <comment ref="R6" authorId="1" shapeId="0" xr:uid="{E81C3F5C-C583-47A1-9C54-D78049A24B96}">
      <text>
        <r>
          <rPr>
            <b/>
            <sz val="9"/>
            <color indexed="81"/>
            <rFont val="Tahoma"/>
            <family val="2"/>
          </rPr>
          <t>Usuario:</t>
        </r>
        <r>
          <rPr>
            <sz val="9"/>
            <color indexed="81"/>
            <rFont val="Tahoma"/>
            <family val="2"/>
          </rPr>
          <t xml:space="preserve">
Indique la fecha en la cual se realizó el pago. </t>
        </r>
      </text>
    </comment>
    <comment ref="V6" authorId="1" shapeId="0" xr:uid="{BEF2455E-5C62-4E34-A6EC-3A9E1EC0D8F6}">
      <text>
        <r>
          <rPr>
            <b/>
            <sz val="9"/>
            <color indexed="81"/>
            <rFont val="Tahoma"/>
            <family val="2"/>
          </rPr>
          <t>Usuario:</t>
        </r>
        <r>
          <rPr>
            <sz val="9"/>
            <color indexed="81"/>
            <rFont val="Tahoma"/>
            <family val="2"/>
          </rPr>
          <t xml:space="preserve">
Para el cálculo de avance de las líneas, programas y proyectos se debe tener en cuenta el valor de ponderación global  13</t>
        </r>
      </text>
    </comment>
    <comment ref="W6" authorId="1" shapeId="0" xr:uid="{4C18AF68-06C6-49B8-9692-28A3221DF1F9}">
      <text>
        <r>
          <rPr>
            <b/>
            <sz val="9"/>
            <color indexed="81"/>
            <rFont val="Tahoma"/>
            <family val="2"/>
          </rPr>
          <t>Usuario:</t>
        </r>
        <r>
          <rPr>
            <sz val="9"/>
            <color indexed="81"/>
            <rFont val="Tahoma"/>
            <family val="2"/>
          </rPr>
          <t xml:space="preserve">
Ponderación definida para todo el periodo administrativo (2020-2023)</t>
        </r>
      </text>
    </comment>
    <comment ref="X6" authorId="1" shapeId="0" xr:uid="{4DF4B302-CE9F-463B-BF8F-276D67BE477C}">
      <text>
        <r>
          <rPr>
            <b/>
            <sz val="9"/>
            <color indexed="81"/>
            <rFont val="Tahoma"/>
            <family val="2"/>
          </rPr>
          <t>Usuario:</t>
        </r>
        <r>
          <rPr>
            <sz val="9"/>
            <color indexed="81"/>
            <rFont val="Tahoma"/>
            <family val="2"/>
          </rPr>
          <t xml:space="preserve">
Indique el valor de las ponderaciones o pesos definidos para cada uno de los componente del PAI en la vigencia objeto de reporte. Si hay actividades que no tienen meta asociada para el periodo el valor de distribución de las ponderaciones debe distribuirse de forma proporcional entre las actividades que si tienen meta para la vigencia.</t>
        </r>
      </text>
    </comment>
    <comment ref="AO11" authorId="2" shapeId="0" xr:uid="{6DD927FD-876D-4954-A1A7-CDC6E93E60E4}">
      <text>
        <r>
          <rPr>
            <sz val="11"/>
            <color theme="1"/>
            <rFont val="Arial"/>
            <family val="2"/>
          </rPr>
          <t xml:space="preserve">En Anexo 19 del PAI tenian asociado el indicador ODS: Porcentaje del cambio en la extensión de los ecosistemas relacionados con el agua a lo largo del tiempo. No obstante creo que el aporte se hace más hacia: Grado de aplicación de la ordenación integrada de los recursos hídricos (0-100)
</t>
        </r>
      </text>
    </comment>
    <comment ref="AO13" authorId="2" shapeId="0" xr:uid="{D0F92605-74F4-4DB3-8BB7-A41CDB8ACE15}">
      <text>
        <r>
          <rPr>
            <sz val="11"/>
            <color theme="1"/>
            <rFont val="Arial"/>
            <family val="2"/>
          </rPr>
          <t xml:space="preserve">En Anexo 19 del PAI tenian asociado el indicador ODS: Porcentaje del cambio en la extensión de los ecosistemas relacionados con el agua a lo largo del tiempo. No obstante creo que el aporte se hace más hacia: Grado de aplicación de la ordenación integrada de los recursos hídricos (0-100)
</t>
        </r>
      </text>
    </comment>
    <comment ref="AO16" authorId="2" shapeId="0" xr:uid="{682BD401-7DBC-417B-87E8-E8F74B23F443}">
      <text>
        <r>
          <rPr>
            <sz val="11"/>
            <color theme="1"/>
            <rFont val="Arial"/>
            <family val="2"/>
          </rPr>
          <t xml:space="preserve">En Anexo 19 del PAI tenian asociado el indicador ODS: Porcentaje del cambio en la extensión de los ecosistemas relacionados con el agua a lo largo del tiempo. No obstante creo que el aporte se hace más hacia: Grado de aplicación de la ordenación integrada de los recursos hídricos (0-100)
</t>
        </r>
      </text>
    </comment>
    <comment ref="F18" authorId="1" shapeId="0" xr:uid="{8AD04F95-4F58-47B0-93E5-1EB88FDA8B9B}">
      <text>
        <r>
          <rPr>
            <b/>
            <sz val="9"/>
            <color indexed="81"/>
            <rFont val="Tahoma"/>
            <family val="2"/>
          </rPr>
          <t>Usuario:</t>
        </r>
        <r>
          <rPr>
            <sz val="9"/>
            <color indexed="81"/>
            <rFont val="Tahoma"/>
            <family val="2"/>
          </rPr>
          <t xml:space="preserve">
Consultar si este fue el dato que se socializó en el Consejo. En el archivo que se cargo se tenia registrado 0,05</t>
        </r>
      </text>
    </comment>
    <comment ref="AO19" authorId="2" shapeId="0" xr:uid="{F43AF511-EC15-4EF9-8E61-D75CD4A4EDF6}">
      <text>
        <r>
          <rPr>
            <sz val="11"/>
            <color theme="1"/>
            <rFont val="Arial"/>
            <family val="2"/>
          </rPr>
          <t xml:space="preserve">En Anexo 19 del PAI tenian asociado el indicador ODS: Porcentaje del cambio en la extensión de los ecosistemas relacionados con el agua a lo largo del tiempo. No obstante creo que el aporte se hace más hacia:  Nivel de estrés hídrico: extracción de agua dulce como proporción de los recursos de agua dulce disponibles
</t>
        </r>
      </text>
    </comment>
    <comment ref="AO20" authorId="2" shapeId="0" xr:uid="{1753ED9A-D483-4028-9A4F-C0E72C19C9F0}">
      <text>
        <r>
          <rPr>
            <sz val="11"/>
            <color theme="1"/>
            <rFont val="Arial"/>
            <family val="2"/>
          </rPr>
          <t xml:space="preserve">En Anexo 19 del PAI tenian asociado el indicador ODS: Porcentaje del cambio en la extensión de los ecosistemas relacionados con el agua a lo largo del tiempo. No obstante creo que el aporte se hace más hacia: Grado de aplicación de la ordenación integrada de los recursos hídricos (0-100)
</t>
        </r>
      </text>
    </comment>
    <comment ref="AO21" authorId="2" shapeId="0" xr:uid="{4133EEC7-C4E0-4A36-A63C-7FDF518FB08C}">
      <text>
        <r>
          <rPr>
            <sz val="11"/>
            <color theme="1"/>
            <rFont val="Arial"/>
            <family val="2"/>
          </rPr>
          <t xml:space="preserve">En Anexo 19 del PAI tenian asociado el indicador ODS: Porcentaje del cambio en la extensión de los ecosistemas relacionados con el agua a lo largo del tiempo. No obstante creo que el aporte se hace más hacia: Grado de aplicación de la ordenación integrada de los recursos hídricos (0-100)
</t>
        </r>
      </text>
    </comment>
    <comment ref="AO22" authorId="2" shapeId="0" xr:uid="{54BC47A1-33E7-45A1-9316-DFB031015DB8}">
      <text>
        <r>
          <rPr>
            <sz val="11"/>
            <color theme="1"/>
            <rFont val="Arial"/>
            <family val="2"/>
          </rPr>
          <t xml:space="preserve">En Anexo 19 del PAI tenian asociado el indicador ODS: Porcentaje del cambio en la extensión de los ecosistemas relacionados con el agua a lo largo del tiempo. No obstante creo que el aporte se hace más hacia: Grado de aplicación de la ordenación integrada de los recursos hídricos (0-100)
</t>
        </r>
      </text>
    </comment>
    <comment ref="AO31" authorId="2" shapeId="0" xr:uid="{229686F7-3D59-46FC-B479-9D23A19319E7}">
      <text>
        <r>
          <rPr>
            <sz val="11"/>
            <color theme="1"/>
            <rFont val="Arial"/>
            <family val="2"/>
          </rPr>
          <t xml:space="preserve">En Anexo 19 del PAI tenian asociado el indicador ODS: Porcentaje del cambio en la extensión de los ecosistemas relacionados con el agua a lo largo del tiempo. No obstante creo que el aporte se hace más hacia el que aqui se indica
</t>
        </r>
      </text>
    </comment>
    <comment ref="AO36" authorId="2" shapeId="0" xr:uid="{F4272B9E-26C5-4742-BE6B-0E50F4E0A47C}">
      <text>
        <r>
          <rPr>
            <sz val="11"/>
            <color theme="1"/>
            <rFont val="Arial"/>
            <family val="2"/>
          </rPr>
          <t xml:space="preserve">Esta actividad no la tienen articulada a ningún ODS pero la meta podría estar asociada al indicador 144
</t>
        </r>
      </text>
    </comment>
    <comment ref="AO38" authorId="2" shapeId="0" xr:uid="{AD425A71-7D6A-49F2-BB95-F0EF9073957B}">
      <text>
        <r>
          <rPr>
            <sz val="11"/>
            <color theme="1"/>
            <rFont val="Arial"/>
            <family val="2"/>
          </rPr>
          <t xml:space="preserve">Lo articulan con la meta: Aumentar considerablemente el uso eficiente de los recursos hídricos en todos los sectores al 2030
</t>
        </r>
      </text>
    </comment>
    <comment ref="AO39" authorId="2" shapeId="0" xr:uid="{8B090CDB-96B7-424D-8C9E-934804F87CA4}">
      <text>
        <r>
          <rPr>
            <sz val="11"/>
            <color theme="1"/>
            <rFont val="Arial"/>
            <family val="2"/>
          </rPr>
          <t xml:space="preserve">Estas actividades no las encontre articuladas a ODS en el Anexo 19
</t>
        </r>
      </text>
    </comment>
    <comment ref="D44" authorId="3" shapeId="0" xr:uid="{D767D64F-7049-490B-AD61-83FCC0E006A1}">
      <text>
        <r>
          <rPr>
            <b/>
            <sz val="9"/>
            <color indexed="81"/>
            <rFont val="Tahoma"/>
            <family val="2"/>
          </rPr>
          <t>alirio rodriguez isidro:</t>
        </r>
        <r>
          <rPr>
            <sz val="9"/>
            <color indexed="81"/>
            <rFont val="Tahoma"/>
            <family val="2"/>
          </rPr>
          <t xml:space="preserve">
pendiente entregar nora</t>
        </r>
      </text>
    </comment>
    <comment ref="AO51" authorId="2" shapeId="0" xr:uid="{54F52049-E616-4F95-BE75-B0FD8BD84E9B}">
      <text>
        <r>
          <rPr>
            <sz val="11"/>
            <color theme="1"/>
            <rFont val="Arial"/>
            <family val="2"/>
          </rPr>
          <t xml:space="preserve">Es el indicadores asociado a la meta del ODS con el que se articulo
</t>
        </r>
      </text>
    </comment>
    <comment ref="AO52" authorId="2" shapeId="0" xr:uid="{D4FB7504-BB40-462E-AD5B-32679C24B80D}">
      <text>
        <r>
          <rPr>
            <sz val="11"/>
            <color theme="1"/>
            <rFont val="Arial"/>
            <family val="2"/>
          </rPr>
          <t xml:space="preserve">Es el indicadores asociado a la meta del ODS con el que se articulo
</t>
        </r>
      </text>
    </comment>
    <comment ref="AO53" authorId="2" shapeId="0" xr:uid="{3A9E1575-9798-40D4-BC23-186B81A3A381}">
      <text>
        <r>
          <rPr>
            <sz val="11"/>
            <color theme="1"/>
            <rFont val="Arial"/>
            <family val="2"/>
          </rPr>
          <t xml:space="preserve">Es el indicadores asociado a la meta del ODS con el que se articulo
</t>
        </r>
      </text>
    </comment>
    <comment ref="Y54" authorId="2" shapeId="0" xr:uid="{EE073CD0-14C2-4992-9F23-3EBA7E4980A0}">
      <text>
        <r>
          <rPr>
            <sz val="11"/>
            <color theme="1"/>
            <rFont val="Arial"/>
            <family val="2"/>
          </rPr>
          <t>En la matriz consolidada se encontraban estas dos cifras en la barra de formulas, asi que las separe. Validar</t>
        </r>
      </text>
    </comment>
    <comment ref="AO54" authorId="2" shapeId="0" xr:uid="{B5D24975-1D6F-4143-892B-4465A9E50503}">
      <text>
        <r>
          <rPr>
            <sz val="11"/>
            <color theme="1"/>
            <rFont val="Arial"/>
            <family val="2"/>
          </rPr>
          <t xml:space="preserve">Es el indicadores asociado a la meta del ODS con el que se articulo
</t>
        </r>
      </text>
    </comment>
    <comment ref="AO65" authorId="2" shapeId="0" xr:uid="{77228C8E-65C0-4A8B-9E9E-2B713D859ECC}">
      <text>
        <r>
          <rPr>
            <sz val="11"/>
            <color theme="1"/>
            <rFont val="Arial"/>
            <family val="2"/>
          </rPr>
          <t xml:space="preserve">En PAI lo asocian a indicador 15 pero no un indicador especifico, este le aplica.
</t>
        </r>
      </text>
    </comment>
    <comment ref="AO66" authorId="2" shapeId="0" xr:uid="{A2F22333-D493-4493-81DD-EFC729FB5B0D}">
      <text>
        <r>
          <rPr>
            <sz val="11"/>
            <color theme="1"/>
            <rFont val="Arial"/>
            <family val="2"/>
          </rPr>
          <t xml:space="preserve">En PAI lo asocian a indicador 15 pero no un indicador especifico, este le aplica.
</t>
        </r>
      </text>
    </comment>
    <comment ref="E72" authorId="1" shapeId="0" xr:uid="{EDF8B77B-B89C-423B-8944-D19D67792DA7}">
      <text>
        <r>
          <rPr>
            <b/>
            <sz val="9"/>
            <color indexed="81"/>
            <rFont val="Tahoma"/>
            <family val="2"/>
          </rPr>
          <t>Usuario:</t>
        </r>
        <r>
          <rPr>
            <sz val="9"/>
            <color indexed="81"/>
            <rFont val="Tahoma"/>
            <family val="2"/>
          </rPr>
          <t xml:space="preserve">
Como implementan acciones de un POMIUAC que no ha sido adoptado?</t>
        </r>
      </text>
    </comment>
    <comment ref="A106" authorId="2" shapeId="0" xr:uid="{9F5E2BDE-E11F-41FB-968F-F13B3515DA9B}">
      <text>
        <r>
          <rPr>
            <sz val="11"/>
            <color theme="1"/>
            <rFont val="Arial"/>
            <family val="2"/>
          </rPr>
          <t>Se ajusto el termino resaltado en rojo de la forma como se encuentra en el Anexo 19 del PAI.</t>
        </r>
      </text>
    </comment>
    <comment ref="A115" authorId="2" shapeId="0" xr:uid="{76EA009D-439C-47E4-AF1E-AC864A1365FC}">
      <text>
        <r>
          <rPr>
            <sz val="11"/>
            <color theme="1"/>
            <rFont val="Arial"/>
            <family val="2"/>
          </rPr>
          <t>revisar relación actividad-indicador</t>
        </r>
      </text>
    </comment>
    <comment ref="AO122" authorId="2" shapeId="0" xr:uid="{B0BB1439-AA0B-4DAD-834C-AA8A73788101}">
      <text>
        <r>
          <rPr>
            <sz val="11"/>
            <color theme="1"/>
            <rFont val="Arial"/>
            <family val="2"/>
          </rPr>
          <t xml:space="preserve">Lo articulan a varios indicadores ODS, se selecciona uno de ellos
</t>
        </r>
      </text>
    </comment>
    <comment ref="A126" authorId="2" shapeId="0" xr:uid="{E6365ED7-B302-46A1-9995-6EFC7C3E6182}">
      <text>
        <r>
          <rPr>
            <sz val="11"/>
            <color theme="1"/>
            <rFont val="Arial"/>
            <family val="2"/>
          </rPr>
          <t>Como solo se permite un solo indicador por actividad, se duplica incorporando una letra diferenciadora y de esta manera se conservan los dos indicadores asociados.</t>
        </r>
      </text>
    </comment>
    <comment ref="A127" authorId="2" shapeId="0" xr:uid="{9559B684-D43F-40D5-830F-F9A27496B271}">
      <text>
        <r>
          <rPr>
            <sz val="11"/>
            <color theme="1"/>
            <rFont val="Arial"/>
            <family val="2"/>
          </rPr>
          <t>Como solo se permite un solo indicador por actividad, se duplica incorporando una letra diferenciadora y de esta manera se conservan los dos indicadores asociados.</t>
        </r>
      </text>
    </comment>
    <comment ref="A130" authorId="2" shapeId="0" xr:uid="{DFB93AFB-9969-46A7-8D89-A6D801113209}">
      <text>
        <r>
          <rPr>
            <sz val="11"/>
            <color theme="1"/>
            <rFont val="Arial"/>
            <family val="2"/>
          </rPr>
          <t>Como solo se permite un solo indicador por actividad, se duplica incorporando una letra diferenciadora y de esta manera se conservan los dos indicadores asociados.</t>
        </r>
      </text>
    </comment>
    <comment ref="A131" authorId="2" shapeId="0" xr:uid="{FA2B02E0-B0E0-401F-BA78-2A0088161AAC}">
      <text>
        <r>
          <rPr>
            <sz val="11"/>
            <color theme="1"/>
            <rFont val="Arial"/>
            <family val="2"/>
          </rPr>
          <t>Como solo se permite un solo indicador por actividad, se duplica incorporando una letra diferenciadora y de esta manera se conservan los dos indicadores asociados.</t>
        </r>
      </text>
    </comment>
    <comment ref="AO149" authorId="2" shapeId="0" xr:uid="{06C143AC-96E6-411B-A515-3CC8A62A697A}">
      <text>
        <r>
          <rPr>
            <sz val="11"/>
            <color theme="1"/>
            <rFont val="Arial"/>
            <family val="2"/>
          </rPr>
          <t xml:space="preserve">Lo articulan con ODS 11 pero no se encontro un indicador afin al alcance de la actividad
</t>
        </r>
      </text>
    </comment>
    <comment ref="AO152" authorId="2" shapeId="0" xr:uid="{92BB1007-C19F-4752-9538-A94154B60A40}">
      <text>
        <r>
          <rPr>
            <sz val="11"/>
            <color theme="1"/>
            <rFont val="Arial"/>
            <family val="2"/>
          </rPr>
          <t xml:space="preserve">Asociado a metas de 2 ODS, se selecciono el más afin al alcance de del proyecto
</t>
        </r>
      </text>
    </comment>
    <comment ref="AO154" authorId="2" shapeId="0" xr:uid="{CCC07A92-7CA6-4E78-8F31-CC633A7D77ED}">
      <text>
        <r>
          <rPr>
            <sz val="11"/>
            <color theme="1"/>
            <rFont val="Arial"/>
            <family val="2"/>
          </rPr>
          <t xml:space="preserve">Asociado a metas de 2 ODS, se selecciono el más afin al alcance de del proyecto
</t>
        </r>
      </text>
    </comment>
    <comment ref="AO156" authorId="2" shapeId="0" xr:uid="{5C7504ED-3317-4B84-A5D5-41CDAEDBEC2C}">
      <text>
        <r>
          <rPr>
            <sz val="11"/>
            <color theme="1"/>
            <rFont val="Arial"/>
            <family val="2"/>
          </rPr>
          <t xml:space="preserve">Asociado a metas de 2 ODS
</t>
        </r>
      </text>
    </comment>
    <comment ref="AO160" authorId="2" shapeId="0" xr:uid="{C9653B35-852F-43C0-9E64-0D9F07190E46}">
      <text>
        <r>
          <rPr>
            <sz val="11"/>
            <color theme="1"/>
            <rFont val="Arial"/>
            <family val="2"/>
          </rPr>
          <t xml:space="preserve">Lo articulan a ODS 11, sin embargo no se encontró un indicador acorde al alcance del producto
</t>
        </r>
      </text>
    </comment>
    <comment ref="AO162" authorId="2" shapeId="0" xr:uid="{D1B3B786-50B2-4088-9700-BCB5B4D25496}">
      <text>
        <r>
          <rPr>
            <sz val="11"/>
            <color theme="1"/>
            <rFont val="Arial"/>
            <family val="2"/>
          </rPr>
          <t xml:space="preserve">Lo articulan a ODS 11, sin embargo no se encontró un indicador acorde al alcance del producto
</t>
        </r>
      </text>
    </comment>
    <comment ref="AO164" authorId="2" shapeId="0" xr:uid="{E2C179CB-12E0-49B9-BE76-C498D8F1D99D}">
      <text>
        <r>
          <rPr>
            <sz val="11"/>
            <color theme="1"/>
            <rFont val="Arial"/>
            <family val="2"/>
          </rPr>
          <t xml:space="preserve">Asociado al ODS 11, se selecciono el más afin al alcance de del proyecto
</t>
        </r>
      </text>
    </comment>
    <comment ref="AO166" authorId="2" shapeId="0" xr:uid="{8B4E5F63-5444-4B3C-B441-9F50AEC6EE9F}">
      <text>
        <r>
          <rPr>
            <sz val="11"/>
            <color theme="1"/>
            <rFont val="Arial"/>
            <family val="2"/>
          </rPr>
          <t xml:space="preserve">Asociado a metas de 2 ODS, se selecciono uno de los indicadores sin embargo se recomienda revisar la pertinencia de este de acuerdo al alcance del proyecto.
</t>
        </r>
      </text>
    </comment>
    <comment ref="AO177" authorId="2" shapeId="0" xr:uid="{F6A271A4-3CDC-4E86-84A1-7A2CE632767C}">
      <text>
        <r>
          <rPr>
            <sz val="11"/>
            <color theme="1"/>
            <rFont val="Arial"/>
            <family val="2"/>
          </rPr>
          <t xml:space="preserve">Lo articulan con ODS 11
</t>
        </r>
      </text>
    </comment>
    <comment ref="AO179" authorId="2" shapeId="0" xr:uid="{8CDAF0B3-0AD5-4BE8-A2A8-BF1E91F63DDF}">
      <text>
        <r>
          <rPr>
            <sz val="11"/>
            <color theme="1"/>
            <rFont val="Arial"/>
            <family val="2"/>
          </rPr>
          <t xml:space="preserve">Lo articulan con ODS 11
</t>
        </r>
      </text>
    </comment>
    <comment ref="AO180" authorId="2" shapeId="0" xr:uid="{709D5E5A-E6E6-4278-8F8B-250B6ED0B00D}">
      <text>
        <r>
          <rPr>
            <sz val="11"/>
            <color theme="1"/>
            <rFont val="Arial"/>
            <family val="2"/>
          </rPr>
          <t xml:space="preserve">Lo articulan con ODS 11
</t>
        </r>
      </text>
    </comment>
    <comment ref="A181" authorId="2" shapeId="0" xr:uid="{9A3D4664-1176-4F5E-8FD8-472CD9DFFF96}">
      <text>
        <r>
          <rPr>
            <sz val="11"/>
            <color theme="1"/>
            <rFont val="Arial"/>
            <family val="2"/>
          </rPr>
          <t>Se duplica actividad para conservar los dos indicadores asociados</t>
        </r>
      </text>
    </comment>
    <comment ref="AO181" authorId="2" shapeId="0" xr:uid="{4E39F6B6-BE48-4B6C-8297-1ED1EC1E684B}">
      <text>
        <r>
          <rPr>
            <sz val="11"/>
            <color theme="1"/>
            <rFont val="Arial"/>
            <family val="2"/>
          </rPr>
          <t xml:space="preserve">Lo articulan con ODS 11
</t>
        </r>
      </text>
    </comment>
    <comment ref="AO187" authorId="2" shapeId="0" xr:uid="{26CEBE8C-BD20-4834-AF22-D852F741983A}">
      <text>
        <r>
          <rPr>
            <sz val="11"/>
            <color theme="1"/>
            <rFont val="Arial"/>
            <family val="2"/>
          </rPr>
          <t xml:space="preserve">Lo articularon con ODS 15
</t>
        </r>
      </text>
    </comment>
    <comment ref="AO192" authorId="2" shapeId="0" xr:uid="{A6792F88-4E3F-4536-9E79-40BD4E3DCA1E}">
      <text>
        <r>
          <rPr>
            <sz val="11"/>
            <color theme="1"/>
            <rFont val="Arial"/>
            <family val="2"/>
          </rPr>
          <t xml:space="preserve">Lo articulan con ODS15
</t>
        </r>
      </text>
    </comment>
    <comment ref="AO193" authorId="2" shapeId="0" xr:uid="{120C2281-0CE4-4630-AE04-56FC7050CC9E}">
      <text>
        <r>
          <rPr>
            <sz val="11"/>
            <color theme="1"/>
            <rFont val="Arial"/>
            <family val="2"/>
          </rPr>
          <t xml:space="preserve">Lo articulan con ODS15
</t>
        </r>
      </text>
    </comment>
    <comment ref="AO194" authorId="2" shapeId="0" xr:uid="{7D0B60BB-20C7-449E-9CDD-4A07EAB5B4CE}">
      <text>
        <r>
          <rPr>
            <sz val="11"/>
            <color theme="1"/>
            <rFont val="Arial"/>
            <family val="2"/>
          </rPr>
          <t xml:space="preserve">Lo articulan con ODS15
</t>
        </r>
      </text>
    </comment>
    <comment ref="AO195" authorId="2" shapeId="0" xr:uid="{C1D81465-B9AC-4AE8-A2E5-45A82D8D016A}">
      <text>
        <r>
          <rPr>
            <sz val="11"/>
            <color theme="1"/>
            <rFont val="Arial"/>
            <family val="2"/>
          </rPr>
          <t xml:space="preserve">Lo articulan con ODS13
</t>
        </r>
      </text>
    </comment>
    <comment ref="A196" authorId="2" shapeId="0" xr:uid="{B4FC62D1-697E-4107-9F47-E196A75A897E}">
      <text>
        <r>
          <rPr>
            <sz val="11"/>
            <color theme="1"/>
            <rFont val="Arial"/>
            <family val="2"/>
          </rPr>
          <t xml:space="preserve">la acción es más la formalización que el instrumento en si </t>
        </r>
      </text>
    </comment>
    <comment ref="AO196" authorId="2" shapeId="0" xr:uid="{3B3B6AF3-F800-471D-B561-36A66A08DF67}">
      <text>
        <r>
          <rPr>
            <sz val="11"/>
            <color theme="1"/>
            <rFont val="Arial"/>
            <family val="2"/>
          </rPr>
          <t xml:space="preserve">Lo articulan con ODS13
</t>
        </r>
      </text>
    </comment>
    <comment ref="AO197" authorId="2" shapeId="0" xr:uid="{60B5414B-28FD-48F6-BDA5-5CE1E4BC58BF}">
      <text>
        <r>
          <rPr>
            <sz val="11"/>
            <color theme="1"/>
            <rFont val="Arial"/>
            <family val="2"/>
          </rPr>
          <t xml:space="preserve">Lo articulan con ODS15
</t>
        </r>
      </text>
    </comment>
    <comment ref="A198" authorId="2" shapeId="0" xr:uid="{914A5DC5-A145-46B0-8E1A-F3077D834311}">
      <text>
        <r>
          <rPr>
            <sz val="11"/>
            <color theme="1"/>
            <rFont val="Arial"/>
            <family val="2"/>
          </rPr>
          <t>relación actividad-indicador</t>
        </r>
      </text>
    </comment>
    <comment ref="A199" authorId="2" shapeId="0" xr:uid="{03054FBE-8E92-4874-B53C-769BA7C462F0}">
      <text>
        <r>
          <rPr>
            <sz val="11"/>
            <color theme="1"/>
            <rFont val="Arial"/>
            <family val="2"/>
          </rPr>
          <t>Actividad triplicada y sin relación con el indicador…Esta actividad debería reformularse y asociarse directamente al CAVF</t>
        </r>
      </text>
    </comment>
    <comment ref="F199" authorId="1" shapeId="0" xr:uid="{0B378349-0246-4DFC-A4B0-3C48A817DF32}">
      <text>
        <r>
          <rPr>
            <b/>
            <sz val="9"/>
            <color indexed="81"/>
            <rFont val="Tahoma"/>
            <family val="2"/>
          </rPr>
          <t>Usuario:</t>
        </r>
        <r>
          <rPr>
            <sz val="9"/>
            <color indexed="81"/>
            <rFont val="Tahoma"/>
            <family val="2"/>
          </rPr>
          <t xml:space="preserve">
En archivo suministrado para cargue se tenia 0,05. Favor confirmar si el cero es el valor validado en Consejo</t>
        </r>
      </text>
    </comment>
    <comment ref="AO201" authorId="2" shapeId="0" xr:uid="{C17B61B2-DA08-4259-98AA-AFA45B228316}">
      <text>
        <r>
          <rPr>
            <sz val="11"/>
            <color theme="1"/>
            <rFont val="Arial"/>
            <family val="2"/>
          </rPr>
          <t xml:space="preserve">Lo articulan con ODS15
</t>
        </r>
      </text>
    </comment>
    <comment ref="AO220" authorId="2" shapeId="0" xr:uid="{1787FECF-CF40-4440-B53E-B8A6D31EF883}">
      <text>
        <r>
          <rPr>
            <sz val="11"/>
            <color theme="1"/>
            <rFont val="Arial"/>
            <family val="2"/>
          </rPr>
          <t xml:space="preserve">Este proyecto lo articulan con ODS 8 y 3. Solo se encontro un indicador afin correspondiente al ODS 8. Revisar
</t>
        </r>
      </text>
    </comment>
    <comment ref="AO221" authorId="2" shapeId="0" xr:uid="{B559ED17-4F9E-45DA-9B42-241A6AD7BB67}">
      <text>
        <r>
          <rPr>
            <sz val="11"/>
            <color theme="1"/>
            <rFont val="Arial"/>
            <family val="2"/>
          </rPr>
          <t xml:space="preserve">Este proyecto lo articulan con ODS 8 y 3. Solo se encontro un indicador afin correspondiente al ODS 8. Revisar
</t>
        </r>
      </text>
    </comment>
    <comment ref="AO228" authorId="2" shapeId="0" xr:uid="{683C6430-0F79-42C7-BFA3-80B4D16BC9F5}">
      <text>
        <r>
          <rPr>
            <sz val="11"/>
            <color theme="1"/>
            <rFont val="Arial"/>
            <family val="2"/>
          </rPr>
          <t xml:space="preserve">Lo articularon con ODS 8 y 3
</t>
        </r>
      </text>
    </comment>
    <comment ref="AO231" authorId="2" shapeId="0" xr:uid="{7661F0E6-4401-495A-A2E5-05DBF0CB3BA1}">
      <text>
        <r>
          <rPr>
            <sz val="11"/>
            <color theme="1"/>
            <rFont val="Arial"/>
            <family val="2"/>
          </rPr>
          <t xml:space="preserve">Lo articulan con ODS 9
</t>
        </r>
      </text>
    </comment>
    <comment ref="AO232" authorId="2" shapeId="0" xr:uid="{791EB9A5-B095-40BB-AF43-1BD1326406CA}">
      <text>
        <r>
          <rPr>
            <sz val="11"/>
            <color theme="1"/>
            <rFont val="Arial"/>
            <family val="2"/>
          </rPr>
          <t xml:space="preserve">Lo articulan con ODS 9
</t>
        </r>
      </text>
    </comment>
    <comment ref="AO233" authorId="2" shapeId="0" xr:uid="{6949F90F-35DD-4D60-838D-DD5345F8807D}">
      <text>
        <r>
          <rPr>
            <sz val="11"/>
            <color theme="1"/>
            <rFont val="Arial"/>
            <family val="2"/>
          </rPr>
          <t xml:space="preserve">Lo articulan con ODS 9
</t>
        </r>
      </text>
    </comment>
    <comment ref="E235" authorId="1" shapeId="0" xr:uid="{0546911D-4BFA-4CD1-9B5B-CDFC6899967D}">
      <text>
        <r>
          <rPr>
            <b/>
            <sz val="9"/>
            <color indexed="81"/>
            <rFont val="Tahoma"/>
            <family val="2"/>
          </rPr>
          <t>Usuario:</t>
        </r>
        <r>
          <rPr>
            <sz val="9"/>
            <color indexed="81"/>
            <rFont val="Tahoma"/>
            <family val="2"/>
          </rPr>
          <t xml:space="preserve">
osea el 50% restante que se tenia de meta para todo el cuatrienio?</t>
        </r>
      </text>
    </comment>
    <comment ref="AO235" authorId="2" shapeId="0" xr:uid="{A9CB1E1E-EB09-4C28-AA5C-8062481C6C92}">
      <text>
        <r>
          <rPr>
            <sz val="11"/>
            <color theme="1"/>
            <rFont val="Arial"/>
            <family val="2"/>
          </rPr>
          <t xml:space="preserve">Lo articulan con ODS 9
</t>
        </r>
      </text>
    </comment>
    <comment ref="AO238" authorId="2" shapeId="0" xr:uid="{61B71661-742D-476F-B582-00FE9695827E}">
      <text>
        <r>
          <rPr>
            <sz val="11"/>
            <color theme="1"/>
            <rFont val="Arial"/>
            <family val="2"/>
          </rPr>
          <t xml:space="preserve">Lo articulan con ODS 9
</t>
        </r>
      </text>
    </comment>
    <comment ref="AO241" authorId="2" shapeId="0" xr:uid="{666E90E7-8C31-462A-9EB7-046EDCC4F4BA}">
      <text>
        <r>
          <rPr>
            <sz val="11"/>
            <color theme="1"/>
            <rFont val="Arial"/>
            <family val="2"/>
          </rPr>
          <t xml:space="preserve">Lo articulan con ODS 9
</t>
        </r>
      </text>
    </comment>
    <comment ref="AO244" authorId="2" shapeId="0" xr:uid="{8974AC8E-2220-4F1C-933C-A331F422D505}">
      <text>
        <r>
          <rPr>
            <sz val="11"/>
            <color theme="1"/>
            <rFont val="Arial"/>
            <family val="2"/>
          </rPr>
          <t xml:space="preserve">Lo articulan con ODS 9
</t>
        </r>
      </text>
    </comment>
    <comment ref="AO247" authorId="2" shapeId="0" xr:uid="{6787505A-61D7-4661-8499-57DD2A4032DD}">
      <text>
        <r>
          <rPr>
            <sz val="11"/>
            <color theme="1"/>
            <rFont val="Arial"/>
            <family val="2"/>
          </rPr>
          <t xml:space="preserve">Lo articulan con ODS 6,7, 11 y 12
</t>
        </r>
      </text>
    </comment>
    <comment ref="AO248" authorId="2" shapeId="0" xr:uid="{639963E0-0A38-4792-B6AA-88BCA7B5A61D}">
      <text>
        <r>
          <rPr>
            <sz val="11"/>
            <color theme="1"/>
            <rFont val="Arial"/>
            <family val="2"/>
          </rPr>
          <t xml:space="preserve">Lo articulan con ODS 6,7, 11 y 12
</t>
        </r>
      </text>
    </comment>
    <comment ref="AO249" authorId="2" shapeId="0" xr:uid="{FEF07856-5209-48AE-A8C1-5404D86F2E71}">
      <text>
        <r>
          <rPr>
            <sz val="11"/>
            <color theme="1"/>
            <rFont val="Arial"/>
            <family val="2"/>
          </rPr>
          <t xml:space="preserve">Lo articulan con ODS 6,7, 11 y 12
</t>
        </r>
      </text>
    </comment>
    <comment ref="AO252" authorId="2" shapeId="0" xr:uid="{92E50481-98A8-4760-83FA-F89BF96D0625}">
      <text>
        <r>
          <rPr>
            <sz val="11"/>
            <color theme="1"/>
            <rFont val="Arial"/>
            <family val="2"/>
          </rPr>
          <t xml:space="preserve">Lo articulan con ODS 6,9, 11,12, 14 y 15
</t>
        </r>
      </text>
    </comment>
    <comment ref="AO253" authorId="2" shapeId="0" xr:uid="{AB2AA11A-732D-44C2-9437-98460E4F145E}">
      <text>
        <r>
          <rPr>
            <sz val="11"/>
            <color theme="1"/>
            <rFont val="Arial"/>
            <family val="2"/>
          </rPr>
          <t xml:space="preserve">Lo articulan con ODS 6,9, 11,12, 14 y 15
</t>
        </r>
      </text>
    </comment>
    <comment ref="AO254" authorId="2" shapeId="0" xr:uid="{726F84A6-5052-46E2-AD20-ADF2F91683B5}">
      <text>
        <r>
          <rPr>
            <sz val="11"/>
            <color theme="1"/>
            <rFont val="Arial"/>
            <family val="2"/>
          </rPr>
          <t xml:space="preserve">Lo articulan con ODS 6,9, 11,12, 14 y 15
</t>
        </r>
      </text>
    </comment>
    <comment ref="AO256" authorId="2" shapeId="0" xr:uid="{62AA1CAA-67D5-4DC7-A405-F6F82B821F9E}">
      <text>
        <r>
          <rPr>
            <sz val="11"/>
            <color theme="1"/>
            <rFont val="Arial"/>
            <family val="2"/>
          </rPr>
          <t xml:space="preserve">Lo articulan con ODS 6,9, 11,12, 14 y 15
</t>
        </r>
      </text>
    </comment>
    <comment ref="AO258" authorId="2" shapeId="0" xr:uid="{66663AA9-DCED-4738-B206-83DB5F2C6B6A}">
      <text>
        <r>
          <rPr>
            <sz val="11"/>
            <color theme="1"/>
            <rFont val="Arial"/>
            <family val="2"/>
          </rPr>
          <t xml:space="preserve">Lo articulan con ODS 6,9, 11,12, 14 y 15
</t>
        </r>
      </text>
    </comment>
    <comment ref="AO259" authorId="2" shapeId="0" xr:uid="{8603D001-D263-47D5-AE01-11D9374B81B8}">
      <text>
        <r>
          <rPr>
            <sz val="11"/>
            <color theme="1"/>
            <rFont val="Arial"/>
            <family val="2"/>
          </rPr>
          <t xml:space="preserve">Lo articulan con ODS 6,9, 11,12, 14 y 15
</t>
        </r>
      </text>
    </comment>
    <comment ref="AO262" authorId="2" shapeId="0" xr:uid="{BA606E4C-0338-4072-8E8D-B229DD2CA4F7}">
      <text>
        <r>
          <rPr>
            <sz val="11"/>
            <color theme="1"/>
            <rFont val="Arial"/>
            <family val="2"/>
          </rPr>
          <t xml:space="preserve">Lo articulan con ODS 3, 8,9, 12, y 16
</t>
        </r>
      </text>
    </comment>
    <comment ref="AO267" authorId="2" shapeId="0" xr:uid="{63D15FE1-013C-42FC-BFED-ECB5572A8D0E}">
      <text>
        <r>
          <rPr>
            <sz val="11"/>
            <color theme="1"/>
            <rFont val="Arial"/>
            <family val="2"/>
          </rPr>
          <t xml:space="preserve">Lo articulan con ODS 3, 8,9, 12, y 16
</t>
        </r>
      </text>
    </comment>
    <comment ref="Y269" authorId="2" shapeId="0" xr:uid="{2EEBCAB3-CC23-4721-848B-BF430A30BED1}">
      <text>
        <r>
          <rPr>
            <sz val="11"/>
            <color theme="1"/>
            <rFont val="Arial"/>
            <family val="2"/>
          </rPr>
          <t>Revisar, no hay meta definida para este año</t>
        </r>
      </text>
    </comment>
    <comment ref="AO269" authorId="2" shapeId="0" xr:uid="{610A60B2-B960-4ABB-AB2C-679AE40E30C4}">
      <text>
        <r>
          <rPr>
            <sz val="11"/>
            <color theme="1"/>
            <rFont val="Arial"/>
            <family val="2"/>
          </rPr>
          <t xml:space="preserve">Lo articulan con ODS 3, 8,9, 12, y 16
</t>
        </r>
      </text>
    </comment>
    <comment ref="AO272" authorId="2" shapeId="0" xr:uid="{502FA428-92C9-49D3-96BB-C0BC943E076F}">
      <text>
        <r>
          <rPr>
            <sz val="11"/>
            <color theme="1"/>
            <rFont val="Arial"/>
            <family val="2"/>
          </rPr>
          <t xml:space="preserve">Articulan con ODS 16
</t>
        </r>
      </text>
    </comment>
    <comment ref="AO273" authorId="2" shapeId="0" xr:uid="{3677087C-D39C-4BBA-B4C8-AF20B05F507C}">
      <text>
        <r>
          <rPr>
            <sz val="11"/>
            <color theme="1"/>
            <rFont val="Arial"/>
            <family val="2"/>
          </rPr>
          <t xml:space="preserve">Articulan con ODS 16
</t>
        </r>
      </text>
    </comment>
    <comment ref="AO274" authorId="2" shapeId="0" xr:uid="{11B45827-3C2B-47F4-8AA8-1EF472C69883}">
      <text>
        <r>
          <rPr>
            <sz val="11"/>
            <color theme="1"/>
            <rFont val="Arial"/>
            <family val="2"/>
          </rPr>
          <t xml:space="preserve">Articulan con ODS 16
</t>
        </r>
      </text>
    </comment>
    <comment ref="AO277" authorId="2" shapeId="0" xr:uid="{F62C9D28-5773-43DA-AA63-35B901617BEE}">
      <text>
        <r>
          <rPr>
            <sz val="11"/>
            <color theme="1"/>
            <rFont val="Arial"/>
            <family val="2"/>
          </rPr>
          <t xml:space="preserve">Articulan con ODS 16
</t>
        </r>
      </text>
    </comment>
    <comment ref="AO280" authorId="2" shapeId="0" xr:uid="{A95CBFF3-8A4F-45E6-A865-A744870AA02A}">
      <text>
        <r>
          <rPr>
            <sz val="11"/>
            <color theme="1"/>
            <rFont val="Arial"/>
            <family val="2"/>
          </rPr>
          <t xml:space="preserve">Articulan con ODS 16
</t>
        </r>
      </text>
    </comment>
    <comment ref="AO281" authorId="2" shapeId="0" xr:uid="{7C13EA73-D86C-4D16-9BDA-27898134A234}">
      <text>
        <r>
          <rPr>
            <sz val="11"/>
            <color theme="1"/>
            <rFont val="Arial"/>
            <family val="2"/>
          </rPr>
          <t xml:space="preserve">Articulan con ODS 16
</t>
        </r>
      </text>
    </comment>
    <comment ref="AO283" authorId="2" shapeId="0" xr:uid="{77C068C2-38D3-4BC3-9DC2-0F5A20ABBEEA}">
      <text>
        <r>
          <rPr>
            <sz val="11"/>
            <color theme="1"/>
            <rFont val="Arial"/>
            <family val="2"/>
          </rPr>
          <t xml:space="preserve">Articulan con ODS 16
</t>
        </r>
      </text>
    </comment>
    <comment ref="AO285" authorId="2" shapeId="0" xr:uid="{17FC5E5A-F1F2-4797-A2CE-AB63948C7B37}">
      <text>
        <r>
          <rPr>
            <sz val="11"/>
            <color theme="1"/>
            <rFont val="Arial"/>
            <family val="2"/>
          </rPr>
          <t xml:space="preserve">Articulan con ODS 16
</t>
        </r>
      </text>
    </comment>
    <comment ref="AO288" authorId="2" shapeId="0" xr:uid="{755E01A4-6B14-44A0-95C6-DB7A694F99CF}">
      <text>
        <r>
          <rPr>
            <sz val="11"/>
            <color theme="1"/>
            <rFont val="Arial"/>
            <family val="2"/>
          </rPr>
          <t xml:space="preserve">articulado con ODS 7 y 11
</t>
        </r>
      </text>
    </comment>
    <comment ref="AO290" authorId="2" shapeId="0" xr:uid="{62822E1E-F06F-45C2-84CC-95C1AA380957}">
      <text>
        <r>
          <rPr>
            <sz val="11"/>
            <color theme="1"/>
            <rFont val="Arial"/>
            <family val="2"/>
          </rPr>
          <t xml:space="preserve">articulado con ODS 3,8, 9 y 16
</t>
        </r>
      </text>
    </comment>
    <comment ref="AO291" authorId="2" shapeId="0" xr:uid="{17ED4E91-381C-4BEC-B2EB-C2056820BE64}">
      <text>
        <r>
          <rPr>
            <sz val="11"/>
            <color theme="1"/>
            <rFont val="Arial"/>
            <family val="2"/>
          </rPr>
          <t xml:space="preserve">articulado con ODS 3,8, 9 y 16
</t>
        </r>
      </text>
    </comment>
    <comment ref="AO292" authorId="2" shapeId="0" xr:uid="{ADE5E5EB-3DE6-4C6E-879F-AFEB775481AF}">
      <text>
        <r>
          <rPr>
            <sz val="11"/>
            <color theme="1"/>
            <rFont val="Arial"/>
            <family val="2"/>
          </rPr>
          <t xml:space="preserve">articulado con ODS 3,8, 9 y 16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Usuario</author>
    <author>IVAN DARIO RAMIREZ B</author>
  </authors>
  <commentList>
    <comment ref="X5" authorId="0" shapeId="0" xr:uid="{9A3F886E-B686-409F-BC0B-02B9AF0E385F}">
      <text>
        <r>
          <rPr>
            <b/>
            <sz val="9"/>
            <color indexed="81"/>
            <rFont val="Tahoma"/>
            <family val="2"/>
          </rPr>
          <t>Usuario:</t>
        </r>
        <r>
          <rPr>
            <sz val="9"/>
            <color indexed="81"/>
            <rFont val="Tahoma"/>
            <family val="2"/>
          </rPr>
          <t xml:space="preserve">
teniendo en cuenta que el dato ingresado es lo que quedo pendiente por cobrar, los derechos por cobrar serian esta cartera + recaudo acumulado</t>
        </r>
      </text>
    </comment>
    <comment ref="R7" authorId="0" shapeId="0" xr:uid="{E56D2FBB-B6CD-47FE-898A-9FCA49CB8D5E}">
      <text>
        <r>
          <rPr>
            <b/>
            <sz val="9"/>
            <color indexed="81"/>
            <rFont val="Tahoma"/>
            <family val="2"/>
          </rPr>
          <t>Usuario:</t>
        </r>
        <r>
          <rPr>
            <sz val="9"/>
            <color indexed="81"/>
            <rFont val="Tahoma"/>
            <family val="2"/>
          </rPr>
          <t xml:space="preserve">
OCT. $155.439.506.138</t>
        </r>
      </text>
    </comment>
    <comment ref="K12" authorId="0" shapeId="0" xr:uid="{730553CC-CEE3-4D1B-AB2B-443FE5024BBF}">
      <text>
        <r>
          <rPr>
            <b/>
            <sz val="9"/>
            <color indexed="81"/>
            <rFont val="Tahoma"/>
            <family val="2"/>
          </rPr>
          <t>Usuario:</t>
        </r>
        <r>
          <rPr>
            <sz val="9"/>
            <color indexed="81"/>
            <rFont val="Tahoma"/>
            <family val="2"/>
          </rPr>
          <t xml:space="preserve">
Corresponde a la sobretasa que fijen los municipios y distritos, entre el 1.5 por mil y el 2.5 por mil sobre el avalúo de los bienes que sirven de base para liquidar el impuesto predial. Igualmente en competencia de los grandes centros urbanos, los municipios, distritos o áreas metropolitanas cuya población urbana fuere igual o superior a un millón de habitantes (1.000.000) ejercerán dentro del perímetro urbano las mismas funciones atribuidas a las Corporaciones Autónomas Regionales, en los que fuere aplicable al medio ambiente urbano.</t>
        </r>
      </text>
    </comment>
    <comment ref="K29" authorId="0" shapeId="0" xr:uid="{D011A5FB-4981-4156-A1E2-7342ECC127FB}">
      <text>
        <r>
          <rPr>
            <b/>
            <sz val="9"/>
            <color indexed="81"/>
            <rFont val="Tahoma"/>
            <family val="2"/>
          </rPr>
          <t>Usuario:</t>
        </r>
        <r>
          <rPr>
            <sz val="9"/>
            <color indexed="81"/>
            <rFont val="Tahoma"/>
            <family val="2"/>
          </rPr>
          <t xml:space="preserve">
Son los recursos por contribución del sector eléctrico a las que se refiere el artículo 45 de la Ley 99 de 1993. De acuerdo con este artículo, las empresas generadoras de energía hidroeléctrica cuya potencia nominal supera los 10.000 kilovatios, deben transferir el 6% de las ventas brutas de energía por generación propia de acuerdo con las distribuciones establecidas por la ley. En el caso de centrales térmicas el porcentaje de los recursos a transferir es del 4%. Los destinatarios de estos recursos son: las Corporaciones Autonómas Regionales o los Parques Nacionales Naturales que tengan jurisdicción en el área donde se encuentra localizada la cuenca hidrográfica y del área de influencia del proyecto o el área donde este ubicada la central térmica; y los municipios y distritos localizados de la cuenca que surte el embalse de las generadoras de energía hidroeléctrica o el municipio donde este ubicada la central térmica.</t>
        </r>
      </text>
    </comment>
    <comment ref="K30" authorId="0" shapeId="0" xr:uid="{3D094DF5-3562-441B-AE1A-89D253C89041}">
      <text>
        <r>
          <rPr>
            <b/>
            <sz val="9"/>
            <color indexed="81"/>
            <rFont val="Tahoma"/>
            <family val="2"/>
          </rPr>
          <t>Usuario:</t>
        </r>
        <r>
          <rPr>
            <sz val="9"/>
            <color indexed="81"/>
            <rFont val="Tahoma"/>
            <family val="2"/>
          </rPr>
          <t xml:space="preserve">
Son los recursos por contribución del sector eléctrico a las que se refiere el artículo 45 de la Ley 99 de 1993. De acuerdo con este artículo, las empresas generadoras de energía hidroeléctrica cuya potencia nominal supera los 10.000 kilovatios, deben transferir el 6% de las ventas brutas de energía por generación propia de acuerdo con las distribuciones establecidas por la ley. En el caso de centrales térmicas el porcentaje de los recursos a transferir es del 4%. Los destinatarios de estos recursos son: las Corporaciones Autonómas Regionales o los Parques Nacionales Naturales que tengan jurisdicción en el área donde se encuentra localizada la cuenca hidrográfica y del área de influencia del proyecto o el área donde este ubicada la central térmica; y los municipios y distritos localizados de la cuenca que surte el embalse de las generadoras de energía hidroeléctrica o el municipio donde este ubicada la central térmica.</t>
        </r>
      </text>
    </comment>
    <comment ref="O31" authorId="0" shapeId="0" xr:uid="{74E7D557-F4D2-4F0F-AE4B-D38CFF9C2295}">
      <text>
        <r>
          <rPr>
            <b/>
            <sz val="9"/>
            <color indexed="81"/>
            <rFont val="Tahoma"/>
            <family val="2"/>
          </rPr>
          <t>Usuario:</t>
        </r>
        <r>
          <rPr>
            <sz val="9"/>
            <color indexed="81"/>
            <rFont val="Tahoma"/>
            <family val="2"/>
          </rPr>
          <t xml:space="preserve">
Diferencia de decimales</t>
        </r>
      </text>
    </comment>
    <comment ref="R31" authorId="0" shapeId="0" xr:uid="{AF47C0C6-1936-43A9-9F76-37B0FE35DD0B}">
      <text>
        <r>
          <rPr>
            <b/>
            <sz val="9"/>
            <color indexed="81"/>
            <rFont val="Tahoma"/>
            <family val="2"/>
          </rPr>
          <t>Usuario:</t>
        </r>
        <r>
          <rPr>
            <sz val="9"/>
            <color indexed="81"/>
            <rFont val="Tahoma"/>
            <family val="2"/>
          </rPr>
          <t xml:space="preserve">
Aumento, en junio se tenia $6.657.467.074,97
</t>
        </r>
      </text>
    </comment>
    <comment ref="T31" authorId="0" shapeId="0" xr:uid="{483A6055-592B-46A8-973F-B5DFB6B3B776}">
      <text>
        <r>
          <rPr>
            <b/>
            <sz val="9"/>
            <color indexed="81"/>
            <rFont val="Tahoma"/>
            <family val="2"/>
          </rPr>
          <t>Usuario:</t>
        </r>
        <r>
          <rPr>
            <sz val="9"/>
            <color indexed="81"/>
            <rFont val="Tahoma"/>
            <family val="2"/>
          </rPr>
          <t xml:space="preserve">
Se redujo, en junio se tenia $1.872.102.979,25</t>
        </r>
      </text>
    </comment>
    <comment ref="O32" authorId="0" shapeId="0" xr:uid="{824AF5A6-BA89-4C28-BA8A-7A4F80E4AC63}">
      <text>
        <r>
          <rPr>
            <b/>
            <sz val="9"/>
            <color indexed="81"/>
            <rFont val="Tahoma"/>
            <family val="2"/>
          </rPr>
          <t>Usuario:</t>
        </r>
        <r>
          <rPr>
            <sz val="9"/>
            <color indexed="81"/>
            <rFont val="Tahoma"/>
            <family val="2"/>
          </rPr>
          <t xml:space="preserve">
Diferencia de decimales</t>
        </r>
      </text>
    </comment>
    <comment ref="K34" authorId="0" shapeId="0" xr:uid="{DBB28142-2FE1-4534-AC45-E952CA7735D5}">
      <text>
        <r>
          <rPr>
            <b/>
            <sz val="9"/>
            <color indexed="81"/>
            <rFont val="Tahoma"/>
            <family val="2"/>
          </rPr>
          <t>Usuario:</t>
        </r>
        <r>
          <rPr>
            <sz val="9"/>
            <color indexed="81"/>
            <rFont val="Tahoma"/>
            <family val="2"/>
          </rPr>
          <t xml:space="preserve">
Son los recursos por contribución del sector eléctrico a las que se refiere el artículo 45 de la Ley 99 de 1993. De acuerdo con este artículo, las empresas generadoras de energía hidroeléctrica cuya potencia nominal supera los 10.000 kilovatios, deben transferir el 6% de las ventas brutas de energía por generación propia de acuerdo con las distribuciones establecidas por la ley. En el caso de centrales térmicas el porcentaje de los recursos a transferir es del 4%. Los destinatarios de estos recursos son: las Corporaciones Autonómas Regionales o los Parques Nacionales Naturales que tengan jurisdicción en el área donde se encuentra localizada la cuenca hidrográfica y del área de influencia del proyecto o el área donde este ubicada la central térmica; y los municipios y distritos localizados de la cuenca que surte el embalse de las generadoras de energía hidroeléctrica o el municipio donde este ubicada la central térmica.</t>
        </r>
      </text>
    </comment>
    <comment ref="K38" authorId="0" shapeId="0" xr:uid="{59CF5DF7-2D66-4BA1-AF93-E37454281091}">
      <text>
        <r>
          <rPr>
            <b/>
            <sz val="9"/>
            <color indexed="81"/>
            <rFont val="Tahoma"/>
            <family val="2"/>
          </rPr>
          <t>Usuario:</t>
        </r>
        <r>
          <rPr>
            <sz val="9"/>
            <color indexed="81"/>
            <rFont val="Tahoma"/>
            <family val="2"/>
          </rPr>
          <t xml:space="preserve">
Son los recursos que provienen como contribución de las empresas que producen energía a partir de fuentes no convencionales a las que se refiere la Ley 1715 de 2014, cuyas plantas con potencia nominal instalada total supere los 10.000 kilovatios, deben  cancelar una transferencia equivalente al 1% de las ventas brutas de energía por generación propia de acuerdo con la tarifa que para ventas en bloque señale la Comisión de Regulación de Energía y Gas (CREG).</t>
        </r>
      </text>
    </comment>
    <comment ref="K39" authorId="0" shapeId="0" xr:uid="{0F1D048D-9D0E-427A-A010-3F7C340D0ADF}">
      <text>
        <r>
          <rPr>
            <b/>
            <sz val="9"/>
            <color indexed="81"/>
            <rFont val="Tahoma"/>
            <family val="2"/>
          </rPr>
          <t>Usuario:</t>
        </r>
        <r>
          <rPr>
            <sz val="9"/>
            <color indexed="81"/>
            <rFont val="Tahoma"/>
            <family val="2"/>
          </rPr>
          <t xml:space="preserve">
Son los recursos que provienen como contribución de las empresas que producen energía a partir de fuentes no convencionales a las que se refiere la Ley 1715 de 2014, cuyas plantas con potencia nominal instalada total supere los 10.000 kilovatios, deben  cancelar una transferencia equivalente al 1% de las ventas brutas de energía por generación propia de acuerdo con la tarifa que para ventas en bloque señale la Comisión de Regulación de Energía y Gas (CREG).</t>
        </r>
      </text>
    </comment>
    <comment ref="O45" authorId="0" shapeId="0" xr:uid="{3F51C2F5-07BE-4694-9135-BEDB56C750AB}">
      <text>
        <r>
          <rPr>
            <b/>
            <sz val="9"/>
            <color indexed="81"/>
            <rFont val="Tahoma"/>
            <family val="2"/>
          </rPr>
          <t>Usuario:</t>
        </r>
        <r>
          <rPr>
            <sz val="9"/>
            <color indexed="81"/>
            <rFont val="Tahoma"/>
            <family val="2"/>
          </rPr>
          <t xml:space="preserve">
Diferencia de decimales</t>
        </r>
      </text>
    </comment>
    <comment ref="P45" authorId="0" shapeId="0" xr:uid="{3EA568B9-F316-4F12-B0C6-E14F26A6CAC1}">
      <text>
        <r>
          <rPr>
            <b/>
            <sz val="9"/>
            <color indexed="81"/>
            <rFont val="Tahoma"/>
            <family val="2"/>
          </rPr>
          <t>Usuario:</t>
        </r>
        <r>
          <rPr>
            <sz val="9"/>
            <color indexed="81"/>
            <rFont val="Tahoma"/>
            <family val="2"/>
          </rPr>
          <t xml:space="preserve">
Diferencia de decimales</t>
        </r>
      </text>
    </comment>
    <comment ref="T45" authorId="0" shapeId="0" xr:uid="{639CA40D-17B9-4602-BFE8-DE6C5FFA00EB}">
      <text>
        <r>
          <rPr>
            <b/>
            <sz val="9"/>
            <color indexed="81"/>
            <rFont val="Tahoma"/>
            <family val="2"/>
          </rPr>
          <t>Usuario:</t>
        </r>
        <r>
          <rPr>
            <sz val="9"/>
            <color indexed="81"/>
            <rFont val="Tahoma"/>
            <family val="2"/>
          </rPr>
          <t xml:space="preserve">
Diferencia de decimales</t>
        </r>
      </text>
    </comment>
    <comment ref="O50" authorId="0" shapeId="0" xr:uid="{60F1792B-087A-44E0-8C8E-6B5B2A77345E}">
      <text>
        <r>
          <rPr>
            <b/>
            <sz val="9"/>
            <color indexed="81"/>
            <rFont val="Tahoma"/>
            <family val="2"/>
          </rPr>
          <t>Usuario:</t>
        </r>
        <r>
          <rPr>
            <sz val="9"/>
            <color indexed="81"/>
            <rFont val="Tahoma"/>
            <family val="2"/>
          </rPr>
          <t xml:space="preserve">
Diferencia de decimales</t>
        </r>
      </text>
    </comment>
    <comment ref="P50" authorId="0" shapeId="0" xr:uid="{DBF3087A-A8E6-4D77-A11E-FC31CD1B41A3}">
      <text>
        <r>
          <rPr>
            <b/>
            <sz val="9"/>
            <color indexed="81"/>
            <rFont val="Tahoma"/>
            <family val="2"/>
          </rPr>
          <t>Usuario:</t>
        </r>
        <r>
          <rPr>
            <sz val="9"/>
            <color indexed="81"/>
            <rFont val="Tahoma"/>
            <family val="2"/>
          </rPr>
          <t xml:space="preserve">
Diferencia de decimales</t>
        </r>
      </text>
    </comment>
    <comment ref="T50" authorId="0" shapeId="0" xr:uid="{C9AD385A-D129-4A00-8CC5-12A3F754FB50}">
      <text>
        <r>
          <rPr>
            <b/>
            <sz val="9"/>
            <color indexed="81"/>
            <rFont val="Tahoma"/>
            <family val="2"/>
          </rPr>
          <t>Usuario:</t>
        </r>
        <r>
          <rPr>
            <sz val="9"/>
            <color indexed="81"/>
            <rFont val="Tahoma"/>
            <family val="2"/>
          </rPr>
          <t xml:space="preserve">
Diferencia de decimales</t>
        </r>
      </text>
    </comment>
    <comment ref="O53" authorId="0" shapeId="0" xr:uid="{F05AF20C-BA2C-4C6C-9F7F-2A041F9542F7}">
      <text>
        <r>
          <rPr>
            <b/>
            <sz val="9"/>
            <color indexed="81"/>
            <rFont val="Tahoma"/>
            <family val="2"/>
          </rPr>
          <t>Usuario:</t>
        </r>
        <r>
          <rPr>
            <sz val="9"/>
            <color indexed="81"/>
            <rFont val="Tahoma"/>
            <family val="2"/>
          </rPr>
          <t xml:space="preserve">
Diferencia de decimales</t>
        </r>
      </text>
    </comment>
    <comment ref="P53" authorId="0" shapeId="0" xr:uid="{EB623D29-6EAD-4DDE-A8A4-98BB7140971D}">
      <text>
        <r>
          <rPr>
            <b/>
            <sz val="9"/>
            <color indexed="81"/>
            <rFont val="Tahoma"/>
            <family val="2"/>
          </rPr>
          <t>Usuario:</t>
        </r>
        <r>
          <rPr>
            <sz val="9"/>
            <color indexed="81"/>
            <rFont val="Tahoma"/>
            <family val="2"/>
          </rPr>
          <t xml:space="preserve">
Aumentaron recursos, en junio se tenian $ 3.373.034.890,865</t>
        </r>
      </text>
    </comment>
    <comment ref="R53" authorId="0" shapeId="0" xr:uid="{AE710492-C426-41A0-829E-361A0EAE2E27}">
      <text>
        <r>
          <rPr>
            <b/>
            <sz val="9"/>
            <color indexed="81"/>
            <rFont val="Tahoma"/>
            <family val="2"/>
          </rPr>
          <t>Usuario:</t>
        </r>
        <r>
          <rPr>
            <sz val="9"/>
            <color indexed="81"/>
            <rFont val="Tahoma"/>
            <family val="2"/>
          </rPr>
          <t xml:space="preserve">
Reducción frente a reporte jun 2022, se tienan $673.672.072,63</t>
        </r>
      </text>
    </comment>
    <comment ref="T53" authorId="0" shapeId="0" xr:uid="{94A66B6A-BFFD-4ABF-B886-3A9AAD27C18A}">
      <text>
        <r>
          <rPr>
            <b/>
            <sz val="9"/>
            <color indexed="81"/>
            <rFont val="Tahoma"/>
            <family val="2"/>
          </rPr>
          <t>Usuario:</t>
        </r>
        <r>
          <rPr>
            <sz val="9"/>
            <color indexed="81"/>
            <rFont val="Tahoma"/>
            <family val="2"/>
          </rPr>
          <t xml:space="preserve">
Diferencia de decimales</t>
        </r>
      </text>
    </comment>
    <comment ref="O54" authorId="0" shapeId="0" xr:uid="{CC7A0A4A-B85F-4A1E-8AB1-994D943C28FE}">
      <text>
        <r>
          <rPr>
            <b/>
            <sz val="9"/>
            <color indexed="81"/>
            <rFont val="Tahoma"/>
            <family val="2"/>
          </rPr>
          <t>Usuario:</t>
        </r>
        <r>
          <rPr>
            <sz val="9"/>
            <color indexed="81"/>
            <rFont val="Tahoma"/>
            <family val="2"/>
          </rPr>
          <t xml:space="preserve">
Diferencia de decimales</t>
        </r>
      </text>
    </comment>
    <comment ref="P54" authorId="0" shapeId="0" xr:uid="{D47C9D57-31D6-4EF4-A161-6BF88B47ABFF}">
      <text>
        <r>
          <rPr>
            <b/>
            <sz val="9"/>
            <color indexed="81"/>
            <rFont val="Tahoma"/>
            <family val="2"/>
          </rPr>
          <t>Usuario:</t>
        </r>
        <r>
          <rPr>
            <sz val="9"/>
            <color indexed="81"/>
            <rFont val="Tahoma"/>
            <family val="2"/>
          </rPr>
          <t xml:space="preserve">
Diferencia de decimales</t>
        </r>
      </text>
    </comment>
    <comment ref="T54" authorId="0" shapeId="0" xr:uid="{295B6CFE-1B8F-4B01-9ED6-4B51202A4F92}">
      <text>
        <r>
          <rPr>
            <b/>
            <sz val="9"/>
            <color indexed="81"/>
            <rFont val="Tahoma"/>
            <family val="2"/>
          </rPr>
          <t>Usuario:</t>
        </r>
        <r>
          <rPr>
            <sz val="9"/>
            <color indexed="81"/>
            <rFont val="Tahoma"/>
            <family val="2"/>
          </rPr>
          <t xml:space="preserve">
Diferencia de decimales</t>
        </r>
      </text>
    </comment>
    <comment ref="P103" authorId="0" shapeId="0" xr:uid="{740789D2-DB2D-456A-896D-1A53187893F0}">
      <text>
        <r>
          <rPr>
            <b/>
            <sz val="9"/>
            <color indexed="81"/>
            <rFont val="Tahoma"/>
            <family val="2"/>
          </rPr>
          <t>Usuario:</t>
        </r>
        <r>
          <rPr>
            <sz val="9"/>
            <color indexed="81"/>
            <rFont val="Tahoma"/>
            <family val="2"/>
          </rPr>
          <t xml:space="preserve">
Cambio distribución frente a lo registrado en junio 2022, donde se tenian el 90% para inversión y el 10% para FCA</t>
        </r>
      </text>
    </comment>
    <comment ref="R103" authorId="0" shapeId="0" xr:uid="{6DE01F4A-392D-4F0C-AC95-D7C2DD90CD80}">
      <text>
        <r>
          <rPr>
            <b/>
            <sz val="9"/>
            <color indexed="81"/>
            <rFont val="Tahoma"/>
            <family val="2"/>
          </rPr>
          <t>Usuario:</t>
        </r>
        <r>
          <rPr>
            <sz val="9"/>
            <color indexed="81"/>
            <rFont val="Tahoma"/>
            <family val="2"/>
          </rPr>
          <t xml:space="preserve">
Revisar se redujo frente a lo registrado en junio, pero hubo pagos.</t>
        </r>
      </text>
    </comment>
    <comment ref="P104" authorId="0" shapeId="0" xr:uid="{6038A9DD-8448-4061-B044-37D67AA91D89}">
      <text>
        <r>
          <rPr>
            <b/>
            <sz val="9"/>
            <color indexed="81"/>
            <rFont val="Tahoma"/>
            <family val="2"/>
          </rPr>
          <t>Usuario:</t>
        </r>
        <r>
          <rPr>
            <sz val="9"/>
            <color indexed="81"/>
            <rFont val="Tahoma"/>
            <family val="2"/>
          </rPr>
          <t xml:space="preserve">
Cambio distribución frente a lo registrado en junio 2022, donde se tenian el 90% para inversión y el 10% para FCA</t>
        </r>
      </text>
    </comment>
    <comment ref="R104" authorId="0" shapeId="0" xr:uid="{6DB36FDF-C423-4C92-9C76-FA617DF1B821}">
      <text>
        <r>
          <rPr>
            <b/>
            <sz val="9"/>
            <color indexed="81"/>
            <rFont val="Tahoma"/>
            <family val="2"/>
          </rPr>
          <t>Usuario:</t>
        </r>
        <r>
          <rPr>
            <sz val="9"/>
            <color indexed="81"/>
            <rFont val="Tahoma"/>
            <family val="2"/>
          </rPr>
          <t xml:space="preserve">
Revisar se redujo frente a lo registrado en junio, pero hubo pagos.</t>
        </r>
      </text>
    </comment>
    <comment ref="O107" authorId="0" shapeId="0" xr:uid="{D9D64B31-0CE1-4DAF-9576-3AD8DD3B023C}">
      <text>
        <r>
          <rPr>
            <b/>
            <sz val="9"/>
            <color indexed="81"/>
            <rFont val="Tahoma"/>
            <family val="2"/>
          </rPr>
          <t>Usuario:</t>
        </r>
        <r>
          <rPr>
            <sz val="9"/>
            <color indexed="81"/>
            <rFont val="Tahoma"/>
            <family val="2"/>
          </rPr>
          <t xml:space="preserve">
Resolución 0501 de 2022. Traslado presupuesto para funcionamiento. Revisar</t>
        </r>
      </text>
    </comment>
    <comment ref="K196" authorId="0" shapeId="0" xr:uid="{0F934A8D-90F8-49A2-89D1-4779ED0D95A6}">
      <text>
        <r>
          <rPr>
            <b/>
            <sz val="9"/>
            <color indexed="81"/>
            <rFont val="Tahoma"/>
            <family val="2"/>
          </rPr>
          <t>Usuario:</t>
        </r>
        <r>
          <rPr>
            <sz val="9"/>
            <color indexed="81"/>
            <rFont val="Tahoma"/>
            <family val="2"/>
          </rPr>
          <t xml:space="preserve">
Son las transferencias de recursos del porcentaje del total del recaudo por concepto del impuesto predial que realizan los municipios a las corporaciones autónomas regionales presentes en su jurisdicción, en los términos que establece el artículo 44 de la Ley 99 de 1993 y el Decreto 1339 de 1994 que reglamenta la Ley.</t>
        </r>
      </text>
    </comment>
    <comment ref="K369" authorId="0" shapeId="0" xr:uid="{40171F53-6A66-4CB3-8559-1088DAC9F069}">
      <text>
        <r>
          <rPr>
            <b/>
            <sz val="9"/>
            <color indexed="81"/>
            <rFont val="Tahoma"/>
            <family val="2"/>
          </rPr>
          <t>Usuario:</t>
        </r>
        <r>
          <rPr>
            <sz val="9"/>
            <color indexed="81"/>
            <rFont val="Tahoma"/>
            <family val="2"/>
          </rPr>
          <t xml:space="preserve">
resolución 0501 de 2022. Adición de 5.500 mill. </t>
        </r>
      </text>
    </comment>
    <comment ref="M369" authorId="0" shapeId="0" xr:uid="{3449F651-835F-458A-926C-54D7FF3DBB87}">
      <text>
        <r>
          <rPr>
            <b/>
            <sz val="9"/>
            <color indexed="81"/>
            <rFont val="Tahoma"/>
            <family val="2"/>
          </rPr>
          <t>Usuario:</t>
        </r>
        <r>
          <rPr>
            <sz val="9"/>
            <color indexed="81"/>
            <rFont val="Tahoma"/>
            <family val="2"/>
          </rPr>
          <t xml:space="preserve">
Se adicionan por  Entidades financieras y otros $8000 mill,</t>
        </r>
      </text>
    </comment>
    <comment ref="K371" authorId="0" shapeId="0" xr:uid="{0DBD85FA-0340-42AC-B617-7F94B746EAD1}">
      <text>
        <r>
          <rPr>
            <b/>
            <sz val="9"/>
            <color indexed="81"/>
            <rFont val="Tahoma"/>
            <family val="2"/>
          </rPr>
          <t>Usuario:</t>
        </r>
        <r>
          <rPr>
            <sz val="9"/>
            <color indexed="81"/>
            <rFont val="Tahoma"/>
            <family val="2"/>
          </rPr>
          <t xml:space="preserve">
Fuente nueva, se debe crear en CARdinal</t>
        </r>
      </text>
    </comment>
    <comment ref="K402" authorId="0" shapeId="0" xr:uid="{7CC4EFD7-506B-498F-877D-A679B08FDDD0}">
      <text>
        <r>
          <rPr>
            <b/>
            <sz val="9"/>
            <color indexed="81"/>
            <rFont val="Tahoma"/>
            <family val="2"/>
          </rPr>
          <t>Usuario:</t>
        </r>
        <r>
          <rPr>
            <sz val="9"/>
            <color indexed="81"/>
            <rFont val="Tahoma"/>
            <family val="2"/>
          </rPr>
          <t xml:space="preserve">
Fuente nueva, se debe crear en CARdinal</t>
        </r>
      </text>
    </comment>
    <comment ref="K602" authorId="1" shapeId="0" xr:uid="{BF72BBA8-2535-4B10-BC04-658F7B6FCA7A}">
      <text>
        <r>
          <rPr>
            <b/>
            <sz val="9"/>
            <color indexed="81"/>
            <rFont val="Tahoma"/>
            <family val="2"/>
          </rPr>
          <t>IVAN DARIO RAMIREZ B:</t>
        </r>
        <r>
          <rPr>
            <sz val="9"/>
            <color indexed="81"/>
            <rFont val="Tahoma"/>
            <family val="2"/>
          </rPr>
          <t xml:space="preserve">
aprovecamiento de parques caso CAR</t>
        </r>
      </text>
    </comment>
    <comment ref="K614" authorId="1" shapeId="0" xr:uid="{007ECE07-1487-4C3E-867B-1C5F8A6C0788}">
      <text>
        <r>
          <rPr>
            <b/>
            <sz val="9"/>
            <color indexed="81"/>
            <rFont val="Tahoma"/>
            <family val="2"/>
          </rPr>
          <t>IVAN DARIO RAMIREZ B:</t>
        </r>
        <r>
          <rPr>
            <sz val="9"/>
            <color indexed="81"/>
            <rFont val="Tahoma"/>
            <family val="2"/>
          </rPr>
          <t>CAR CVC Arriendos</t>
        </r>
      </text>
    </comment>
    <comment ref="K905" authorId="1" shapeId="0" xr:uid="{02729AD9-0B24-45CE-BAF2-CB5C9B1FCDAA}">
      <text>
        <r>
          <rPr>
            <b/>
            <sz val="9"/>
            <color indexed="81"/>
            <rFont val="Tahoma"/>
            <family val="2"/>
          </rPr>
          <t>IVAN DARIO RAMIREZ B:</t>
        </r>
        <r>
          <rPr>
            <sz val="9"/>
            <color indexed="81"/>
            <rFont val="Tahoma"/>
            <family val="2"/>
          </rPr>
          <t xml:space="preserve">
A dónde se incluyen los convenios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Usuario</author>
    <author>tc={B5E11FDD-249A-46D7-9EB8-032219DE3320}</author>
    <author/>
  </authors>
  <commentList>
    <comment ref="AO5" authorId="0" shapeId="0" xr:uid="{62513A71-B495-4F4A-AE79-CC37A4510B7B}">
      <text>
        <r>
          <rPr>
            <b/>
            <sz val="9"/>
            <color indexed="81"/>
            <rFont val="Tahoma"/>
            <family val="2"/>
          </rPr>
          <t>Usuario:</t>
        </r>
        <r>
          <rPr>
            <sz val="9"/>
            <color indexed="81"/>
            <rFont val="Tahoma"/>
            <family val="2"/>
          </rPr>
          <t xml:space="preserve">
El indicador seleccionado es coherente con la actividad. Esta articulación fue aprobada por la instancia correspondiente?</t>
        </r>
      </text>
    </comment>
    <comment ref="J6" authorId="1" shapeId="0" xr:uid="{F14E95E7-05C3-4D0D-B8D4-FCFE29CFC5F7}">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El diligenciamiento de la información correspondiente a la relación de evidencias que soportan la ejecución de cada una de las actividades, ubicada en las columnas K a la R del Anexo 1, es opcional para el reporte de la vigencia 2021.</t>
        </r>
      </text>
    </comment>
    <comment ref="K6" authorId="0" shapeId="0" xr:uid="{0B0A52D8-2F4F-4661-823B-8C36E31FB87D}">
      <text>
        <r>
          <rPr>
            <b/>
            <sz val="9"/>
            <color indexed="81"/>
            <rFont val="Tahoma"/>
            <family val="2"/>
          </rPr>
          <t>Usuario:</t>
        </r>
        <r>
          <rPr>
            <sz val="9"/>
            <color indexed="81"/>
            <rFont val="Tahoma"/>
            <family val="2"/>
          </rPr>
          <t xml:space="preserve">
Fecha en la cual se hace el registro de la evidencia</t>
        </r>
      </text>
    </comment>
    <comment ref="L6" authorId="0" shapeId="0" xr:uid="{4F92BA5D-4D1F-47D8-ADD4-5BCDCAA4A04D}">
      <text>
        <r>
          <rPr>
            <b/>
            <sz val="9"/>
            <color indexed="81"/>
            <rFont val="Tahoma"/>
            <family val="2"/>
          </rPr>
          <t>Usuario:</t>
        </r>
        <r>
          <rPr>
            <sz val="9"/>
            <color indexed="81"/>
            <rFont val="Tahoma"/>
            <family val="2"/>
          </rPr>
          <t xml:space="preserve">
Seleccionar si es contrato o funcionamiento </t>
        </r>
      </text>
    </comment>
    <comment ref="M6" authorId="0" shapeId="0" xr:uid="{4445E15E-E18B-41DC-9A0F-BA0B8C2A5727}">
      <text>
        <r>
          <rPr>
            <b/>
            <sz val="9"/>
            <color indexed="81"/>
            <rFont val="Tahoma"/>
            <family val="2"/>
          </rPr>
          <t>Usuario:</t>
        </r>
        <r>
          <rPr>
            <sz val="9"/>
            <color indexed="81"/>
            <rFont val="Tahoma"/>
            <family val="2"/>
          </rPr>
          <t xml:space="preserve">
Si en tipo de evidencia se selecciona funcionamiento, se debe  escribir como se realizó la actividad</t>
        </r>
      </text>
    </comment>
    <comment ref="N6" authorId="0" shapeId="0" xr:uid="{F2D50572-B8D9-484F-A812-97D87316A2A3}">
      <text>
        <r>
          <rPr>
            <b/>
            <sz val="9"/>
            <color indexed="81"/>
            <rFont val="Tahoma"/>
            <family val="2"/>
          </rPr>
          <t>Usuario:</t>
        </r>
        <r>
          <rPr>
            <sz val="9"/>
            <color indexed="81"/>
            <rFont val="Tahoma"/>
            <family val="2"/>
          </rPr>
          <t xml:space="preserve">
Solo si en tipo de evidencia  selecciona la opción contrato, debe indicar el estado en que se encuentra de acuerdo a la lista desplegable. </t>
        </r>
      </text>
    </comment>
    <comment ref="O6" authorId="0" shapeId="0" xr:uid="{0880F746-79C9-4DBC-807B-EF4345D017C6}">
      <text>
        <r>
          <rPr>
            <b/>
            <sz val="9"/>
            <color indexed="81"/>
            <rFont val="Tahoma"/>
            <family val="2"/>
          </rPr>
          <t>Usuario:</t>
        </r>
        <r>
          <rPr>
            <sz val="9"/>
            <color indexed="81"/>
            <rFont val="Tahoma"/>
            <family val="2"/>
          </rPr>
          <t xml:space="preserve">
Solo si en tipo de evidencia  selecciona la opción contrato, ingrese la información del número de contrato. Si son varios, separelos con una coma.</t>
        </r>
      </text>
    </comment>
    <comment ref="P6" authorId="0" shapeId="0" xr:uid="{331598BA-ED5A-4758-B945-01A1DD076F60}">
      <text>
        <r>
          <rPr>
            <b/>
            <sz val="9"/>
            <color indexed="81"/>
            <rFont val="Tahoma"/>
            <family val="2"/>
          </rPr>
          <t>Usuario:</t>
        </r>
        <r>
          <rPr>
            <sz val="9"/>
            <color indexed="81"/>
            <rFont val="Tahoma"/>
            <family val="2"/>
          </rPr>
          <t xml:space="preserve">
• Es obligatorio asociar valor si se celebro un contrato, en caso contrario, es opcional el indicar o no, el valor que va a gastar en la actividad</t>
        </r>
      </text>
    </comment>
    <comment ref="Q6" authorId="0" shapeId="0" xr:uid="{7B043089-2D50-47F2-820A-F644561A0018}">
      <text>
        <r>
          <rPr>
            <b/>
            <sz val="9"/>
            <color indexed="81"/>
            <rFont val="Tahoma"/>
            <family val="2"/>
          </rPr>
          <t>Usuario:</t>
        </r>
        <r>
          <rPr>
            <sz val="9"/>
            <color indexed="81"/>
            <rFont val="Tahoma"/>
            <family val="2"/>
          </rPr>
          <t xml:space="preserve">
Indique el valor pagado por la actividad a la fecha del reporte.</t>
        </r>
      </text>
    </comment>
    <comment ref="R6" authorId="0" shapeId="0" xr:uid="{7B57BE8B-3B70-46AB-85CA-8F36D6A0EEC3}">
      <text>
        <r>
          <rPr>
            <b/>
            <sz val="9"/>
            <color indexed="81"/>
            <rFont val="Tahoma"/>
            <family val="2"/>
          </rPr>
          <t>Usuario:</t>
        </r>
        <r>
          <rPr>
            <sz val="9"/>
            <color indexed="81"/>
            <rFont val="Tahoma"/>
            <family val="2"/>
          </rPr>
          <t xml:space="preserve">
Indique la fecha en la cual se realizó el pago. </t>
        </r>
      </text>
    </comment>
    <comment ref="V6" authorId="0" shapeId="0" xr:uid="{B1DFA8C4-BF38-4C2F-AB22-65D9C0785DDF}">
      <text>
        <r>
          <rPr>
            <b/>
            <sz val="9"/>
            <color indexed="81"/>
            <rFont val="Tahoma"/>
            <family val="2"/>
          </rPr>
          <t>Usuario:</t>
        </r>
        <r>
          <rPr>
            <sz val="9"/>
            <color indexed="81"/>
            <rFont val="Tahoma"/>
            <family val="2"/>
          </rPr>
          <t xml:space="preserve">
Para el cálculo de avance de las líneas, programas y proyectos se debe tener en cuenta el valor de ponderación global  13</t>
        </r>
      </text>
    </comment>
    <comment ref="W6" authorId="0" shapeId="0" xr:uid="{FF3CAC0A-757C-4FC7-A224-C4FB27F259C6}">
      <text>
        <r>
          <rPr>
            <b/>
            <sz val="9"/>
            <color indexed="81"/>
            <rFont val="Tahoma"/>
            <family val="2"/>
          </rPr>
          <t>Usuario:</t>
        </r>
        <r>
          <rPr>
            <sz val="9"/>
            <color indexed="81"/>
            <rFont val="Tahoma"/>
            <family val="2"/>
          </rPr>
          <t xml:space="preserve">
Ponderación definida para todo el periodo administrativo (2020-2023)</t>
        </r>
      </text>
    </comment>
    <comment ref="X6" authorId="0" shapeId="0" xr:uid="{ADE84F28-B1AB-4F35-A300-74C4B016A3BE}">
      <text>
        <r>
          <rPr>
            <b/>
            <sz val="9"/>
            <color indexed="81"/>
            <rFont val="Tahoma"/>
            <family val="2"/>
          </rPr>
          <t>Usuario:</t>
        </r>
        <r>
          <rPr>
            <sz val="9"/>
            <color indexed="81"/>
            <rFont val="Tahoma"/>
            <family val="2"/>
          </rPr>
          <t xml:space="preserve">
Indique el valor de las ponderaciones o pesos definidos para cada uno de los componente del PAI en la vigencia objeto de reporte. Si hay actividades que no tienen meta asociada para el periodo el valor de distribución de las ponderaciones debe distribuirse de forma proporcional entre las actividades que si tienen meta para la vigencia.</t>
        </r>
      </text>
    </comment>
    <comment ref="AI6" authorId="0" shapeId="0" xr:uid="{1DD57A7C-B402-4801-AF1E-3A02F3BD1B65}">
      <text>
        <r>
          <rPr>
            <b/>
            <sz val="9"/>
            <color indexed="81"/>
            <rFont val="Tahoma"/>
            <family val="2"/>
          </rPr>
          <t>Usuario:</t>
        </r>
        <r>
          <rPr>
            <sz val="9"/>
            <color indexed="81"/>
            <rFont val="Tahoma"/>
            <family val="2"/>
          </rPr>
          <t xml:space="preserve">
Se hace validación de información con la matriz de reporte del sem I del 2021, atendiendo la aclaración realizada por la CRA. Se deja en letra roja los valores que cambiaron.</t>
        </r>
      </text>
    </comment>
    <comment ref="AK6" authorId="0" shapeId="0" xr:uid="{C49A795B-8CF8-4EF1-9800-A5734A56A6FD}">
      <text>
        <r>
          <rPr>
            <b/>
            <sz val="9"/>
            <color indexed="81"/>
            <rFont val="Tahoma"/>
            <family val="2"/>
          </rPr>
          <t>Usuario:</t>
        </r>
        <r>
          <rPr>
            <sz val="9"/>
            <color indexed="81"/>
            <rFont val="Tahoma"/>
            <family val="2"/>
          </rPr>
          <t xml:space="preserve">
Se modifican automaticamente valores con los cambios que se incorporan en la columna N° 22</t>
        </r>
      </text>
    </comment>
    <comment ref="AF8" authorId="0" shapeId="0" xr:uid="{9B962EF9-F6B1-42CA-991C-F24376999F61}">
      <text>
        <r>
          <rPr>
            <b/>
            <sz val="9"/>
            <color indexed="81"/>
            <rFont val="Tahoma"/>
            <family val="2"/>
          </rPr>
          <t>Usuario:</t>
        </r>
        <r>
          <rPr>
            <sz val="9"/>
            <color indexed="81"/>
            <rFont val="Tahoma"/>
            <family val="2"/>
          </rPr>
          <t xml:space="preserve">
revisar, no coincide con dato de informe 2020 debido a diferencia en proyecto 1.2.2.</t>
        </r>
      </text>
    </comment>
    <comment ref="AO11" authorId="2" shapeId="0" xr:uid="{E61A9EEE-280D-481B-80EB-2B3A2576CDA6}">
      <text>
        <r>
          <rPr>
            <sz val="11"/>
            <color theme="1"/>
            <rFont val="Arial"/>
            <family val="2"/>
          </rPr>
          <t xml:space="preserve">En Anexo 19 del PAI tenian asociado el indicador ODS: Porcentaje del cambio en la extensión de los ecosistemas relacionados con el agua a lo largo del tiempo. No obstante creo que el aporte se hace más hacia: Grado de aplicación de la ordenación integrada de los recursos hídricos (0-100)
</t>
        </r>
      </text>
    </comment>
    <comment ref="AO13" authorId="2" shapeId="0" xr:uid="{FC3C8F7F-CF4E-46F8-8281-2437A9B8658E}">
      <text>
        <r>
          <rPr>
            <sz val="11"/>
            <color theme="1"/>
            <rFont val="Arial"/>
            <family val="2"/>
          </rPr>
          <t xml:space="preserve">En Anexo 19 del PAI tenian asociado el indicador ODS: Porcentaje del cambio en la extensión de los ecosistemas relacionados con el agua a lo largo del tiempo. No obstante creo que el aporte se hace más hacia: Grado de aplicación de la ordenación integrada de los recursos hídricos (0-100)
</t>
        </r>
      </text>
    </comment>
    <comment ref="AO16" authorId="2" shapeId="0" xr:uid="{7E83A34B-6062-40D7-A27D-76052ADA4969}">
      <text>
        <r>
          <rPr>
            <sz val="11"/>
            <color theme="1"/>
            <rFont val="Arial"/>
            <family val="2"/>
          </rPr>
          <t xml:space="preserve">En Anexo 19 del PAI tenian asociado el indicador ODS: Porcentaje del cambio en la extensión de los ecosistemas relacionados con el agua a lo largo del tiempo. No obstante creo que el aporte se hace más hacia: Grado de aplicación de la ordenación integrada de los recursos hídricos (0-100)
</t>
        </r>
      </text>
    </comment>
    <comment ref="Y19" authorId="0" shapeId="0" xr:uid="{041952B2-9D7D-496C-826F-CACBEBEFA126}">
      <text>
        <r>
          <rPr>
            <b/>
            <sz val="9"/>
            <color indexed="81"/>
            <rFont val="Tahoma"/>
            <family val="2"/>
          </rPr>
          <t>Usuario:</t>
        </r>
        <r>
          <rPr>
            <sz val="9"/>
            <color indexed="81"/>
            <rFont val="Tahoma"/>
            <family val="2"/>
          </rPr>
          <t xml:space="preserve">
Revisar, no hay meta para este año</t>
        </r>
      </text>
    </comment>
    <comment ref="AO19" authorId="2" shapeId="0" xr:uid="{A537E887-5185-46EC-8F3F-EF340D6843B0}">
      <text>
        <r>
          <rPr>
            <sz val="11"/>
            <color theme="1"/>
            <rFont val="Arial"/>
            <family val="2"/>
          </rPr>
          <t xml:space="preserve">En Anexo 19 del PAI tenian asociado el indicador ODS: Porcentaje del cambio en la extensión de los ecosistemas relacionados con el agua a lo largo del tiempo. No obstante creo que el aporte se hace más hacia:  Nivel de estrés hídrico: extracción de agua dulce como proporción de los recursos de agua dulce disponibles
</t>
        </r>
      </text>
    </comment>
    <comment ref="AO20" authorId="2" shapeId="0" xr:uid="{56380FB0-C5BC-40D9-8DB9-88673E65DE22}">
      <text>
        <r>
          <rPr>
            <sz val="11"/>
            <color theme="1"/>
            <rFont val="Arial"/>
            <family val="2"/>
          </rPr>
          <t xml:space="preserve">En Anexo 19 del PAI tenian asociado el indicador ODS: Porcentaje del cambio en la extensión de los ecosistemas relacionados con el agua a lo largo del tiempo. No obstante creo que el aporte se hace más hacia: Grado de aplicación de la ordenación integrada de los recursos hídricos (0-100)
</t>
        </r>
      </text>
    </comment>
    <comment ref="AO21" authorId="2" shapeId="0" xr:uid="{23905CD5-A092-4926-BD31-E5985E3C001E}">
      <text>
        <r>
          <rPr>
            <sz val="11"/>
            <color theme="1"/>
            <rFont val="Arial"/>
            <family val="2"/>
          </rPr>
          <t xml:space="preserve">En Anexo 19 del PAI tenian asociado el indicador ODS: Porcentaje del cambio en la extensión de los ecosistemas relacionados con el agua a lo largo del tiempo. No obstante creo que el aporte se hace más hacia: Grado de aplicación de la ordenación integrada de los recursos hídricos (0-100)
</t>
        </r>
      </text>
    </comment>
    <comment ref="AO22" authorId="2" shapeId="0" xr:uid="{6DF181BC-BB8E-43B7-B977-D9FC5EA91702}">
      <text>
        <r>
          <rPr>
            <sz val="11"/>
            <color theme="1"/>
            <rFont val="Arial"/>
            <family val="2"/>
          </rPr>
          <t xml:space="preserve">En Anexo 19 del PAI tenian asociado el indicador ODS: Porcentaje del cambio en la extensión de los ecosistemas relacionados con el agua a lo largo del tiempo. No obstante creo que el aporte se hace más hacia: Grado de aplicación de la ordenación integrada de los recursos hídricos (0-100)
</t>
        </r>
      </text>
    </comment>
    <comment ref="J27" authorId="0" shapeId="0" xr:uid="{B103750F-1A19-4DF1-A9B9-4BA6B32F3E68}">
      <text>
        <r>
          <rPr>
            <b/>
            <sz val="9"/>
            <color indexed="81"/>
            <rFont val="Tahoma"/>
            <family val="2"/>
          </rPr>
          <t>Usuario:</t>
        </r>
        <r>
          <rPr>
            <sz val="9"/>
            <color indexed="81"/>
            <rFont val="Tahoma"/>
            <family val="2"/>
          </rPr>
          <t xml:space="preserve">
Revisar respecto al avance.</t>
        </r>
      </text>
    </comment>
    <comment ref="AO31" authorId="2" shapeId="0" xr:uid="{8EB83AD3-50E4-4745-B666-67D967CC6E7D}">
      <text>
        <r>
          <rPr>
            <sz val="11"/>
            <color theme="1"/>
            <rFont val="Arial"/>
            <family val="2"/>
          </rPr>
          <t xml:space="preserve">En Anexo 19 del PAI tenian asociado el indicador ODS: Porcentaje del cambio en la extensión de los ecosistemas relacionados con el agua a lo largo del tiempo. No obstante creo que el aporte se hace más hacia el que aqui se indica
</t>
        </r>
      </text>
    </comment>
    <comment ref="E34" authorId="0" shapeId="0" xr:uid="{E2CE6616-AEBA-4E5D-BF48-519078AFEF88}">
      <text>
        <r>
          <rPr>
            <b/>
            <sz val="9"/>
            <color indexed="81"/>
            <rFont val="Tahoma"/>
            <family val="2"/>
          </rPr>
          <t>Usuario:</t>
        </r>
        <r>
          <rPr>
            <sz val="9"/>
            <color indexed="81"/>
            <rFont val="Tahoma"/>
            <family val="2"/>
          </rPr>
          <t xml:space="preserve">
25 PUEAA/152 Usuarios</t>
        </r>
      </text>
    </comment>
    <comment ref="J35" authorId="0" shapeId="0" xr:uid="{A641A936-AA98-46E8-9A5A-22A25C342448}">
      <text>
        <r>
          <rPr>
            <b/>
            <sz val="9"/>
            <color indexed="81"/>
            <rFont val="Tahoma"/>
            <family val="2"/>
          </rPr>
          <t>Usuario:</t>
        </r>
        <r>
          <rPr>
            <sz val="9"/>
            <color indexed="81"/>
            <rFont val="Tahoma"/>
            <family val="2"/>
          </rPr>
          <t xml:space="preserve">
El seguimiento que se realiza es a la concesión o al PUEAA?. Cuantos con PUEAA?</t>
        </r>
      </text>
    </comment>
    <comment ref="AO36" authorId="2" shapeId="0" xr:uid="{58BEBC8D-43EA-41B0-A48B-9B9432C08C26}">
      <text>
        <r>
          <rPr>
            <sz val="11"/>
            <color theme="1"/>
            <rFont val="Arial"/>
            <family val="2"/>
          </rPr>
          <t xml:space="preserve">Esta actividad no la tienen articulada a ningún ODS pero la meta podría estar asociada al indicador 144
</t>
        </r>
      </text>
    </comment>
    <comment ref="AF37" authorId="0" shapeId="0" xr:uid="{7EF249C8-0E99-457C-97B7-D8C8F0710A90}">
      <text>
        <r>
          <rPr>
            <b/>
            <sz val="9"/>
            <color indexed="81"/>
            <rFont val="Tahoma"/>
            <family val="2"/>
          </rPr>
          <t>Usuario:</t>
        </r>
        <r>
          <rPr>
            <sz val="9"/>
            <color indexed="81"/>
            <rFont val="Tahoma"/>
            <family val="2"/>
          </rPr>
          <t xml:space="preserve">
En reporte 2020 se registra para este proyecto $829.142.980</t>
        </r>
      </text>
    </comment>
    <comment ref="AK37" authorId="0" shapeId="0" xr:uid="{B65428CC-1EAE-4D69-9083-CBD3DC203A44}">
      <text>
        <r>
          <rPr>
            <b/>
            <sz val="9"/>
            <color indexed="81"/>
            <rFont val="Tahoma"/>
            <family val="2"/>
          </rPr>
          <t>Usuario:</t>
        </r>
        <r>
          <rPr>
            <sz val="9"/>
            <color indexed="81"/>
            <rFont val="Tahoma"/>
            <family val="2"/>
          </rPr>
          <t xml:space="preserve">
Ajustado a formato porcentaje</t>
        </r>
      </text>
    </comment>
    <comment ref="AF38" authorId="0" shapeId="0" xr:uid="{929E6480-2FD3-41A0-9CD5-B96E6379F8DB}">
      <text>
        <r>
          <rPr>
            <b/>
            <sz val="9"/>
            <color indexed="81"/>
            <rFont val="Tahoma"/>
            <family val="2"/>
          </rPr>
          <t>Usuario:</t>
        </r>
        <r>
          <rPr>
            <sz val="9"/>
            <color indexed="81"/>
            <rFont val="Tahoma"/>
            <family val="2"/>
          </rPr>
          <t xml:space="preserve">
En informe 2020 tienen registrado 17.750.000</t>
        </r>
      </text>
    </comment>
    <comment ref="AO38" authorId="2" shapeId="0" xr:uid="{E84B42C3-C00E-43A2-A5BD-C73EBAF9D706}">
      <text>
        <r>
          <rPr>
            <sz val="11"/>
            <color theme="1"/>
            <rFont val="Arial"/>
            <family val="2"/>
          </rPr>
          <t xml:space="preserve">Lo articulan con la meta: Aumentar considerablemente el uso eficiente de los recursos hídricos en todos los sectores al 2030
</t>
        </r>
      </text>
    </comment>
    <comment ref="AF39" authorId="0" shapeId="0" xr:uid="{DD171182-24D5-4EB5-8E70-39740F9835B9}">
      <text>
        <r>
          <rPr>
            <b/>
            <sz val="9"/>
            <color indexed="81"/>
            <rFont val="Tahoma"/>
            <family val="2"/>
          </rPr>
          <t>Usuario:</t>
        </r>
        <r>
          <rPr>
            <sz val="9"/>
            <color indexed="81"/>
            <rFont val="Tahoma"/>
            <family val="2"/>
          </rPr>
          <t xml:space="preserve">
No corresponde con lo reportado en 2020</t>
        </r>
      </text>
    </comment>
    <comment ref="AO39" authorId="2" shapeId="0" xr:uid="{85C9DC75-F437-4405-A315-936575BFB01E}">
      <text>
        <r>
          <rPr>
            <sz val="11"/>
            <color theme="1"/>
            <rFont val="Arial"/>
            <family val="2"/>
          </rPr>
          <t xml:space="preserve">Estas actividades no las encontre articuladas a ODS en el Anexo 19
</t>
        </r>
      </text>
    </comment>
    <comment ref="AD45" authorId="0" shapeId="0" xr:uid="{4D87933E-2B81-4FCE-88D3-AD1CAC5070DD}">
      <text>
        <r>
          <rPr>
            <b/>
            <sz val="9"/>
            <color indexed="81"/>
            <rFont val="Tahoma"/>
            <family val="2"/>
          </rPr>
          <t>Usuario:</t>
        </r>
        <r>
          <rPr>
            <sz val="9"/>
            <color indexed="81"/>
            <rFont val="Tahoma"/>
            <family val="2"/>
          </rPr>
          <t xml:space="preserve">
se ajusto formato a %</t>
        </r>
      </text>
    </comment>
    <comment ref="AO51" authorId="2" shapeId="0" xr:uid="{2F55A526-0197-4C21-8642-6F36BC20D21B}">
      <text>
        <r>
          <rPr>
            <sz val="11"/>
            <color theme="1"/>
            <rFont val="Arial"/>
            <family val="2"/>
          </rPr>
          <t xml:space="preserve">Es el indicadores asociado a la meta del ODS con el que se articulo
</t>
        </r>
      </text>
    </comment>
    <comment ref="AO52" authorId="2" shapeId="0" xr:uid="{6C118A19-35BE-4B80-8C5D-E3371249F089}">
      <text>
        <r>
          <rPr>
            <sz val="11"/>
            <color theme="1"/>
            <rFont val="Arial"/>
            <family val="2"/>
          </rPr>
          <t xml:space="preserve">Es el indicadores asociado a la meta del ODS con el que se articulo
</t>
        </r>
      </text>
    </comment>
    <comment ref="AO53" authorId="2" shapeId="0" xr:uid="{457382FE-442D-4643-89D9-ADE6429321B3}">
      <text>
        <r>
          <rPr>
            <sz val="11"/>
            <color theme="1"/>
            <rFont val="Arial"/>
            <family val="2"/>
          </rPr>
          <t xml:space="preserve">Es el indicadores asociado a la meta del ODS con el que se articulo
</t>
        </r>
      </text>
    </comment>
    <comment ref="AO54" authorId="2" shapeId="0" xr:uid="{AAD9C23A-BCB5-4EC3-BDBD-6305D4427E20}">
      <text>
        <r>
          <rPr>
            <sz val="11"/>
            <color theme="1"/>
            <rFont val="Arial"/>
            <family val="2"/>
          </rPr>
          <t xml:space="preserve">Es el indicadores asociado a la meta del ODS con el que se articulo
</t>
        </r>
      </text>
    </comment>
    <comment ref="AF56" authorId="0" shapeId="0" xr:uid="{DCC4BB49-1128-4B72-A095-AA7E317E7F2F}">
      <text>
        <r>
          <rPr>
            <b/>
            <sz val="9"/>
            <color indexed="81"/>
            <rFont val="Tahoma"/>
            <family val="2"/>
          </rPr>
          <t>Usuario:</t>
        </r>
        <r>
          <rPr>
            <sz val="9"/>
            <color indexed="81"/>
            <rFont val="Tahoma"/>
            <family val="2"/>
          </rPr>
          <t xml:space="preserve">
Informe 2020: $1.574.061.216. Difiere por proyecto 2.1.1.</t>
        </r>
      </text>
    </comment>
    <comment ref="AF58" authorId="0" shapeId="0" xr:uid="{19268D3F-C341-427E-BA68-9DB9E4D0413E}">
      <text>
        <r>
          <rPr>
            <b/>
            <sz val="9"/>
            <color indexed="81"/>
            <rFont val="Tahoma"/>
            <family val="2"/>
          </rPr>
          <t>Usuario:</t>
        </r>
        <r>
          <rPr>
            <sz val="9"/>
            <color indexed="81"/>
            <rFont val="Tahoma"/>
            <family val="2"/>
          </rPr>
          <t xml:space="preserve">
Informe 2020: 65.662.916</t>
        </r>
      </text>
    </comment>
    <comment ref="AD60" authorId="0" shapeId="0" xr:uid="{51C884E2-A5F7-4F88-9644-393F53A616CB}">
      <text>
        <r>
          <rPr>
            <b/>
            <sz val="9"/>
            <color indexed="81"/>
            <rFont val="Tahoma"/>
            <family val="2"/>
          </rPr>
          <t>Usuario:</t>
        </r>
        <r>
          <rPr>
            <sz val="9"/>
            <color indexed="81"/>
            <rFont val="Tahoma"/>
            <family val="2"/>
          </rPr>
          <t xml:space="preserve">
se ajusto formato a %</t>
        </r>
      </text>
    </comment>
    <comment ref="Z62" authorId="0" shapeId="0" xr:uid="{10388478-05F6-4AFD-B6AF-B66002B0E293}">
      <text>
        <r>
          <rPr>
            <b/>
            <sz val="9"/>
            <color indexed="81"/>
            <rFont val="Tahoma"/>
            <family val="2"/>
          </rPr>
          <t>Usuario:</t>
        </r>
        <r>
          <rPr>
            <sz val="9"/>
            <color indexed="81"/>
            <rFont val="Tahoma"/>
            <family val="2"/>
          </rPr>
          <t xml:space="preserve">
No hay meta</t>
        </r>
      </text>
    </comment>
    <comment ref="AD62" authorId="0" shapeId="0" xr:uid="{BD553370-1889-438A-92AA-9EC2BF08EE16}">
      <text>
        <r>
          <rPr>
            <b/>
            <sz val="9"/>
            <color indexed="81"/>
            <rFont val="Tahoma"/>
            <family val="2"/>
          </rPr>
          <t>Usuario:</t>
        </r>
        <r>
          <rPr>
            <sz val="9"/>
            <color indexed="81"/>
            <rFont val="Tahoma"/>
            <family val="2"/>
          </rPr>
          <t xml:space="preserve">
se ajusto formato a %</t>
        </r>
      </text>
    </comment>
    <comment ref="AF62" authorId="0" shapeId="0" xr:uid="{C2E27156-325C-4647-85F1-62F90F33AFA4}">
      <text>
        <r>
          <rPr>
            <b/>
            <sz val="9"/>
            <color indexed="81"/>
            <rFont val="Tahoma"/>
            <family val="2"/>
          </rPr>
          <t>Usuario:</t>
        </r>
        <r>
          <rPr>
            <sz val="9"/>
            <color indexed="81"/>
            <rFont val="Tahoma"/>
            <family val="2"/>
          </rPr>
          <t xml:space="preserve">
No hay meta y en informe 2020 registran: 65.662.916</t>
        </r>
      </text>
    </comment>
    <comment ref="AF65" authorId="0" shapeId="0" xr:uid="{A9C8D70F-9CF4-42D8-9C62-FE560C01E837}">
      <text>
        <r>
          <rPr>
            <b/>
            <sz val="9"/>
            <color indexed="81"/>
            <rFont val="Tahoma"/>
            <family val="2"/>
          </rPr>
          <t>Usuario:</t>
        </r>
        <r>
          <rPr>
            <sz val="9"/>
            <color indexed="81"/>
            <rFont val="Tahoma"/>
            <family val="2"/>
          </rPr>
          <t xml:space="preserve">
Difiere de lo reportado en 2020</t>
        </r>
      </text>
    </comment>
    <comment ref="AO65" authorId="2" shapeId="0" xr:uid="{C4EEB09F-483D-41C4-A9C8-3068B256B045}">
      <text>
        <r>
          <rPr>
            <sz val="11"/>
            <color theme="1"/>
            <rFont val="Arial"/>
            <family val="2"/>
          </rPr>
          <t xml:space="preserve">En PAI lo asocian a indicador 15 pero no un indicador especifico, este le aplica.
</t>
        </r>
      </text>
    </comment>
    <comment ref="AO66" authorId="2" shapeId="0" xr:uid="{4AFF3D92-C5A8-4485-A2E9-190A41A491E9}">
      <text>
        <r>
          <rPr>
            <sz val="11"/>
            <color theme="1"/>
            <rFont val="Arial"/>
            <family val="2"/>
          </rPr>
          <t xml:space="preserve">En PAI lo asocian a indicador 15 pero no un indicador especifico, este le aplica.
</t>
        </r>
      </text>
    </comment>
    <comment ref="AF67" authorId="0" shapeId="0" xr:uid="{88FA0FC2-91C5-483F-A6A1-794A8ACE28BA}">
      <text>
        <r>
          <rPr>
            <b/>
            <sz val="9"/>
            <color indexed="81"/>
            <rFont val="Tahoma"/>
            <family val="2"/>
          </rPr>
          <t>Usuario:</t>
        </r>
        <r>
          <rPr>
            <sz val="9"/>
            <color indexed="81"/>
            <rFont val="Tahoma"/>
            <family val="2"/>
          </rPr>
          <t xml:space="preserve">
Difiere de lo reportado en 2020</t>
        </r>
      </text>
    </comment>
    <comment ref="AD70" authorId="0" shapeId="0" xr:uid="{43AC60DC-4651-4026-ACAF-47099A757E34}">
      <text>
        <r>
          <rPr>
            <b/>
            <sz val="9"/>
            <color indexed="81"/>
            <rFont val="Tahoma"/>
            <family val="2"/>
          </rPr>
          <t>Usuario:</t>
        </r>
        <r>
          <rPr>
            <sz val="9"/>
            <color indexed="81"/>
            <rFont val="Tahoma"/>
            <family val="2"/>
          </rPr>
          <t xml:space="preserve">
se ajusto formato a %</t>
        </r>
      </text>
    </comment>
    <comment ref="AD71" authorId="0" shapeId="0" xr:uid="{19A85924-ACF3-4142-9635-9089C1E87875}">
      <text>
        <r>
          <rPr>
            <b/>
            <sz val="9"/>
            <color indexed="81"/>
            <rFont val="Tahoma"/>
            <family val="2"/>
          </rPr>
          <t>Usuario:</t>
        </r>
        <r>
          <rPr>
            <sz val="9"/>
            <color indexed="81"/>
            <rFont val="Tahoma"/>
            <family val="2"/>
          </rPr>
          <t xml:space="preserve">
se ajusto formato a %</t>
        </r>
      </text>
    </comment>
    <comment ref="F72" authorId="0" shapeId="0" xr:uid="{1950FC5B-0896-4D8E-9D72-8A29AD2B31EF}">
      <text>
        <r>
          <rPr>
            <b/>
            <sz val="9"/>
            <color indexed="81"/>
            <rFont val="Tahoma"/>
            <family val="2"/>
          </rPr>
          <t>Usuario:</t>
        </r>
        <r>
          <rPr>
            <sz val="9"/>
            <color indexed="81"/>
            <rFont val="Tahoma"/>
            <family val="2"/>
          </rPr>
          <t xml:space="preserve">
Como implementan acciones de un POMIUAC que no ha sido adoptado?</t>
        </r>
      </text>
    </comment>
    <comment ref="AD72" authorId="0" shapeId="0" xr:uid="{FF5E853F-D164-41DC-B0CC-EDE2FE6297C0}">
      <text>
        <r>
          <rPr>
            <b/>
            <sz val="9"/>
            <color indexed="81"/>
            <rFont val="Tahoma"/>
            <family val="2"/>
          </rPr>
          <t>Usuario:</t>
        </r>
        <r>
          <rPr>
            <sz val="9"/>
            <color indexed="81"/>
            <rFont val="Tahoma"/>
            <family val="2"/>
          </rPr>
          <t xml:space="preserve">
se ajusto formato a %</t>
        </r>
      </text>
    </comment>
    <comment ref="Z83" authorId="0" shapeId="0" xr:uid="{A681913A-2879-40C9-8C8C-617FFD4263AD}">
      <text>
        <r>
          <rPr>
            <b/>
            <sz val="9"/>
            <color indexed="81"/>
            <rFont val="Tahoma"/>
            <family val="2"/>
          </rPr>
          <t>Usuario:</t>
        </r>
        <r>
          <rPr>
            <sz val="9"/>
            <color indexed="81"/>
            <rFont val="Tahoma"/>
            <family val="2"/>
          </rPr>
          <t xml:space="preserve">
No hay meta</t>
        </r>
      </text>
    </comment>
    <comment ref="AA83" authorId="0" shapeId="0" xr:uid="{F8E89C2F-6B93-4134-91D9-A27282985141}">
      <text>
        <r>
          <rPr>
            <b/>
            <sz val="9"/>
            <color indexed="81"/>
            <rFont val="Tahoma"/>
            <family val="2"/>
          </rPr>
          <t>Usuario:</t>
        </r>
        <r>
          <rPr>
            <sz val="9"/>
            <color indexed="81"/>
            <rFont val="Tahoma"/>
            <family val="2"/>
          </rPr>
          <t xml:space="preserve">
No hay meta</t>
        </r>
      </text>
    </comment>
    <comment ref="J88" authorId="0" shapeId="0" xr:uid="{8CE0281D-9F59-45BB-B940-9931BCBE199C}">
      <text>
        <r>
          <rPr>
            <b/>
            <sz val="9"/>
            <color indexed="81"/>
            <rFont val="Tahoma"/>
            <family val="2"/>
          </rPr>
          <t>Usuario:</t>
        </r>
        <r>
          <rPr>
            <sz val="9"/>
            <color indexed="81"/>
            <rFont val="Tahoma"/>
            <family val="2"/>
          </rPr>
          <t xml:space="preserve">
Relación con el indicador?</t>
        </r>
      </text>
    </comment>
    <comment ref="AD90" authorId="0" shapeId="0" xr:uid="{35901722-F00D-422D-ABBC-9AAE4732E142}">
      <text>
        <r>
          <rPr>
            <b/>
            <sz val="9"/>
            <color indexed="81"/>
            <rFont val="Tahoma"/>
            <family val="2"/>
          </rPr>
          <t>Usuario:</t>
        </r>
        <r>
          <rPr>
            <sz val="9"/>
            <color indexed="81"/>
            <rFont val="Tahoma"/>
            <family val="2"/>
          </rPr>
          <t xml:space="preserve">
Se ajusto formato a %</t>
        </r>
      </text>
    </comment>
    <comment ref="B91" authorId="0" shapeId="0" xr:uid="{2ADD70AA-E5C0-4FEB-AA25-E808E8066994}">
      <text>
        <r>
          <rPr>
            <b/>
            <sz val="9"/>
            <color indexed="81"/>
            <rFont val="Tahoma"/>
            <family val="2"/>
          </rPr>
          <t>Usuario:</t>
        </r>
        <r>
          <rPr>
            <sz val="9"/>
            <color indexed="81"/>
            <rFont val="Tahoma"/>
            <family val="2"/>
          </rPr>
          <t xml:space="preserve">
Especificar en la creación del indicador en CARdinal</t>
        </r>
      </text>
    </comment>
    <comment ref="AD94" authorId="0" shapeId="0" xr:uid="{37B5F238-268F-4751-8588-49A1A7B7F359}">
      <text>
        <r>
          <rPr>
            <b/>
            <sz val="9"/>
            <color indexed="81"/>
            <rFont val="Tahoma"/>
            <family val="2"/>
          </rPr>
          <t>Usuario:</t>
        </r>
        <r>
          <rPr>
            <sz val="9"/>
            <color indexed="81"/>
            <rFont val="Tahoma"/>
            <family val="2"/>
          </rPr>
          <t xml:space="preserve">
Se ajusto formato a %</t>
        </r>
      </text>
    </comment>
    <comment ref="AD96" authorId="0" shapeId="0" xr:uid="{E2F87E90-C8B0-40A1-88CB-573B1B320B85}">
      <text>
        <r>
          <rPr>
            <b/>
            <sz val="9"/>
            <color indexed="81"/>
            <rFont val="Tahoma"/>
            <family val="2"/>
          </rPr>
          <t>Usuario:</t>
        </r>
        <r>
          <rPr>
            <sz val="9"/>
            <color indexed="81"/>
            <rFont val="Tahoma"/>
            <family val="2"/>
          </rPr>
          <t xml:space="preserve">
Se ajusto formato a %</t>
        </r>
      </text>
    </comment>
    <comment ref="A106" authorId="2" shapeId="0" xr:uid="{838FC755-8E70-47C9-8F32-FEB34FAD7C32}">
      <text>
        <r>
          <rPr>
            <sz val="11"/>
            <color theme="1"/>
            <rFont val="Arial"/>
            <family val="2"/>
          </rPr>
          <t>Se ajusto el termino resaltado en rojo de la forma como se encuentra en el Anexo 19 del PAI.</t>
        </r>
      </text>
    </comment>
    <comment ref="J107" authorId="0" shapeId="0" xr:uid="{98775807-44B6-4C91-BF3D-30D15AF186A4}">
      <text>
        <r>
          <rPr>
            <b/>
            <sz val="9"/>
            <color indexed="81"/>
            <rFont val="Tahoma"/>
            <family val="2"/>
          </rPr>
          <t>Usuario:</t>
        </r>
        <r>
          <rPr>
            <sz val="9"/>
            <color indexed="81"/>
            <rFont val="Tahoma"/>
            <family val="2"/>
          </rPr>
          <t xml:space="preserve">
Osea el convenio cubre 25 semilleros?</t>
        </r>
      </text>
    </comment>
    <comment ref="AO122" authorId="2" shapeId="0" xr:uid="{4E22DA37-71E8-4B65-B3F7-9661231B299E}">
      <text>
        <r>
          <rPr>
            <sz val="11"/>
            <color theme="1"/>
            <rFont val="Arial"/>
            <family val="2"/>
          </rPr>
          <t xml:space="preserve">Lo articulan a varios indicadores ODS, se selecciona uno de ellos
</t>
        </r>
      </text>
    </comment>
    <comment ref="A126" authorId="2" shapeId="0" xr:uid="{EFA0DAF4-509D-4576-A261-6D12D0DF8F8D}">
      <text>
        <r>
          <rPr>
            <sz val="11"/>
            <color theme="1"/>
            <rFont val="Arial"/>
            <family val="2"/>
          </rPr>
          <t>Como solo se permite un solo indicador por actividad, se duplica incorporando una letra diferenciadora y de esta manera se conservan los dos indicadores asociados.</t>
        </r>
      </text>
    </comment>
    <comment ref="A127" authorId="2" shapeId="0" xr:uid="{E4D1292F-0379-4F0C-A728-EA7A5216D657}">
      <text>
        <r>
          <rPr>
            <sz val="11"/>
            <color theme="1"/>
            <rFont val="Arial"/>
            <family val="2"/>
          </rPr>
          <t>Como solo se permite un solo indicador por actividad, se duplica incorporando una letra diferenciadora y de esta manera se conservan los dos indicadores asociados.</t>
        </r>
      </text>
    </comment>
    <comment ref="AD128" authorId="0" shapeId="0" xr:uid="{99066840-A86D-4D8F-8AC3-7030ECB35247}">
      <text>
        <r>
          <rPr>
            <b/>
            <sz val="9"/>
            <color indexed="81"/>
            <rFont val="Tahoma"/>
            <family val="2"/>
          </rPr>
          <t>Usuario:</t>
        </r>
        <r>
          <rPr>
            <sz val="9"/>
            <color indexed="81"/>
            <rFont val="Tahoma"/>
            <family val="2"/>
          </rPr>
          <t xml:space="preserve">
Se ajusto formato a %</t>
        </r>
      </text>
    </comment>
    <comment ref="A130" authorId="2" shapeId="0" xr:uid="{A3ABBA76-8314-404A-BDDD-C628DF949FE1}">
      <text>
        <r>
          <rPr>
            <sz val="11"/>
            <color theme="1"/>
            <rFont val="Arial"/>
            <family val="2"/>
          </rPr>
          <t>Como solo se permite un solo indicador por actividad, se duplica incorporando una letra diferenciadora y de esta manera se conservan los dos indicadores asociados.</t>
        </r>
      </text>
    </comment>
    <comment ref="A131" authorId="2" shapeId="0" xr:uid="{4ED7269E-631D-47FC-9C63-AEE1C323078A}">
      <text>
        <r>
          <rPr>
            <sz val="11"/>
            <color theme="1"/>
            <rFont val="Arial"/>
            <family val="2"/>
          </rPr>
          <t>Como solo se permite un solo indicador por actividad, se duplica incorporando una letra diferenciadora y de esta manera se conservan los dos indicadores asociados.</t>
        </r>
      </text>
    </comment>
    <comment ref="AD139" authorId="0" shapeId="0" xr:uid="{32D8E702-866E-4B53-B424-64AB59F2DB01}">
      <text>
        <r>
          <rPr>
            <b/>
            <sz val="9"/>
            <color indexed="81"/>
            <rFont val="Tahoma"/>
            <family val="2"/>
          </rPr>
          <t>Usuario:</t>
        </r>
        <r>
          <rPr>
            <sz val="9"/>
            <color indexed="81"/>
            <rFont val="Tahoma"/>
            <family val="2"/>
          </rPr>
          <t xml:space="preserve">
Se ajusto formato a %</t>
        </r>
      </text>
    </comment>
    <comment ref="AO149" authorId="2" shapeId="0" xr:uid="{37B2E78D-0FDD-48FA-B80D-B95FAE76A912}">
      <text>
        <r>
          <rPr>
            <sz val="11"/>
            <color theme="1"/>
            <rFont val="Arial"/>
            <family val="2"/>
          </rPr>
          <t xml:space="preserve">Lo articulan con ODS 11 pero no se encontro un indicador afin al alcance de la actividad
</t>
        </r>
      </text>
    </comment>
    <comment ref="AO152" authorId="2" shapeId="0" xr:uid="{5986F7F8-4ECB-4B84-A264-C4D77D4D2019}">
      <text>
        <r>
          <rPr>
            <sz val="11"/>
            <color theme="1"/>
            <rFont val="Arial"/>
            <family val="2"/>
          </rPr>
          <t xml:space="preserve">Asociado a metas de 2 ODS, se selecciono el más afin al alcance de del proyecto
</t>
        </r>
      </text>
    </comment>
    <comment ref="AO154" authorId="2" shapeId="0" xr:uid="{AC80EE50-982D-4AD0-9705-D18C28342C4C}">
      <text>
        <r>
          <rPr>
            <sz val="11"/>
            <color theme="1"/>
            <rFont val="Arial"/>
            <family val="2"/>
          </rPr>
          <t xml:space="preserve">Asociado a metas de 2 ODS, se selecciono el más afin al alcance de del proyecto
</t>
        </r>
      </text>
    </comment>
    <comment ref="AO156" authorId="2" shapeId="0" xr:uid="{6A2BEE9B-269C-4959-A565-AAEE1BE5E468}">
      <text>
        <r>
          <rPr>
            <sz val="11"/>
            <color theme="1"/>
            <rFont val="Arial"/>
            <family val="2"/>
          </rPr>
          <t xml:space="preserve">Asociado a metas de 2 ODS
</t>
        </r>
      </text>
    </comment>
    <comment ref="AO160" authorId="2" shapeId="0" xr:uid="{BF0661F7-751C-4257-B9AA-9F53F3184217}">
      <text>
        <r>
          <rPr>
            <sz val="11"/>
            <color theme="1"/>
            <rFont val="Arial"/>
            <family val="2"/>
          </rPr>
          <t xml:space="preserve">Lo articulan a ODS 11, sin embargo no se encontró un indicador acorde al alcance del producto
</t>
        </r>
      </text>
    </comment>
    <comment ref="AO162" authorId="2" shapeId="0" xr:uid="{72773B2C-64DD-48AB-A23E-F2A40D1A9615}">
      <text>
        <r>
          <rPr>
            <sz val="11"/>
            <color theme="1"/>
            <rFont val="Arial"/>
            <family val="2"/>
          </rPr>
          <t xml:space="preserve">Lo articulan a ODS 11, sin embargo no se encontró un indicador acorde al alcance del producto
</t>
        </r>
      </text>
    </comment>
    <comment ref="AO164" authorId="2" shapeId="0" xr:uid="{ADA7E3C2-E76C-45EE-B1A8-D0D65DF40CC7}">
      <text>
        <r>
          <rPr>
            <sz val="11"/>
            <color theme="1"/>
            <rFont val="Arial"/>
            <family val="2"/>
          </rPr>
          <t xml:space="preserve">Asociado al ODS 11, se selecciono el más afin al alcance de del proyecto
</t>
        </r>
      </text>
    </comment>
    <comment ref="AO166" authorId="2" shapeId="0" xr:uid="{2829BDC9-08E4-4A5F-9BDD-52E2B8A9FDDE}">
      <text>
        <r>
          <rPr>
            <sz val="11"/>
            <color theme="1"/>
            <rFont val="Arial"/>
            <family val="2"/>
          </rPr>
          <t xml:space="preserve">Asociado a metas de 2 ODS, se selecciono uno de los indicadores sin embargo se recomienda revisar la pertinencia de este de acuerdo al alcance del proyecto.
</t>
        </r>
      </text>
    </comment>
    <comment ref="AD167" authorId="0" shapeId="0" xr:uid="{2EE5E48F-D85F-410D-8AFC-D3299D296FA5}">
      <text>
        <r>
          <rPr>
            <b/>
            <sz val="9"/>
            <color indexed="81"/>
            <rFont val="Tahoma"/>
            <family val="2"/>
          </rPr>
          <t>Usuario:</t>
        </r>
        <r>
          <rPr>
            <sz val="9"/>
            <color indexed="81"/>
            <rFont val="Tahoma"/>
            <family val="2"/>
          </rPr>
          <t xml:space="preserve">
Se ajusto formato a %</t>
        </r>
      </text>
    </comment>
    <comment ref="AD168" authorId="0" shapeId="0" xr:uid="{7BE950FF-463F-4DFE-976E-30FD6BCFCD65}">
      <text>
        <r>
          <rPr>
            <b/>
            <sz val="9"/>
            <color indexed="81"/>
            <rFont val="Tahoma"/>
            <family val="2"/>
          </rPr>
          <t>Usuario:</t>
        </r>
        <r>
          <rPr>
            <sz val="9"/>
            <color indexed="81"/>
            <rFont val="Tahoma"/>
            <family val="2"/>
          </rPr>
          <t xml:space="preserve">
Se ajusto formato a %</t>
        </r>
      </text>
    </comment>
    <comment ref="AO177" authorId="2" shapeId="0" xr:uid="{3675BF62-1844-4C0E-B241-AC99C5C26F8D}">
      <text>
        <r>
          <rPr>
            <sz val="11"/>
            <color theme="1"/>
            <rFont val="Arial"/>
            <family val="2"/>
          </rPr>
          <t xml:space="preserve">Lo articulan con ODS 11
</t>
        </r>
      </text>
    </comment>
    <comment ref="AD178" authorId="0" shapeId="0" xr:uid="{BC755182-A55D-47A5-B214-BC2C6BD134E5}">
      <text>
        <r>
          <rPr>
            <b/>
            <sz val="9"/>
            <color indexed="81"/>
            <rFont val="Tahoma"/>
            <family val="2"/>
          </rPr>
          <t>Usuario:</t>
        </r>
        <r>
          <rPr>
            <sz val="9"/>
            <color indexed="81"/>
            <rFont val="Tahoma"/>
            <family val="2"/>
          </rPr>
          <t xml:space="preserve">
Se ajusto formato a %</t>
        </r>
      </text>
    </comment>
    <comment ref="AO179" authorId="2" shapeId="0" xr:uid="{E0D40290-5580-449C-910A-C180F13AB1D0}">
      <text>
        <r>
          <rPr>
            <sz val="11"/>
            <color theme="1"/>
            <rFont val="Arial"/>
            <family val="2"/>
          </rPr>
          <t xml:space="preserve">Lo articulan con ODS 11
</t>
        </r>
      </text>
    </comment>
    <comment ref="AO180" authorId="2" shapeId="0" xr:uid="{D1122BC2-AA16-433A-A2B0-8B8ADB770562}">
      <text>
        <r>
          <rPr>
            <sz val="11"/>
            <color theme="1"/>
            <rFont val="Arial"/>
            <family val="2"/>
          </rPr>
          <t xml:space="preserve">Lo articulan con ODS 11
</t>
        </r>
      </text>
    </comment>
    <comment ref="A181" authorId="2" shapeId="0" xr:uid="{5ACEDCAC-54DB-42C9-9319-B31241204126}">
      <text>
        <r>
          <rPr>
            <sz val="11"/>
            <color theme="1"/>
            <rFont val="Arial"/>
            <family val="2"/>
          </rPr>
          <t>Se duplica actividad para conservar los dos indicadores asociados</t>
        </r>
      </text>
    </comment>
    <comment ref="AO181" authorId="2" shapeId="0" xr:uid="{6AA6B5F3-F28E-4E79-A6C2-91A255543F41}">
      <text>
        <r>
          <rPr>
            <sz val="11"/>
            <color theme="1"/>
            <rFont val="Arial"/>
            <family val="2"/>
          </rPr>
          <t xml:space="preserve">Lo articulan con ODS 11
</t>
        </r>
      </text>
    </comment>
    <comment ref="AI186" authorId="0" shapeId="0" xr:uid="{8ECD13E7-0785-4CA9-AF4C-AB1BB286F4E1}">
      <text>
        <r>
          <rPr>
            <b/>
            <sz val="9"/>
            <color indexed="81"/>
            <rFont val="Tahoma"/>
            <family val="2"/>
          </rPr>
          <t>Usuario:</t>
        </r>
        <r>
          <rPr>
            <sz val="9"/>
            <color indexed="81"/>
            <rFont val="Tahoma"/>
            <family val="2"/>
          </rPr>
          <t xml:space="preserve">
Solucionado al actualizarlo con la info del sem I del 2021</t>
        </r>
      </text>
    </comment>
    <comment ref="AI187" authorId="0" shapeId="0" xr:uid="{D46E252F-AFE7-4288-BBCE-2F9B4F0921C3}">
      <text>
        <r>
          <rPr>
            <b/>
            <sz val="9"/>
            <color indexed="81"/>
            <rFont val="Tahoma"/>
            <family val="2"/>
          </rPr>
          <t>Usuario:</t>
        </r>
        <r>
          <rPr>
            <sz val="9"/>
            <color indexed="81"/>
            <rFont val="Tahoma"/>
            <family val="2"/>
          </rPr>
          <t xml:space="preserve">
Solucionado al actualizarlo con la info del sem I del 2021</t>
        </r>
      </text>
    </comment>
    <comment ref="AO187" authorId="2" shapeId="0" xr:uid="{7558CB42-4107-4F1D-BC3B-CF7DCABC3BCC}">
      <text>
        <r>
          <rPr>
            <sz val="11"/>
            <color theme="1"/>
            <rFont val="Arial"/>
            <family val="2"/>
          </rPr>
          <t xml:space="preserve">Lo articularon con ODS 15
</t>
        </r>
      </text>
    </comment>
    <comment ref="E192" authorId="0" shapeId="0" xr:uid="{557A8F25-0287-449D-94FE-32AA819957B6}">
      <text>
        <r>
          <rPr>
            <b/>
            <sz val="9"/>
            <color indexed="81"/>
            <rFont val="Tahoma"/>
            <family val="2"/>
          </rPr>
          <t>Usuario:</t>
        </r>
        <r>
          <rPr>
            <sz val="9"/>
            <color indexed="81"/>
            <rFont val="Tahoma"/>
            <family val="2"/>
          </rPr>
          <t xml:space="preserve">
Revisar frente a lo consignado en el documento</t>
        </r>
      </text>
    </comment>
    <comment ref="J192" authorId="0" shapeId="0" xr:uid="{88E75DE2-7132-4D79-97C1-A4F5CC370E6D}">
      <text>
        <r>
          <rPr>
            <b/>
            <sz val="9"/>
            <color indexed="81"/>
            <rFont val="Tahoma"/>
            <family val="2"/>
          </rPr>
          <t>Usuario:</t>
        </r>
        <r>
          <rPr>
            <sz val="9"/>
            <color indexed="81"/>
            <rFont val="Tahoma"/>
            <family val="2"/>
          </rPr>
          <t xml:space="preserve">
Revisar frente a lo consignado en el documento</t>
        </r>
      </text>
    </comment>
    <comment ref="AO192" authorId="2" shapeId="0" xr:uid="{F60F9557-9058-41C6-AD44-B9B7D012A2E4}">
      <text>
        <r>
          <rPr>
            <sz val="11"/>
            <color theme="1"/>
            <rFont val="Arial"/>
            <family val="2"/>
          </rPr>
          <t xml:space="preserve">Lo articulan con ODS15
</t>
        </r>
      </text>
    </comment>
    <comment ref="E193" authorId="0" shapeId="0" xr:uid="{BC708209-FD4C-4EEE-BC8A-2A97BE573929}">
      <text>
        <r>
          <rPr>
            <b/>
            <sz val="9"/>
            <color indexed="81"/>
            <rFont val="Tahoma"/>
            <family val="2"/>
          </rPr>
          <t>Usuario:</t>
        </r>
        <r>
          <rPr>
            <sz val="9"/>
            <color indexed="81"/>
            <rFont val="Tahoma"/>
            <family val="2"/>
          </rPr>
          <t xml:space="preserve">
Revisar frente a lo consignado en el documento</t>
        </r>
      </text>
    </comment>
    <comment ref="AO193" authorId="2" shapeId="0" xr:uid="{9C418895-F452-437B-9D11-1B91C5DDD856}">
      <text>
        <r>
          <rPr>
            <sz val="11"/>
            <color theme="1"/>
            <rFont val="Arial"/>
            <family val="2"/>
          </rPr>
          <t xml:space="preserve">Lo articulan con ODS15
</t>
        </r>
      </text>
    </comment>
    <comment ref="AO194" authorId="2" shapeId="0" xr:uid="{033E4590-F122-449E-BE51-CB4A698E7F1B}">
      <text>
        <r>
          <rPr>
            <sz val="11"/>
            <color theme="1"/>
            <rFont val="Arial"/>
            <family val="2"/>
          </rPr>
          <t xml:space="preserve">Lo articulan con ODS15
</t>
        </r>
      </text>
    </comment>
    <comment ref="AO195" authorId="2" shapeId="0" xr:uid="{12479F0A-89BD-4E12-9AD1-9685325A0096}">
      <text>
        <r>
          <rPr>
            <sz val="11"/>
            <color theme="1"/>
            <rFont val="Arial"/>
            <family val="2"/>
          </rPr>
          <t xml:space="preserve">Lo articulan con ODS13
</t>
        </r>
      </text>
    </comment>
    <comment ref="A196" authorId="2" shapeId="0" xr:uid="{1928BF20-F3B9-446F-81C3-F5AD2015CECC}">
      <text>
        <r>
          <rPr>
            <sz val="11"/>
            <color theme="1"/>
            <rFont val="Arial"/>
            <family val="2"/>
          </rPr>
          <t xml:space="preserve">la acción es más la formalización que el instrumento en si </t>
        </r>
      </text>
    </comment>
    <comment ref="AO196" authorId="2" shapeId="0" xr:uid="{EE71C266-1CB2-4CE5-BD29-427F3E58C0EF}">
      <text>
        <r>
          <rPr>
            <sz val="11"/>
            <color theme="1"/>
            <rFont val="Arial"/>
            <family val="2"/>
          </rPr>
          <t xml:space="preserve">Lo articulan con ODS13
</t>
        </r>
      </text>
    </comment>
    <comment ref="AO197" authorId="2" shapeId="0" xr:uid="{4BCA9CCB-3DF3-4EF2-AE66-0FE5A913BADC}">
      <text>
        <r>
          <rPr>
            <sz val="11"/>
            <color theme="1"/>
            <rFont val="Arial"/>
            <family val="2"/>
          </rPr>
          <t xml:space="preserve">Lo articulan con ODS15
</t>
        </r>
      </text>
    </comment>
    <comment ref="A198" authorId="2" shapeId="0" xr:uid="{65FE0CBA-417F-406C-937C-BBDDA18712C9}">
      <text>
        <r>
          <rPr>
            <sz val="11"/>
            <color theme="1"/>
            <rFont val="Arial"/>
            <family val="2"/>
          </rPr>
          <t>relación actividad-indicador</t>
        </r>
      </text>
    </comment>
    <comment ref="A199" authorId="2" shapeId="0" xr:uid="{F294D0B0-B8DA-42F7-9EE7-4765294062B8}">
      <text>
        <r>
          <rPr>
            <sz val="11"/>
            <color theme="1"/>
            <rFont val="Arial"/>
            <family val="2"/>
          </rPr>
          <t>Actividad triplicada y sin relación con el indicador…Esta actividad debería reformularse y asociarse directamente al CAVF</t>
        </r>
      </text>
    </comment>
    <comment ref="AO201" authorId="2" shapeId="0" xr:uid="{8F32F8E7-7AD6-401B-ADB0-CDC453789EC4}">
      <text>
        <r>
          <rPr>
            <sz val="11"/>
            <color theme="1"/>
            <rFont val="Arial"/>
            <family val="2"/>
          </rPr>
          <t xml:space="preserve">Lo articulan con ODS15
</t>
        </r>
      </text>
    </comment>
    <comment ref="AD215" authorId="0" shapeId="0" xr:uid="{1ADD273C-8A34-494F-BC0D-465CD91338C6}">
      <text>
        <r>
          <rPr>
            <b/>
            <sz val="9"/>
            <color indexed="81"/>
            <rFont val="Tahoma"/>
            <family val="2"/>
          </rPr>
          <t>Usuario:</t>
        </r>
        <r>
          <rPr>
            <sz val="9"/>
            <color indexed="81"/>
            <rFont val="Tahoma"/>
            <family val="2"/>
          </rPr>
          <t xml:space="preserve">
Se ajusto formato a %</t>
        </r>
      </text>
    </comment>
    <comment ref="AD218" authorId="0" shapeId="0" xr:uid="{794AE395-97FC-44DC-BCAE-3991F614C969}">
      <text>
        <r>
          <rPr>
            <b/>
            <sz val="9"/>
            <color indexed="81"/>
            <rFont val="Tahoma"/>
            <family val="2"/>
          </rPr>
          <t>Usuario:</t>
        </r>
        <r>
          <rPr>
            <sz val="9"/>
            <color indexed="81"/>
            <rFont val="Tahoma"/>
            <family val="2"/>
          </rPr>
          <t xml:space="preserve">
Se ajusto formato a %</t>
        </r>
      </text>
    </comment>
    <comment ref="AD219" authorId="0" shapeId="0" xr:uid="{16B1CDE2-93AA-4AEA-9FE7-655CD53643DE}">
      <text>
        <r>
          <rPr>
            <b/>
            <sz val="9"/>
            <color indexed="81"/>
            <rFont val="Tahoma"/>
            <family val="2"/>
          </rPr>
          <t>Usuario:</t>
        </r>
        <r>
          <rPr>
            <sz val="9"/>
            <color indexed="81"/>
            <rFont val="Tahoma"/>
            <family val="2"/>
          </rPr>
          <t xml:space="preserve">
Se ajusto formato a %</t>
        </r>
      </text>
    </comment>
    <comment ref="AO220" authorId="2" shapeId="0" xr:uid="{8A59A59C-AB25-464A-93D7-487FF10D91F2}">
      <text>
        <r>
          <rPr>
            <sz val="11"/>
            <color theme="1"/>
            <rFont val="Arial"/>
            <family val="2"/>
          </rPr>
          <t xml:space="preserve">Este proyecto lo articulan con ODS 8 y 3. Solo se encontro un indicador afin correspondiente al ODS 8. Revisar
</t>
        </r>
      </text>
    </comment>
    <comment ref="Y221" authorId="0" shapeId="0" xr:uid="{95B9843A-C4DF-463F-9797-CC6DB64EC9BB}">
      <text>
        <r>
          <rPr>
            <b/>
            <sz val="9"/>
            <color indexed="81"/>
            <rFont val="Tahoma"/>
            <family val="2"/>
          </rPr>
          <t>Usuario:</t>
        </r>
        <r>
          <rPr>
            <sz val="9"/>
            <color indexed="81"/>
            <rFont val="Tahoma"/>
            <family val="2"/>
          </rPr>
          <t xml:space="preserve">
Revisar frente a meta</t>
        </r>
      </text>
    </comment>
    <comment ref="AD221" authorId="0" shapeId="0" xr:uid="{77ECCA5C-2D48-47E6-BE8B-2214B72C8C89}">
      <text>
        <r>
          <rPr>
            <b/>
            <sz val="9"/>
            <color indexed="81"/>
            <rFont val="Tahoma"/>
            <family val="2"/>
          </rPr>
          <t>Usuario:</t>
        </r>
        <r>
          <rPr>
            <sz val="9"/>
            <color indexed="81"/>
            <rFont val="Tahoma"/>
            <family val="2"/>
          </rPr>
          <t xml:space="preserve">
Se ajusto formato a %</t>
        </r>
      </text>
    </comment>
    <comment ref="AO221" authorId="2" shapeId="0" xr:uid="{A99FEDE4-0E5F-4D31-BF35-AD5527C249CE}">
      <text>
        <r>
          <rPr>
            <sz val="11"/>
            <color theme="1"/>
            <rFont val="Arial"/>
            <family val="2"/>
          </rPr>
          <t xml:space="preserve">Este proyecto lo articulan con ODS 8 y 3. Solo se encontro un indicador afin correspondiente al ODS 8. Revisar
</t>
        </r>
      </text>
    </comment>
    <comment ref="Y222" authorId="0" shapeId="0" xr:uid="{16A0F080-5265-40A4-9053-B37238702841}">
      <text>
        <r>
          <rPr>
            <b/>
            <sz val="9"/>
            <color indexed="81"/>
            <rFont val="Tahoma"/>
            <family val="2"/>
          </rPr>
          <t>Usuario:</t>
        </r>
        <r>
          <rPr>
            <sz val="9"/>
            <color indexed="81"/>
            <rFont val="Tahoma"/>
            <family val="2"/>
          </rPr>
          <t xml:space="preserve">
Revisar frente a meta</t>
        </r>
      </text>
    </comment>
    <comment ref="AD222" authorId="0" shapeId="0" xr:uid="{38B18999-5996-4D65-8A4E-45236ACEB6D5}">
      <text>
        <r>
          <rPr>
            <b/>
            <sz val="9"/>
            <color indexed="81"/>
            <rFont val="Tahoma"/>
            <family val="2"/>
          </rPr>
          <t>Usuario:</t>
        </r>
        <r>
          <rPr>
            <sz val="9"/>
            <color indexed="81"/>
            <rFont val="Tahoma"/>
            <family val="2"/>
          </rPr>
          <t xml:space="preserve">
Se ajusto formato a %</t>
        </r>
      </text>
    </comment>
    <comment ref="AI222" authorId="0" shapeId="0" xr:uid="{35586626-18B9-4C6A-B2B9-AB3FCA8F85BC}">
      <text>
        <r>
          <rPr>
            <b/>
            <sz val="9"/>
            <color indexed="81"/>
            <rFont val="Tahoma"/>
            <family val="2"/>
          </rPr>
          <t>Usuario:</t>
        </r>
        <r>
          <rPr>
            <sz val="9"/>
            <color indexed="81"/>
            <rFont val="Tahoma"/>
            <family val="2"/>
          </rPr>
          <t xml:space="preserve">
Solucionado al actualizarlo con la info del sem I del 2021</t>
        </r>
      </text>
    </comment>
    <comment ref="Y223" authorId="0" shapeId="0" xr:uid="{B86C615F-428D-4717-B964-A6E248B6FE46}">
      <text>
        <r>
          <rPr>
            <b/>
            <sz val="9"/>
            <color indexed="81"/>
            <rFont val="Tahoma"/>
            <family val="2"/>
          </rPr>
          <t>Usuario:</t>
        </r>
        <r>
          <rPr>
            <sz val="9"/>
            <color indexed="81"/>
            <rFont val="Tahoma"/>
            <family val="2"/>
          </rPr>
          <t xml:space="preserve">
Revisar frente a meta</t>
        </r>
      </text>
    </comment>
    <comment ref="AI223" authorId="0" shapeId="0" xr:uid="{02AD03DC-61D4-4801-9B30-B247A4ACF1F9}">
      <text>
        <r>
          <rPr>
            <b/>
            <sz val="9"/>
            <color indexed="81"/>
            <rFont val="Tahoma"/>
            <family val="2"/>
          </rPr>
          <t>Usuario:</t>
        </r>
        <r>
          <rPr>
            <sz val="9"/>
            <color indexed="81"/>
            <rFont val="Tahoma"/>
            <family val="2"/>
          </rPr>
          <t xml:space="preserve">
Solucionado al actualizarlo con la info del sem I del 2021</t>
        </r>
      </text>
    </comment>
    <comment ref="AD224" authorId="0" shapeId="0" xr:uid="{8B9EAA43-8D91-4B41-8FC3-F2FD6DA12341}">
      <text>
        <r>
          <rPr>
            <b/>
            <sz val="9"/>
            <color indexed="81"/>
            <rFont val="Tahoma"/>
            <family val="2"/>
          </rPr>
          <t>Usuario:</t>
        </r>
        <r>
          <rPr>
            <sz val="9"/>
            <color indexed="81"/>
            <rFont val="Tahoma"/>
            <family val="2"/>
          </rPr>
          <t xml:space="preserve">
Se ajusto formato a %</t>
        </r>
      </text>
    </comment>
    <comment ref="AD225" authorId="0" shapeId="0" xr:uid="{4D6E7F26-FC04-4522-A0D2-571B2E091ACE}">
      <text>
        <r>
          <rPr>
            <b/>
            <sz val="9"/>
            <color indexed="81"/>
            <rFont val="Tahoma"/>
            <family val="2"/>
          </rPr>
          <t>Usuario:</t>
        </r>
        <r>
          <rPr>
            <sz val="9"/>
            <color indexed="81"/>
            <rFont val="Tahoma"/>
            <family val="2"/>
          </rPr>
          <t xml:space="preserve">
Se ajusto formato a %</t>
        </r>
      </text>
    </comment>
    <comment ref="AD226" authorId="0" shapeId="0" xr:uid="{709140CE-3E8C-4F66-A69A-3CBD5995C27A}">
      <text>
        <r>
          <rPr>
            <b/>
            <sz val="9"/>
            <color indexed="81"/>
            <rFont val="Tahoma"/>
            <family val="2"/>
          </rPr>
          <t>Usuario:</t>
        </r>
        <r>
          <rPr>
            <sz val="9"/>
            <color indexed="81"/>
            <rFont val="Tahoma"/>
            <family val="2"/>
          </rPr>
          <t xml:space="preserve">
Se ajusto formato a %</t>
        </r>
      </text>
    </comment>
    <comment ref="AO228" authorId="2" shapeId="0" xr:uid="{F4041708-9459-48A3-BB2D-5F3C13A8F16D}">
      <text>
        <r>
          <rPr>
            <sz val="11"/>
            <color theme="1"/>
            <rFont val="Arial"/>
            <family val="2"/>
          </rPr>
          <t xml:space="preserve">Lo articularon con ODS 8 y 3
</t>
        </r>
      </text>
    </comment>
    <comment ref="AD230" authorId="0" shapeId="0" xr:uid="{D08BF41B-08B8-4910-8035-22C587D7CA81}">
      <text>
        <r>
          <rPr>
            <b/>
            <sz val="9"/>
            <color indexed="81"/>
            <rFont val="Tahoma"/>
            <family val="2"/>
          </rPr>
          <t>Usuario:</t>
        </r>
        <r>
          <rPr>
            <sz val="9"/>
            <color indexed="81"/>
            <rFont val="Tahoma"/>
            <family val="2"/>
          </rPr>
          <t xml:space="preserve">
Se ajusto formato a %</t>
        </r>
      </text>
    </comment>
    <comment ref="AD231" authorId="0" shapeId="0" xr:uid="{89931F0F-B3F4-4F72-9690-2532DD50116D}">
      <text>
        <r>
          <rPr>
            <b/>
            <sz val="9"/>
            <color indexed="81"/>
            <rFont val="Tahoma"/>
            <family val="2"/>
          </rPr>
          <t>Usuario:</t>
        </r>
        <r>
          <rPr>
            <sz val="9"/>
            <color indexed="81"/>
            <rFont val="Tahoma"/>
            <family val="2"/>
          </rPr>
          <t xml:space="preserve">
Se ajusto formato a %</t>
        </r>
      </text>
    </comment>
    <comment ref="AO231" authorId="2" shapeId="0" xr:uid="{30B2B239-95FD-4640-971D-5986E8A21618}">
      <text>
        <r>
          <rPr>
            <sz val="11"/>
            <color theme="1"/>
            <rFont val="Arial"/>
            <family val="2"/>
          </rPr>
          <t xml:space="preserve">Lo articulan con ODS 9
</t>
        </r>
      </text>
    </comment>
    <comment ref="AD232" authorId="0" shapeId="0" xr:uid="{DCDF9A11-1861-4E9C-8221-222BF59D920D}">
      <text>
        <r>
          <rPr>
            <b/>
            <sz val="9"/>
            <color indexed="81"/>
            <rFont val="Tahoma"/>
            <family val="2"/>
          </rPr>
          <t>Usuario:</t>
        </r>
        <r>
          <rPr>
            <sz val="9"/>
            <color indexed="81"/>
            <rFont val="Tahoma"/>
            <family val="2"/>
          </rPr>
          <t xml:space="preserve">
Se ajusto formato a %</t>
        </r>
      </text>
    </comment>
    <comment ref="AO232" authorId="2" shapeId="0" xr:uid="{3D66D8EE-9C7B-4897-8FCD-306E552A2494}">
      <text>
        <r>
          <rPr>
            <sz val="11"/>
            <color theme="1"/>
            <rFont val="Arial"/>
            <family val="2"/>
          </rPr>
          <t xml:space="preserve">Lo articulan con ODS 9
</t>
        </r>
      </text>
    </comment>
    <comment ref="Y233" authorId="0" shapeId="0" xr:uid="{F9A3BB43-3549-4B9D-8CE0-44F091758B37}">
      <text>
        <r>
          <rPr>
            <b/>
            <sz val="9"/>
            <color indexed="81"/>
            <rFont val="Tahoma"/>
            <family val="2"/>
          </rPr>
          <t>Usuario:</t>
        </r>
        <r>
          <rPr>
            <sz val="9"/>
            <color indexed="81"/>
            <rFont val="Tahoma"/>
            <family val="2"/>
          </rPr>
          <t xml:space="preserve">
Revisar, no hay meta</t>
        </r>
      </text>
    </comment>
    <comment ref="AD233" authorId="0" shapeId="0" xr:uid="{5CF15CCA-096D-44BE-BDED-5D33D84A9BBB}">
      <text>
        <r>
          <rPr>
            <b/>
            <sz val="9"/>
            <color indexed="81"/>
            <rFont val="Tahoma"/>
            <family val="2"/>
          </rPr>
          <t>Usuario:</t>
        </r>
        <r>
          <rPr>
            <sz val="9"/>
            <color indexed="81"/>
            <rFont val="Tahoma"/>
            <family val="2"/>
          </rPr>
          <t xml:space="preserve">
Se ajusto formato a %</t>
        </r>
      </text>
    </comment>
    <comment ref="AO233" authorId="2" shapeId="0" xr:uid="{77DAE669-09B6-4CDF-A37B-C8FABAE04E40}">
      <text>
        <r>
          <rPr>
            <sz val="11"/>
            <color theme="1"/>
            <rFont val="Arial"/>
            <family val="2"/>
          </rPr>
          <t xml:space="preserve">Lo articulan con ODS 9
</t>
        </r>
      </text>
    </comment>
    <comment ref="F235" authorId="0" shapeId="0" xr:uid="{1A84BE5E-E81F-4996-A01C-944637C7D1DF}">
      <text>
        <r>
          <rPr>
            <b/>
            <sz val="9"/>
            <color indexed="81"/>
            <rFont val="Tahoma"/>
            <family val="2"/>
          </rPr>
          <t>Usuario:</t>
        </r>
        <r>
          <rPr>
            <sz val="9"/>
            <color indexed="81"/>
            <rFont val="Tahoma"/>
            <family val="2"/>
          </rPr>
          <t xml:space="preserve">
osea el 50% restante que se tenia de meta para todo el cuatrienio?</t>
        </r>
      </text>
    </comment>
    <comment ref="AO235" authorId="2" shapeId="0" xr:uid="{FD0D3F3D-ECC7-403E-AA40-8BE415314D26}">
      <text>
        <r>
          <rPr>
            <sz val="11"/>
            <color theme="1"/>
            <rFont val="Arial"/>
            <family val="2"/>
          </rPr>
          <t xml:space="preserve">Lo articulan con ODS 9
</t>
        </r>
      </text>
    </comment>
    <comment ref="AI238" authorId="0" shapeId="0" xr:uid="{FE38B88F-F787-46EA-A133-DD3114634397}">
      <text>
        <r>
          <rPr>
            <b/>
            <sz val="9"/>
            <color indexed="81"/>
            <rFont val="Tahoma"/>
            <family val="2"/>
          </rPr>
          <t>Usuario:</t>
        </r>
        <r>
          <rPr>
            <sz val="9"/>
            <color indexed="81"/>
            <rFont val="Tahoma"/>
            <family val="2"/>
          </rPr>
          <t xml:space="preserve">
Solucionado al actualizarlo con la info del sem I del 2021</t>
        </r>
      </text>
    </comment>
    <comment ref="AO238" authorId="2" shapeId="0" xr:uid="{B9343E63-D689-49D0-BDE1-7CE948F9A256}">
      <text>
        <r>
          <rPr>
            <sz val="11"/>
            <color theme="1"/>
            <rFont val="Arial"/>
            <family val="2"/>
          </rPr>
          <t xml:space="preserve">Lo articulan con ODS 9
</t>
        </r>
      </text>
    </comment>
    <comment ref="AO241" authorId="2" shapeId="0" xr:uid="{F2797C70-A33D-4838-A0C9-3BF9DAF91137}">
      <text>
        <r>
          <rPr>
            <sz val="11"/>
            <color theme="1"/>
            <rFont val="Arial"/>
            <family val="2"/>
          </rPr>
          <t xml:space="preserve">Lo articulan con ODS 9
</t>
        </r>
      </text>
    </comment>
    <comment ref="AO244" authorId="2" shapeId="0" xr:uid="{27437C03-C51E-4083-958C-E01584E7062F}">
      <text>
        <r>
          <rPr>
            <sz val="11"/>
            <color theme="1"/>
            <rFont val="Arial"/>
            <family val="2"/>
          </rPr>
          <t xml:space="preserve">Lo articulan con ODS 9
</t>
        </r>
      </text>
    </comment>
    <comment ref="AO247" authorId="2" shapeId="0" xr:uid="{64281D9C-F1D9-4BB7-96A0-58EB044EEAAB}">
      <text>
        <r>
          <rPr>
            <sz val="11"/>
            <color theme="1"/>
            <rFont val="Arial"/>
            <family val="2"/>
          </rPr>
          <t xml:space="preserve">Lo articulan con ODS 6,7, 11 y 12
</t>
        </r>
      </text>
    </comment>
    <comment ref="AO248" authorId="2" shapeId="0" xr:uid="{05139C44-C39B-42A7-8785-C686286CD483}">
      <text>
        <r>
          <rPr>
            <sz val="11"/>
            <color theme="1"/>
            <rFont val="Arial"/>
            <family val="2"/>
          </rPr>
          <t xml:space="preserve">Lo articulan con ODS 6,7, 11 y 12
</t>
        </r>
      </text>
    </comment>
    <comment ref="AO249" authorId="2" shapeId="0" xr:uid="{C03996F8-B5C4-4190-81A4-08691ACD746E}">
      <text>
        <r>
          <rPr>
            <sz val="11"/>
            <color theme="1"/>
            <rFont val="Arial"/>
            <family val="2"/>
          </rPr>
          <t xml:space="preserve">Lo articulan con ODS 6,7, 11 y 12
</t>
        </r>
      </text>
    </comment>
    <comment ref="AO252" authorId="2" shapeId="0" xr:uid="{23E8A9E9-D861-44C8-B91D-38466F7D5F90}">
      <text>
        <r>
          <rPr>
            <sz val="11"/>
            <color theme="1"/>
            <rFont val="Arial"/>
            <family val="2"/>
          </rPr>
          <t xml:space="preserve">Lo articulan con ODS 6,9, 11,12, 14 y 15
</t>
        </r>
      </text>
    </comment>
    <comment ref="AD253" authorId="0" shapeId="0" xr:uid="{29B79762-AF83-4957-A2B7-30F884CF8713}">
      <text>
        <r>
          <rPr>
            <b/>
            <sz val="9"/>
            <color indexed="81"/>
            <rFont val="Tahoma"/>
            <family val="2"/>
          </rPr>
          <t>Usuario:</t>
        </r>
        <r>
          <rPr>
            <sz val="9"/>
            <color indexed="81"/>
            <rFont val="Tahoma"/>
            <family val="2"/>
          </rPr>
          <t xml:space="preserve">
Se ajusto formato a %</t>
        </r>
      </text>
    </comment>
    <comment ref="AO253" authorId="2" shapeId="0" xr:uid="{3CFC03E5-A818-4A41-91FA-B1441B798FCC}">
      <text>
        <r>
          <rPr>
            <sz val="11"/>
            <color theme="1"/>
            <rFont val="Arial"/>
            <family val="2"/>
          </rPr>
          <t xml:space="preserve">Lo articulan con ODS 6,9, 11,12, 14 y 15
</t>
        </r>
      </text>
    </comment>
    <comment ref="Y254" authorId="0" shapeId="0" xr:uid="{D2A2981F-C33B-49F8-9A81-14B2346318B1}">
      <text>
        <r>
          <rPr>
            <b/>
            <sz val="9"/>
            <color indexed="81"/>
            <rFont val="Tahoma"/>
            <family val="2"/>
          </rPr>
          <t>Usuario:</t>
        </r>
        <r>
          <rPr>
            <sz val="9"/>
            <color indexed="81"/>
            <rFont val="Tahoma"/>
            <family val="2"/>
          </rPr>
          <t xml:space="preserve">
Revisar, no hay meta</t>
        </r>
      </text>
    </comment>
    <comment ref="AO254" authorId="2" shapeId="0" xr:uid="{BE3100BA-2CC4-41B7-9DDD-6400A891A620}">
      <text>
        <r>
          <rPr>
            <sz val="11"/>
            <color theme="1"/>
            <rFont val="Arial"/>
            <family val="2"/>
          </rPr>
          <t xml:space="preserve">Lo articulan con ODS 6,9, 11,12, 14 y 15
</t>
        </r>
      </text>
    </comment>
    <comment ref="AO256" authorId="2" shapeId="0" xr:uid="{6669E6DA-9420-4119-8D81-290812F62FD9}">
      <text>
        <r>
          <rPr>
            <sz val="11"/>
            <color theme="1"/>
            <rFont val="Arial"/>
            <family val="2"/>
          </rPr>
          <t xml:space="preserve">Lo articulan con ODS 6,9, 11,12, 14 y 15
</t>
        </r>
      </text>
    </comment>
    <comment ref="AD258" authorId="0" shapeId="0" xr:uid="{9EE7111D-1F93-4F93-9F76-499E58369374}">
      <text>
        <r>
          <rPr>
            <b/>
            <sz val="9"/>
            <color indexed="81"/>
            <rFont val="Tahoma"/>
            <family val="2"/>
          </rPr>
          <t>Usuario:</t>
        </r>
        <r>
          <rPr>
            <sz val="9"/>
            <color indexed="81"/>
            <rFont val="Tahoma"/>
            <family val="2"/>
          </rPr>
          <t xml:space="preserve">
Se ajusto formato a %</t>
        </r>
      </text>
    </comment>
    <comment ref="AO258" authorId="2" shapeId="0" xr:uid="{5277A42F-A728-4AF1-AA3D-960E235AB71C}">
      <text>
        <r>
          <rPr>
            <sz val="11"/>
            <color theme="1"/>
            <rFont val="Arial"/>
            <family val="2"/>
          </rPr>
          <t xml:space="preserve">Lo articulan con ODS 6,9, 11,12, 14 y 15
</t>
        </r>
      </text>
    </comment>
    <comment ref="AO259" authorId="2" shapeId="0" xr:uid="{36E3AB73-35D2-4866-B60A-C480859B930C}">
      <text>
        <r>
          <rPr>
            <sz val="11"/>
            <color theme="1"/>
            <rFont val="Arial"/>
            <family val="2"/>
          </rPr>
          <t xml:space="preserve">Lo articulan con ODS 6,9, 11,12, 14 y 15
</t>
        </r>
      </text>
    </comment>
    <comment ref="W260" authorId="0" shapeId="0" xr:uid="{05E22A69-D3DD-4BBD-A9F0-CD43B1E90206}">
      <text>
        <r>
          <rPr>
            <b/>
            <sz val="9"/>
            <color indexed="81"/>
            <rFont val="Tahoma"/>
            <family val="2"/>
          </rPr>
          <t>Usuario:</t>
        </r>
        <r>
          <rPr>
            <sz val="9"/>
            <color indexed="81"/>
            <rFont val="Tahoma"/>
            <family val="2"/>
          </rPr>
          <t xml:space="preserve">
Ajustado por incporporación programa deficit</t>
        </r>
      </text>
    </comment>
    <comment ref="AD260" authorId="0" shapeId="0" xr:uid="{9392A849-DA26-44B7-B054-10E3DB4302C9}">
      <text>
        <r>
          <rPr>
            <b/>
            <sz val="9"/>
            <color indexed="81"/>
            <rFont val="Tahoma"/>
            <family val="2"/>
          </rPr>
          <t>Usuario:</t>
        </r>
        <r>
          <rPr>
            <sz val="9"/>
            <color indexed="81"/>
            <rFont val="Tahoma"/>
            <family val="2"/>
          </rPr>
          <t xml:space="preserve">
Se ajusto formato a %</t>
        </r>
      </text>
    </comment>
    <comment ref="AO262" authorId="2" shapeId="0" xr:uid="{CF873077-9977-4E0C-8C02-85AE104E5526}">
      <text>
        <r>
          <rPr>
            <sz val="11"/>
            <color theme="1"/>
            <rFont val="Arial"/>
            <family val="2"/>
          </rPr>
          <t xml:space="preserve">Lo articulan con ODS 3, 8,9, 12, y 16
</t>
        </r>
      </text>
    </comment>
    <comment ref="Z264" authorId="0" shapeId="0" xr:uid="{CFEF50E6-C7DD-4568-BBF5-C0BE98E39017}">
      <text>
        <r>
          <rPr>
            <b/>
            <sz val="9"/>
            <color indexed="81"/>
            <rFont val="Tahoma"/>
            <family val="2"/>
          </rPr>
          <t>Usuario:</t>
        </r>
        <r>
          <rPr>
            <sz val="9"/>
            <color indexed="81"/>
            <rFont val="Tahoma"/>
            <family val="2"/>
          </rPr>
          <t xml:space="preserve">
No tenian meta definida</t>
        </r>
      </text>
    </comment>
    <comment ref="AD267" authorId="0" shapeId="0" xr:uid="{AFC44A8E-DDE6-43DF-87C7-CB1FADA62798}">
      <text>
        <r>
          <rPr>
            <b/>
            <sz val="9"/>
            <color indexed="81"/>
            <rFont val="Tahoma"/>
            <family val="2"/>
          </rPr>
          <t>Usuario:</t>
        </r>
        <r>
          <rPr>
            <sz val="9"/>
            <color indexed="81"/>
            <rFont val="Tahoma"/>
            <family val="2"/>
          </rPr>
          <t xml:space="preserve">
Se ajusto formato a %</t>
        </r>
      </text>
    </comment>
    <comment ref="AO267" authorId="2" shapeId="0" xr:uid="{E6CDD107-14F0-4202-8A20-1AC61C107489}">
      <text>
        <r>
          <rPr>
            <sz val="11"/>
            <color theme="1"/>
            <rFont val="Arial"/>
            <family val="2"/>
          </rPr>
          <t xml:space="preserve">Lo articulan con ODS 3, 8,9, 12, y 16
</t>
        </r>
      </text>
    </comment>
    <comment ref="AD268" authorId="0" shapeId="0" xr:uid="{C5655859-5045-453F-B82B-8AEBF895A609}">
      <text>
        <r>
          <rPr>
            <b/>
            <sz val="9"/>
            <color indexed="81"/>
            <rFont val="Tahoma"/>
            <family val="2"/>
          </rPr>
          <t>Usuario:</t>
        </r>
        <r>
          <rPr>
            <sz val="9"/>
            <color indexed="81"/>
            <rFont val="Tahoma"/>
            <family val="2"/>
          </rPr>
          <t xml:space="preserve">
Se ajusto formato a %</t>
        </r>
      </text>
    </comment>
    <comment ref="Y269" authorId="2" shapeId="0" xr:uid="{0761D0ED-E77F-4D1D-9CAA-2CE4821A2FA2}">
      <text>
        <r>
          <rPr>
            <sz val="11"/>
            <color theme="1"/>
            <rFont val="Arial"/>
            <family val="2"/>
          </rPr>
          <t>Revisar, no hay meta definida para este año</t>
        </r>
      </text>
    </comment>
    <comment ref="AD269" authorId="0" shapeId="0" xr:uid="{B433D0C4-C60A-49BF-AA9E-B3FB5FF408BC}">
      <text>
        <r>
          <rPr>
            <b/>
            <sz val="9"/>
            <color indexed="81"/>
            <rFont val="Tahoma"/>
            <family val="2"/>
          </rPr>
          <t>Usuario:</t>
        </r>
        <r>
          <rPr>
            <sz val="9"/>
            <color indexed="81"/>
            <rFont val="Tahoma"/>
            <family val="2"/>
          </rPr>
          <t xml:space="preserve">
Se ajusto formato a %</t>
        </r>
      </text>
    </comment>
    <comment ref="AO269" authorId="2" shapeId="0" xr:uid="{BC43C71C-B42E-4BFB-BF69-03E85E7A03DA}">
      <text>
        <r>
          <rPr>
            <sz val="11"/>
            <color theme="1"/>
            <rFont val="Arial"/>
            <family val="2"/>
          </rPr>
          <t xml:space="preserve">Lo articulan con ODS 3, 8,9, 12, y 16
</t>
        </r>
      </text>
    </comment>
    <comment ref="AD272" authorId="0" shapeId="0" xr:uid="{59E57E93-1D43-4F34-9288-59EC3E80B38C}">
      <text>
        <r>
          <rPr>
            <b/>
            <sz val="9"/>
            <color indexed="81"/>
            <rFont val="Tahoma"/>
            <family val="2"/>
          </rPr>
          <t>Usuario:</t>
        </r>
        <r>
          <rPr>
            <sz val="9"/>
            <color indexed="81"/>
            <rFont val="Tahoma"/>
            <family val="2"/>
          </rPr>
          <t xml:space="preserve">
Se ajusto formato a %</t>
        </r>
      </text>
    </comment>
    <comment ref="AO272" authorId="2" shapeId="0" xr:uid="{8D50E60A-983F-4F54-BFB1-4A8A3F75629D}">
      <text>
        <r>
          <rPr>
            <sz val="11"/>
            <color theme="1"/>
            <rFont val="Arial"/>
            <family val="2"/>
          </rPr>
          <t xml:space="preserve">Articulan con ODS 16
</t>
        </r>
      </text>
    </comment>
    <comment ref="AD273" authorId="0" shapeId="0" xr:uid="{064DA26A-B699-4F13-923D-144EBC6A246D}">
      <text>
        <r>
          <rPr>
            <b/>
            <sz val="9"/>
            <color indexed="81"/>
            <rFont val="Tahoma"/>
            <family val="2"/>
          </rPr>
          <t>Usuario:</t>
        </r>
        <r>
          <rPr>
            <sz val="9"/>
            <color indexed="81"/>
            <rFont val="Tahoma"/>
            <family val="2"/>
          </rPr>
          <t xml:space="preserve">
Se ajusto formato a %</t>
        </r>
      </text>
    </comment>
    <comment ref="AO273" authorId="2" shapeId="0" xr:uid="{8B7AD01E-0F15-401B-ACD8-388225D9CC37}">
      <text>
        <r>
          <rPr>
            <sz val="11"/>
            <color theme="1"/>
            <rFont val="Arial"/>
            <family val="2"/>
          </rPr>
          <t xml:space="preserve">Articulan con ODS 16
</t>
        </r>
      </text>
    </comment>
    <comment ref="AO274" authorId="2" shapeId="0" xr:uid="{43D018A7-D69F-4E16-860B-A40F6989025E}">
      <text>
        <r>
          <rPr>
            <sz val="11"/>
            <color theme="1"/>
            <rFont val="Arial"/>
            <family val="2"/>
          </rPr>
          <t xml:space="preserve">Articulan con ODS 16
</t>
        </r>
      </text>
    </comment>
    <comment ref="AO277" authorId="2" shapeId="0" xr:uid="{36E5EC81-C5AA-4B30-B6FC-B4BD06049671}">
      <text>
        <r>
          <rPr>
            <sz val="11"/>
            <color theme="1"/>
            <rFont val="Arial"/>
            <family val="2"/>
          </rPr>
          <t xml:space="preserve">Articulan con ODS 16
</t>
        </r>
      </text>
    </comment>
    <comment ref="AO280" authorId="2" shapeId="0" xr:uid="{91CDA39C-8119-4505-AE8A-29B2AABA131F}">
      <text>
        <r>
          <rPr>
            <sz val="11"/>
            <color theme="1"/>
            <rFont val="Arial"/>
            <family val="2"/>
          </rPr>
          <t xml:space="preserve">Articulan con ODS 16
</t>
        </r>
      </text>
    </comment>
    <comment ref="AO281" authorId="2" shapeId="0" xr:uid="{D6715613-827E-44A6-B9F6-F42E0410BD62}">
      <text>
        <r>
          <rPr>
            <sz val="11"/>
            <color theme="1"/>
            <rFont val="Arial"/>
            <family val="2"/>
          </rPr>
          <t xml:space="preserve">Articulan con ODS 16
</t>
        </r>
      </text>
    </comment>
    <comment ref="AO283" authorId="2" shapeId="0" xr:uid="{1E364598-13AB-40C8-8768-5586DAD05B45}">
      <text>
        <r>
          <rPr>
            <sz val="11"/>
            <color theme="1"/>
            <rFont val="Arial"/>
            <family val="2"/>
          </rPr>
          <t xml:space="preserve">Articulan con ODS 16
</t>
        </r>
      </text>
    </comment>
    <comment ref="AO285" authorId="2" shapeId="0" xr:uid="{D8F26FFA-DAB4-4EDC-8FBC-6DDC0D21946F}">
      <text>
        <r>
          <rPr>
            <sz val="11"/>
            <color theme="1"/>
            <rFont val="Arial"/>
            <family val="2"/>
          </rPr>
          <t xml:space="preserve">Articulan con ODS 16
</t>
        </r>
      </text>
    </comment>
    <comment ref="AD286" authorId="0" shapeId="0" xr:uid="{2275AB42-3F59-43DD-9A9B-2650339A7952}">
      <text>
        <r>
          <rPr>
            <b/>
            <sz val="9"/>
            <color indexed="81"/>
            <rFont val="Tahoma"/>
            <family val="2"/>
          </rPr>
          <t>Usuario:</t>
        </r>
        <r>
          <rPr>
            <sz val="9"/>
            <color indexed="81"/>
            <rFont val="Tahoma"/>
            <family val="2"/>
          </rPr>
          <t xml:space="preserve">
Se ajusta formato a %</t>
        </r>
      </text>
    </comment>
    <comment ref="AD287" authorId="0" shapeId="0" xr:uid="{B60D9EA5-8EA4-4820-9ACE-3E5BCD7BD087}">
      <text>
        <r>
          <rPr>
            <b/>
            <sz val="9"/>
            <color indexed="81"/>
            <rFont val="Tahoma"/>
            <family val="2"/>
          </rPr>
          <t>Usuario:</t>
        </r>
        <r>
          <rPr>
            <sz val="9"/>
            <color indexed="81"/>
            <rFont val="Tahoma"/>
            <family val="2"/>
          </rPr>
          <t xml:space="preserve">
Se ajusta formato a %</t>
        </r>
      </text>
    </comment>
    <comment ref="AD288" authorId="0" shapeId="0" xr:uid="{C682B18C-B7C7-4157-A95B-B750268F61FA}">
      <text>
        <r>
          <rPr>
            <b/>
            <sz val="9"/>
            <color indexed="81"/>
            <rFont val="Tahoma"/>
            <family val="2"/>
          </rPr>
          <t>Usuario:</t>
        </r>
        <r>
          <rPr>
            <sz val="9"/>
            <color indexed="81"/>
            <rFont val="Tahoma"/>
            <family val="2"/>
          </rPr>
          <t xml:space="preserve">
Se ajusta formato a %</t>
        </r>
      </text>
    </comment>
    <comment ref="AO288" authorId="2" shapeId="0" xr:uid="{550055F7-F06E-4AB5-B7BF-FFB8F7DF4BAC}">
      <text>
        <r>
          <rPr>
            <sz val="11"/>
            <color theme="1"/>
            <rFont val="Arial"/>
            <family val="2"/>
          </rPr>
          <t xml:space="preserve">articulado con ODS 7 y 11
</t>
        </r>
      </text>
    </comment>
    <comment ref="AD289" authorId="0" shapeId="0" xr:uid="{A9CE063F-E236-4DFF-ADB1-01C85AC35E18}">
      <text>
        <r>
          <rPr>
            <b/>
            <sz val="9"/>
            <color indexed="81"/>
            <rFont val="Tahoma"/>
            <family val="2"/>
          </rPr>
          <t>Usuario:</t>
        </r>
        <r>
          <rPr>
            <sz val="9"/>
            <color indexed="81"/>
            <rFont val="Tahoma"/>
            <family val="2"/>
          </rPr>
          <t xml:space="preserve">
Se ajusta formato a %</t>
        </r>
      </text>
    </comment>
    <comment ref="AO290" authorId="2" shapeId="0" xr:uid="{E9A1038D-9262-4AA4-B9EA-0F01B7968B35}">
      <text>
        <r>
          <rPr>
            <sz val="11"/>
            <color theme="1"/>
            <rFont val="Arial"/>
            <family val="2"/>
          </rPr>
          <t xml:space="preserve">articulado con ODS 3,8, 9 y 16
</t>
        </r>
      </text>
    </comment>
    <comment ref="AD291" authorId="0" shapeId="0" xr:uid="{B5E95DA8-3B6C-48DE-9526-3A93F1DBDBC7}">
      <text>
        <r>
          <rPr>
            <b/>
            <sz val="9"/>
            <color indexed="81"/>
            <rFont val="Tahoma"/>
            <family val="2"/>
          </rPr>
          <t>Usuario:</t>
        </r>
        <r>
          <rPr>
            <sz val="9"/>
            <color indexed="81"/>
            <rFont val="Tahoma"/>
            <family val="2"/>
          </rPr>
          <t xml:space="preserve">
Se ajusta formato a %</t>
        </r>
      </text>
    </comment>
    <comment ref="AO291" authorId="2" shapeId="0" xr:uid="{4FECA74D-EF23-4F42-9FD4-F61C37592FD4}">
      <text>
        <r>
          <rPr>
            <sz val="11"/>
            <color theme="1"/>
            <rFont val="Arial"/>
            <family val="2"/>
          </rPr>
          <t xml:space="preserve">articulado con ODS 3,8, 9 y 16
</t>
        </r>
      </text>
    </comment>
    <comment ref="AO292" authorId="2" shapeId="0" xr:uid="{4B6C7819-79D4-4A14-A74E-F19F4DB60FE0}">
      <text>
        <r>
          <rPr>
            <sz val="11"/>
            <color theme="1"/>
            <rFont val="Arial"/>
            <family val="2"/>
          </rPr>
          <t xml:space="preserve">articulado con ODS 3,8, 9 y 16
</t>
        </r>
      </text>
    </comment>
    <comment ref="Z296" authorId="0" shapeId="0" xr:uid="{AF9340E5-A347-48E9-AE9D-E213A9F26C68}">
      <text>
        <r>
          <rPr>
            <b/>
            <sz val="9"/>
            <color indexed="81"/>
            <rFont val="Tahoma"/>
            <family val="2"/>
          </rPr>
          <t>Usuario:</t>
        </r>
        <r>
          <rPr>
            <sz val="9"/>
            <color indexed="81"/>
            <rFont val="Tahoma"/>
            <family val="2"/>
          </rPr>
          <t xml:space="preserve">
No se habia sumado lo del deficit de vigencia</t>
        </r>
      </text>
    </comment>
    <comment ref="AF296" authorId="0" shapeId="0" xr:uid="{E9C9DEFE-EDD3-448F-A67D-21DEB4FD52CA}">
      <text>
        <r>
          <rPr>
            <b/>
            <sz val="9"/>
            <color indexed="81"/>
            <rFont val="Tahoma"/>
            <family val="2"/>
          </rPr>
          <t>Usuario:</t>
        </r>
        <r>
          <rPr>
            <sz val="9"/>
            <color indexed="81"/>
            <rFont val="Tahoma"/>
            <family val="2"/>
          </rPr>
          <t xml:space="preserve">
Informe 2020: 19.669.219.081,06</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B7" authorId="0" shapeId="0" xr:uid="{9D0E63A5-ABED-4779-910A-DAE6566CA5A0}">
      <text>
        <r>
          <rPr>
            <b/>
            <sz val="9"/>
            <color indexed="81"/>
            <rFont val="Tahoma"/>
            <family val="2"/>
          </rPr>
          <t>Usuario:</t>
        </r>
        <r>
          <rPr>
            <sz val="9"/>
            <color indexed="81"/>
            <rFont val="Tahoma"/>
            <family val="2"/>
          </rPr>
          <t xml:space="preserve">
Se reviso informe 2021 y la meta fisica esta rezagada, pero comprometieron y obligaron mas del 70% de los recursos. Por lo tanto, adicionaron más recursos para el cumplimiento de esta meta</t>
        </r>
      </text>
    </comment>
    <comment ref="B8" authorId="0" shapeId="0" xr:uid="{31200EE0-B5AB-4886-95C3-A129373D7D1E}">
      <text>
        <r>
          <rPr>
            <b/>
            <sz val="9"/>
            <color indexed="81"/>
            <rFont val="Tahoma"/>
            <family val="2"/>
          </rPr>
          <t>Usuario:</t>
        </r>
        <r>
          <rPr>
            <sz val="9"/>
            <color indexed="81"/>
            <rFont val="Tahoma"/>
            <family val="2"/>
          </rPr>
          <t xml:space="preserve">
Se reviso informe 2021 y la meta fisica esta rezagada, pero comprometieron y obligaron mas del 70% de los recursos. Por lo tanto, adicionaron más recursos para el cumplimiento de esta meta</t>
        </r>
      </text>
    </comment>
    <comment ref="B10" authorId="0" shapeId="0" xr:uid="{E7673EAE-5950-45C9-833A-EEE61E22AA07}">
      <text>
        <r>
          <rPr>
            <b/>
            <sz val="9"/>
            <color indexed="81"/>
            <rFont val="Tahoma"/>
            <family val="2"/>
          </rPr>
          <t>Usuario:</t>
        </r>
        <r>
          <rPr>
            <sz val="9"/>
            <color indexed="81"/>
            <rFont val="Tahoma"/>
            <family val="2"/>
          </rPr>
          <t xml:space="preserve">
Traslado por Res. 475 de 11 de agosto. Actualizar</t>
        </r>
      </text>
    </comment>
    <comment ref="B16" authorId="0" shapeId="0" xr:uid="{45733256-BB26-49F5-BEA1-13CEB0A4E796}">
      <text>
        <r>
          <rPr>
            <b/>
            <sz val="9"/>
            <color indexed="81"/>
            <rFont val="Tahoma"/>
            <family val="2"/>
          </rPr>
          <t>Usuario:</t>
        </r>
        <r>
          <rPr>
            <sz val="9"/>
            <color indexed="81"/>
            <rFont val="Tahoma"/>
            <family val="2"/>
          </rPr>
          <t xml:space="preserve">
Traslado por Res. 475 de 11 de agosto. Actualizar</t>
        </r>
      </text>
    </comment>
    <comment ref="B45" authorId="0" shapeId="0" xr:uid="{BAEDF279-8711-4050-B292-EB6F967CB407}">
      <text>
        <r>
          <rPr>
            <b/>
            <sz val="9"/>
            <color indexed="81"/>
            <rFont val="Tahoma"/>
            <family val="2"/>
          </rPr>
          <t>Usuario:</t>
        </r>
        <r>
          <rPr>
            <sz val="9"/>
            <color indexed="81"/>
            <rFont val="Tahoma"/>
            <family val="2"/>
          </rPr>
          <t xml:space="preserve">
Acuerdo 008 de 28 jul 2022. Traslado </t>
        </r>
      </text>
    </comment>
    <comment ref="B49" authorId="0" shapeId="0" xr:uid="{5760DBAB-76F5-40BC-903F-3E5AA0FB6402}">
      <text>
        <r>
          <rPr>
            <b/>
            <sz val="9"/>
            <color indexed="81"/>
            <rFont val="Tahoma"/>
            <family val="2"/>
          </rPr>
          <t>Usuario:</t>
        </r>
        <r>
          <rPr>
            <sz val="9"/>
            <color indexed="81"/>
            <rFont val="Tahoma"/>
            <family val="2"/>
          </rPr>
          <t xml:space="preserve">
revisar para la vigencia no hay meta</t>
        </r>
      </text>
    </comment>
    <comment ref="B51" authorId="0" shapeId="0" xr:uid="{05B0EB74-49B8-4EA8-B9DF-C2131C5C5378}">
      <text>
        <r>
          <rPr>
            <b/>
            <sz val="9"/>
            <color indexed="81"/>
            <rFont val="Tahoma"/>
            <family val="2"/>
          </rPr>
          <t>Usuario:</t>
        </r>
        <r>
          <rPr>
            <sz val="9"/>
            <color indexed="81"/>
            <rFont val="Tahoma"/>
            <family val="2"/>
          </rPr>
          <t xml:space="preserve">
Trasalado por resolución 0483 de 16 agosto 2022. Confirmar valores</t>
        </r>
      </text>
    </comment>
    <comment ref="B52" authorId="0" shapeId="0" xr:uid="{F63D6EBA-5B53-40FF-8ED2-DE65BBD3E638}">
      <text>
        <r>
          <rPr>
            <b/>
            <sz val="9"/>
            <color indexed="81"/>
            <rFont val="Tahoma"/>
            <family val="2"/>
          </rPr>
          <t>Usuario:</t>
        </r>
        <r>
          <rPr>
            <sz val="9"/>
            <color indexed="81"/>
            <rFont val="Tahoma"/>
            <family val="2"/>
          </rPr>
          <t xml:space="preserve">
Trasalado por resolución 0483 de 16 agosto 2022. Confirmar valores</t>
        </r>
      </text>
    </comment>
    <comment ref="B66" authorId="0" shapeId="0" xr:uid="{03457210-8E66-4ABC-AB76-64A805AA5021}">
      <text>
        <r>
          <rPr>
            <b/>
            <sz val="9"/>
            <color indexed="81"/>
            <rFont val="Tahoma"/>
            <family val="2"/>
          </rPr>
          <t>Usuario:</t>
        </r>
        <r>
          <rPr>
            <sz val="9"/>
            <color indexed="81"/>
            <rFont val="Tahoma"/>
            <family val="2"/>
          </rPr>
          <t xml:space="preserve">
revisar distribución de acuerdo a indicador</t>
        </r>
      </text>
    </comment>
    <comment ref="B92" authorId="0" shapeId="0" xr:uid="{03653896-86AA-49E8-8C25-531653660DF6}">
      <text>
        <r>
          <rPr>
            <b/>
            <sz val="9"/>
            <color indexed="81"/>
            <rFont val="Tahoma"/>
            <family val="2"/>
          </rPr>
          <t>Usuario:</t>
        </r>
        <r>
          <rPr>
            <sz val="9"/>
            <color indexed="81"/>
            <rFont val="Tahoma"/>
            <family val="2"/>
          </rPr>
          <t xml:space="preserve">
Traslado. resolución No. 000496 de 2022. Confirmar valores</t>
        </r>
      </text>
    </comment>
    <comment ref="B93" authorId="0" shapeId="0" xr:uid="{1E133739-F12F-49D4-AA9E-E85FFDA3BBB3}">
      <text>
        <r>
          <rPr>
            <b/>
            <sz val="9"/>
            <color indexed="81"/>
            <rFont val="Tahoma"/>
            <family val="2"/>
          </rPr>
          <t>Usuario:</t>
        </r>
        <r>
          <rPr>
            <sz val="9"/>
            <color indexed="81"/>
            <rFont val="Tahoma"/>
            <family val="2"/>
          </rPr>
          <t xml:space="preserve">
Traslado. resolución No. 000496 de 2022. Confirmar valores</t>
        </r>
      </text>
    </comment>
    <comment ref="B112" authorId="0" shapeId="0" xr:uid="{5DF2CABD-3852-4FAC-A2FF-BFB0B9325605}">
      <text>
        <r>
          <rPr>
            <b/>
            <sz val="9"/>
            <color indexed="81"/>
            <rFont val="Tahoma"/>
            <family val="2"/>
          </rPr>
          <t>Usuario:</t>
        </r>
        <r>
          <rPr>
            <sz val="9"/>
            <color indexed="81"/>
            <rFont val="Tahoma"/>
            <family val="2"/>
          </rPr>
          <t xml:space="preserve">
Acuerdo 008 de 28 jul 2022. Traslado 
Resolución 0501 de 2022, adición 1950 mill</t>
        </r>
      </text>
    </comment>
    <comment ref="A117" authorId="0" shapeId="0" xr:uid="{6BB13A7E-3040-400B-B457-48312BAA419E}">
      <text>
        <r>
          <rPr>
            <b/>
            <sz val="9"/>
            <color indexed="81"/>
            <rFont val="Tahoma"/>
            <family val="2"/>
          </rPr>
          <t>Usuario:</t>
        </r>
        <r>
          <rPr>
            <sz val="9"/>
            <color indexed="81"/>
            <rFont val="Tahoma"/>
            <family val="2"/>
          </rPr>
          <t xml:space="preserve">
Penduente porque meta estaba en cero</t>
        </r>
      </text>
    </comment>
    <comment ref="A123" authorId="0" shapeId="0" xr:uid="{5FB7FDD4-1919-4918-A73B-F9B896D1F77E}">
      <text>
        <r>
          <rPr>
            <b/>
            <sz val="9"/>
            <color indexed="81"/>
            <rFont val="Tahoma"/>
            <family val="2"/>
          </rPr>
          <t>Usuario:</t>
        </r>
        <r>
          <rPr>
            <sz val="9"/>
            <color indexed="81"/>
            <rFont val="Tahoma"/>
            <family val="2"/>
          </rPr>
          <t xml:space="preserve">
Pendiente hasta correr migración</t>
        </r>
      </text>
    </comment>
    <comment ref="A128" authorId="0" shapeId="0" xr:uid="{970FED3D-E837-4A3C-BABF-593CCAC46EDB}">
      <text>
        <r>
          <rPr>
            <b/>
            <sz val="9"/>
            <color indexed="81"/>
            <rFont val="Tahoma"/>
            <family val="2"/>
          </rPr>
          <t>Usuario:</t>
        </r>
        <r>
          <rPr>
            <sz val="9"/>
            <color indexed="81"/>
            <rFont val="Tahoma"/>
            <family val="2"/>
          </rPr>
          <t xml:space="preserve">
Pendiente, se debe hacer por migración para ajuste de meta</t>
        </r>
      </text>
    </comment>
    <comment ref="B159" authorId="0" shapeId="0" xr:uid="{66A8388B-C134-4410-B85A-31F966D61E4D}">
      <text>
        <r>
          <rPr>
            <b/>
            <sz val="9"/>
            <color indexed="81"/>
            <rFont val="Tahoma"/>
            <family val="2"/>
          </rPr>
          <t>Usuario:</t>
        </r>
        <r>
          <rPr>
            <sz val="9"/>
            <color indexed="81"/>
            <rFont val="Tahoma"/>
            <family val="2"/>
          </rPr>
          <t xml:space="preserve">
Resolución 0501 de 2022. Adicion de 3550 mill por Recursos de credito. Revisar distribución</t>
        </r>
      </text>
    </comment>
    <comment ref="F162" authorId="0" shapeId="0" xr:uid="{B2BFCC8E-6A3D-4F05-8567-583E86FE48C0}">
      <text>
        <r>
          <rPr>
            <b/>
            <sz val="9"/>
            <color indexed="81"/>
            <rFont val="Tahoma"/>
            <family val="2"/>
          </rPr>
          <t>Usuario:</t>
        </r>
        <r>
          <rPr>
            <sz val="9"/>
            <color indexed="81"/>
            <rFont val="Tahoma"/>
            <family val="2"/>
          </rPr>
          <t xml:space="preserve">
Se tomo como referente el valor de los recaudos</t>
        </r>
      </text>
    </comment>
    <comment ref="J162" authorId="0" shapeId="0" xr:uid="{BD1B9143-0D1E-4327-8E6A-8F35AD1A251B}">
      <text>
        <r>
          <rPr>
            <b/>
            <sz val="9"/>
            <color indexed="81"/>
            <rFont val="Tahoma"/>
            <family val="2"/>
          </rPr>
          <t>Usuario:</t>
        </r>
        <r>
          <rPr>
            <sz val="9"/>
            <color indexed="81"/>
            <rFont val="Tahoma"/>
            <family val="2"/>
          </rPr>
          <t xml:space="preserve">
Lo pagado excede el recaudo</t>
        </r>
      </text>
    </comment>
    <comment ref="N162" authorId="0" shapeId="0" xr:uid="{C429D686-3F05-477B-86DF-8C37F0181804}">
      <text>
        <r>
          <rPr>
            <b/>
            <sz val="9"/>
            <color indexed="81"/>
            <rFont val="Tahoma"/>
            <family val="2"/>
          </rPr>
          <t>Usuario:</t>
        </r>
        <r>
          <rPr>
            <sz val="9"/>
            <color indexed="81"/>
            <rFont val="Tahoma"/>
            <family val="2"/>
          </rPr>
          <t xml:space="preserve">
Cubre lo pagado y la transferencia al FCA?</t>
        </r>
      </text>
    </comment>
    <comment ref="V162" authorId="0" shapeId="0" xr:uid="{96DAC71F-DFFE-4562-8B6A-C9913E89F9CE}">
      <text>
        <r>
          <rPr>
            <b/>
            <sz val="9"/>
            <color indexed="81"/>
            <rFont val="Tahoma"/>
            <family val="2"/>
          </rPr>
          <t>Usuario:</t>
        </r>
        <r>
          <rPr>
            <sz val="9"/>
            <color indexed="81"/>
            <rFont val="Tahoma"/>
            <family val="2"/>
          </rPr>
          <t xml:space="preserve">
Cubre lo pagado y la transferenica al FCA?</t>
        </r>
      </text>
    </comment>
    <comment ref="AP162" authorId="0" shapeId="0" xr:uid="{7D29B378-9992-4C46-A485-B36326ABEBD9}">
      <text>
        <r>
          <rPr>
            <b/>
            <sz val="9"/>
            <color indexed="81"/>
            <rFont val="Tahoma"/>
            <family val="2"/>
          </rPr>
          <t>Usuario:</t>
        </r>
        <r>
          <rPr>
            <sz val="9"/>
            <color indexed="81"/>
            <rFont val="Tahoma"/>
            <family val="2"/>
          </rPr>
          <t xml:space="preserve">
El pago excede el recaudo</t>
        </r>
      </text>
    </comment>
    <comment ref="AT162" authorId="0" shapeId="0" xr:uid="{486E34DB-C70B-4315-8F2D-45B1A123BD02}">
      <text>
        <r>
          <rPr>
            <b/>
            <sz val="9"/>
            <color indexed="81"/>
            <rFont val="Tahoma"/>
            <family val="2"/>
          </rPr>
          <t>Usuario:</t>
        </r>
        <r>
          <rPr>
            <sz val="9"/>
            <color indexed="81"/>
            <rFont val="Tahoma"/>
            <family val="2"/>
          </rPr>
          <t xml:space="preserve">
Cubre el recaudo y la Transferencia al FCA?</t>
        </r>
      </text>
    </comment>
    <comment ref="AX162" authorId="0" shapeId="0" xr:uid="{B563EAA8-0E8B-453C-A7C7-A4EE99587696}">
      <text>
        <r>
          <rPr>
            <b/>
            <sz val="9"/>
            <color indexed="81"/>
            <rFont val="Tahoma"/>
            <family val="2"/>
          </rPr>
          <t>Usuario:</t>
        </r>
        <r>
          <rPr>
            <sz val="9"/>
            <color indexed="81"/>
            <rFont val="Tahoma"/>
            <family val="2"/>
          </rPr>
          <t xml:space="preserve">
Cubre el recaudo y la Transferencia al FCA?</t>
        </r>
      </text>
    </comment>
    <comment ref="BN162" authorId="0" shapeId="0" xr:uid="{2D184E7C-2A0A-4451-8240-30EC183893AC}">
      <text>
        <r>
          <rPr>
            <b/>
            <sz val="9"/>
            <color indexed="81"/>
            <rFont val="Tahoma"/>
            <family val="2"/>
          </rPr>
          <t>Usuario:</t>
        </r>
        <r>
          <rPr>
            <sz val="9"/>
            <color indexed="81"/>
            <rFont val="Tahoma"/>
            <family val="2"/>
          </rPr>
          <t xml:space="preserve">
Cubre el recaudo y la Transferencia al FCA?</t>
        </r>
      </text>
    </comment>
    <comment ref="BZ162" authorId="0" shapeId="0" xr:uid="{49873410-4468-473C-8F1F-12DFDDEAD142}">
      <text>
        <r>
          <rPr>
            <b/>
            <sz val="9"/>
            <color indexed="81"/>
            <rFont val="Tahoma"/>
            <family val="2"/>
          </rPr>
          <t>Usuario:</t>
        </r>
        <r>
          <rPr>
            <sz val="9"/>
            <color indexed="81"/>
            <rFont val="Tahoma"/>
            <family val="2"/>
          </rPr>
          <t xml:space="preserve">
El pago excede el recaudo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CQ2" authorId="0" shapeId="0" xr:uid="{1A67A053-9DDC-4F5C-BDBD-182CF4E1578D}">
      <text>
        <r>
          <rPr>
            <b/>
            <sz val="9"/>
            <color indexed="81"/>
            <rFont val="Tahoma"/>
            <family val="2"/>
          </rPr>
          <t>Usuario:</t>
        </r>
        <r>
          <rPr>
            <sz val="9"/>
            <color indexed="81"/>
            <rFont val="Tahoma"/>
            <family val="2"/>
          </rPr>
          <t xml:space="preserve">
Se debe ajustar fuente en informe CARdinal, era Fonam y no PGN</t>
        </r>
      </text>
    </comment>
    <comment ref="B8" authorId="0" shapeId="0" xr:uid="{8AE8A8A3-9569-4939-AF08-55C021AE1602}">
      <text>
        <r>
          <rPr>
            <b/>
            <sz val="9"/>
            <color indexed="81"/>
            <rFont val="Tahoma"/>
            <family val="2"/>
          </rPr>
          <t>Usuario:</t>
        </r>
        <r>
          <rPr>
            <sz val="9"/>
            <color indexed="81"/>
            <rFont val="Tahoma"/>
            <family val="2"/>
          </rPr>
          <t xml:space="preserve">
Se reviso informe 2021 y la meta fisica esta rezagada, pero comprometieron y obligaron mas del 70% de los recursos. Por lo tanto, adicionaron más recursos para el cumplimiento de esta meta</t>
        </r>
      </text>
    </comment>
    <comment ref="B9" authorId="0" shapeId="0" xr:uid="{36AFF29B-CDAE-4BEC-A7CE-AECE28C4D8D7}">
      <text>
        <r>
          <rPr>
            <b/>
            <sz val="9"/>
            <color indexed="81"/>
            <rFont val="Tahoma"/>
            <family val="2"/>
          </rPr>
          <t>Usuario:</t>
        </r>
        <r>
          <rPr>
            <sz val="9"/>
            <color indexed="81"/>
            <rFont val="Tahoma"/>
            <family val="2"/>
          </rPr>
          <t xml:space="preserve">
Se reviso informe 2021 y la meta fisica esta rezagada, pero comprometieron y obligaron mas del 70% de los recursos. Por lo tanto, adicionaron más recursos para el cumplimiento de esta meta</t>
        </r>
      </text>
    </comment>
    <comment ref="B11" authorId="0" shapeId="0" xr:uid="{C5DEB130-9674-4810-A8D8-5645F6E620DD}">
      <text>
        <r>
          <rPr>
            <b/>
            <sz val="9"/>
            <color indexed="81"/>
            <rFont val="Tahoma"/>
            <family val="2"/>
          </rPr>
          <t>Usuario:</t>
        </r>
        <r>
          <rPr>
            <sz val="9"/>
            <color indexed="81"/>
            <rFont val="Tahoma"/>
            <family val="2"/>
          </rPr>
          <t xml:space="preserve">
En junio 400, comprometidos $378.855.558.
Adición de 77.500.000 por Res. 475 de 11 de agosto. </t>
        </r>
      </text>
    </comment>
    <comment ref="B12" authorId="0" shapeId="0" xr:uid="{7352C81A-B08D-4745-BF35-762A6B0FC1D8}">
      <text>
        <r>
          <rPr>
            <b/>
            <sz val="9"/>
            <color indexed="81"/>
            <rFont val="Tahoma"/>
            <family val="2"/>
          </rPr>
          <t>Usuario:</t>
        </r>
        <r>
          <rPr>
            <sz val="9"/>
            <color indexed="81"/>
            <rFont val="Tahoma"/>
            <family val="2"/>
          </rPr>
          <t xml:space="preserve">
En junio 150</t>
        </r>
      </text>
    </comment>
    <comment ref="B14" authorId="0" shapeId="0" xr:uid="{F20CBAEB-57EF-456D-8AEF-99DD53001CBA}">
      <text>
        <r>
          <rPr>
            <b/>
            <sz val="9"/>
            <color indexed="81"/>
            <rFont val="Tahoma"/>
            <family val="2"/>
          </rPr>
          <t>Usuario:</t>
        </r>
        <r>
          <rPr>
            <sz val="9"/>
            <color indexed="81"/>
            <rFont val="Tahoma"/>
            <family val="2"/>
          </rPr>
          <t xml:space="preserve">
En Junio 31.346.998.216</t>
        </r>
      </text>
    </comment>
    <comment ref="B15" authorId="0" shapeId="0" xr:uid="{25623355-A588-46AD-AFBB-9546652F97AE}">
      <text>
        <r>
          <rPr>
            <b/>
            <sz val="9"/>
            <color indexed="81"/>
            <rFont val="Tahoma"/>
            <family val="2"/>
          </rPr>
          <t>Usuario:</t>
        </r>
        <r>
          <rPr>
            <sz val="9"/>
            <color indexed="81"/>
            <rFont val="Tahoma"/>
            <family val="2"/>
          </rPr>
          <t xml:space="preserve">
En Junio 1400, de los cuales comprometidos $594.286.740. 
Por Acuerdo 019 de 2022, hacen un traslado de 670 mill a la act 1.2.3.2</t>
        </r>
      </text>
    </comment>
    <comment ref="B17" authorId="0" shapeId="0" xr:uid="{6DD3D560-275A-4A43-B403-1882172C0AFD}">
      <text>
        <r>
          <rPr>
            <b/>
            <sz val="9"/>
            <color indexed="81"/>
            <rFont val="Tahoma"/>
            <family val="2"/>
          </rPr>
          <t>Usuario:</t>
        </r>
        <r>
          <rPr>
            <sz val="9"/>
            <color indexed="81"/>
            <rFont val="Tahoma"/>
            <family val="2"/>
          </rPr>
          <t xml:space="preserve">
En Junio $400, comprometidos $47.087.433
Traslado a 1.1.2.1. de $77.500.000 por Res. 475 de 11 de agosto.</t>
        </r>
      </text>
    </comment>
    <comment ref="B18" authorId="0" shapeId="0" xr:uid="{31EF3CC7-FA9D-431A-8B11-9D5606E16D13}">
      <text>
        <r>
          <rPr>
            <b/>
            <sz val="9"/>
            <color indexed="81"/>
            <rFont val="Tahoma"/>
            <family val="2"/>
          </rPr>
          <t>Usuario:</t>
        </r>
        <r>
          <rPr>
            <sz val="9"/>
            <color indexed="81"/>
            <rFont val="Tahoma"/>
            <family val="2"/>
          </rPr>
          <t xml:space="preserve">
en Junio 200</t>
        </r>
      </text>
    </comment>
    <comment ref="B19" authorId="0" shapeId="0" xr:uid="{033E003C-64DC-4599-82B2-843B0F68B7E0}">
      <text>
        <r>
          <rPr>
            <b/>
            <sz val="9"/>
            <color indexed="81"/>
            <rFont val="Tahoma"/>
            <family val="2"/>
          </rPr>
          <t>Usuario:</t>
        </r>
        <r>
          <rPr>
            <sz val="9"/>
            <color indexed="81"/>
            <rFont val="Tahoma"/>
            <family val="2"/>
          </rPr>
          <t xml:space="preserve">
en Junio 200</t>
        </r>
      </text>
    </comment>
    <comment ref="B20" authorId="0" shapeId="0" xr:uid="{9BD49A80-E0B0-4EE3-A6C6-4632DAD61A32}">
      <text>
        <r>
          <rPr>
            <b/>
            <sz val="9"/>
            <color indexed="81"/>
            <rFont val="Tahoma"/>
            <family val="2"/>
          </rPr>
          <t>Usuario:</t>
        </r>
        <r>
          <rPr>
            <sz val="9"/>
            <color indexed="81"/>
            <rFont val="Tahoma"/>
            <family val="2"/>
          </rPr>
          <t xml:space="preserve">
en Junio 170</t>
        </r>
      </text>
    </comment>
    <comment ref="B21" authorId="0" shapeId="0" xr:uid="{FB64D0CD-88B6-47CC-B035-2244112F66C9}">
      <text>
        <r>
          <rPr>
            <b/>
            <sz val="9"/>
            <color indexed="81"/>
            <rFont val="Tahoma"/>
            <family val="2"/>
          </rPr>
          <t>Usuario:</t>
        </r>
        <r>
          <rPr>
            <sz val="9"/>
            <color indexed="81"/>
            <rFont val="Tahoma"/>
            <family val="2"/>
          </rPr>
          <t xml:space="preserve">
en Junio 900</t>
        </r>
      </text>
    </comment>
    <comment ref="B25" authorId="0" shapeId="0" xr:uid="{314A7828-2682-4990-8A7D-8DB30ABAF292}">
      <text>
        <r>
          <rPr>
            <b/>
            <sz val="9"/>
            <color indexed="81"/>
            <rFont val="Tahoma"/>
            <family val="2"/>
          </rPr>
          <t>Usuario:</t>
        </r>
        <r>
          <rPr>
            <sz val="9"/>
            <color indexed="81"/>
            <rFont val="Tahoma"/>
            <family val="2"/>
          </rPr>
          <t xml:space="preserve">
en Junio 120</t>
        </r>
      </text>
    </comment>
    <comment ref="B26" authorId="0" shapeId="0" xr:uid="{015D74C2-2462-4399-A033-87676D85478C}">
      <text>
        <r>
          <rPr>
            <b/>
            <sz val="9"/>
            <color indexed="81"/>
            <rFont val="Tahoma"/>
            <family val="2"/>
          </rPr>
          <t>Usuario:</t>
        </r>
        <r>
          <rPr>
            <sz val="9"/>
            <color indexed="81"/>
            <rFont val="Tahoma"/>
            <family val="2"/>
          </rPr>
          <t xml:space="preserve">
en Junio 3660 y comprometidos $3.524.580.000</t>
        </r>
      </text>
    </comment>
    <comment ref="B27" authorId="0" shapeId="0" xr:uid="{4101DC0B-E8F1-456D-A5F5-A5D86BF35C0F}">
      <text>
        <r>
          <rPr>
            <b/>
            <sz val="9"/>
            <color indexed="81"/>
            <rFont val="Tahoma"/>
            <family val="2"/>
          </rPr>
          <t>Usuario:</t>
        </r>
        <r>
          <rPr>
            <sz val="9"/>
            <color indexed="81"/>
            <rFont val="Tahoma"/>
            <family val="2"/>
          </rPr>
          <t xml:space="preserve">
en Junio 8000 y comprometidos $7.704.352.654.
Acuerdo 019 de 2022, adiciona $1.029.126.021</t>
        </r>
      </text>
    </comment>
    <comment ref="B45" authorId="0" shapeId="0" xr:uid="{3728D8BC-E30E-4E4A-B3AF-C458CAB16963}">
      <text>
        <r>
          <rPr>
            <b/>
            <sz val="9"/>
            <color indexed="81"/>
            <rFont val="Tahoma"/>
            <family val="2"/>
          </rPr>
          <t>Usuario:</t>
        </r>
        <r>
          <rPr>
            <sz val="9"/>
            <color indexed="81"/>
            <rFont val="Tahoma"/>
            <family val="2"/>
          </rPr>
          <t xml:space="preserve">
en Junio 400</t>
        </r>
      </text>
    </comment>
    <comment ref="B46" authorId="0" shapeId="0" xr:uid="{29779F88-D82A-4D43-B134-4492A0A3171D}">
      <text>
        <r>
          <rPr>
            <b/>
            <sz val="9"/>
            <color indexed="81"/>
            <rFont val="Tahoma"/>
            <family val="2"/>
          </rPr>
          <t>Usuario:</t>
        </r>
        <r>
          <rPr>
            <sz val="9"/>
            <color indexed="81"/>
            <rFont val="Tahoma"/>
            <family val="2"/>
          </rPr>
          <t xml:space="preserve">
En junio 700. Por Acuerdo 008 de 28 jul 2022, se trasladaron $632.700.00 a 4.7.1.1.
</t>
        </r>
      </text>
    </comment>
    <comment ref="B50" authorId="0" shapeId="0" xr:uid="{8B7C8639-0B10-41E8-A20F-65698D514C9D}">
      <text>
        <r>
          <rPr>
            <b/>
            <sz val="9"/>
            <color indexed="81"/>
            <rFont val="Tahoma"/>
            <family val="2"/>
          </rPr>
          <t>Usuario:</t>
        </r>
        <r>
          <rPr>
            <sz val="9"/>
            <color indexed="81"/>
            <rFont val="Tahoma"/>
            <family val="2"/>
          </rPr>
          <t xml:space="preserve">
revisar para la vigencia no hay meta</t>
        </r>
      </text>
    </comment>
    <comment ref="B52" authorId="0" shapeId="0" xr:uid="{B16748D5-0C1C-43FB-8B71-9F86FF6634F2}">
      <text>
        <r>
          <rPr>
            <b/>
            <sz val="9"/>
            <color indexed="81"/>
            <rFont val="Tahoma"/>
            <family val="2"/>
          </rPr>
          <t>Usuario:</t>
        </r>
        <r>
          <rPr>
            <sz val="9"/>
            <color indexed="81"/>
            <rFont val="Tahoma"/>
            <family val="2"/>
          </rPr>
          <t xml:space="preserve">
En Junio 200, comprometidos $49.321.527
Adicion de 110  por resolución 0483 de 16 agosto 2022. 
</t>
        </r>
      </text>
    </comment>
    <comment ref="B53" authorId="0" shapeId="0" xr:uid="{DB88214E-DFC8-4080-83AD-5B793AFC7F77}">
      <text>
        <r>
          <rPr>
            <b/>
            <sz val="9"/>
            <color indexed="81"/>
            <rFont val="Tahoma"/>
            <family val="2"/>
          </rPr>
          <t>Usuario:</t>
        </r>
        <r>
          <rPr>
            <sz val="9"/>
            <color indexed="81"/>
            <rFont val="Tahoma"/>
            <family val="2"/>
          </rPr>
          <t xml:space="preserve">
En Junio 125, comprometido $8.325.952
Trasalado de 110 a 2.3.2.2.,  por resolución 0483 de 16 agosto 2022.
</t>
        </r>
      </text>
    </comment>
    <comment ref="B67" authorId="0" shapeId="0" xr:uid="{0F749AEC-17A5-4A3F-9A1F-694407E8A505}">
      <text>
        <r>
          <rPr>
            <b/>
            <sz val="9"/>
            <color indexed="81"/>
            <rFont val="Tahoma"/>
            <family val="2"/>
          </rPr>
          <t>Usuario:</t>
        </r>
        <r>
          <rPr>
            <sz val="9"/>
            <color indexed="81"/>
            <rFont val="Tahoma"/>
            <family val="2"/>
          </rPr>
          <t xml:space="preserve">
revisar distribución de acuerdo a indicador</t>
        </r>
      </text>
    </comment>
    <comment ref="B72" authorId="0" shapeId="0" xr:uid="{F682D370-3CDD-403F-9B41-8E0756B2BBC9}">
      <text>
        <r>
          <rPr>
            <b/>
            <sz val="9"/>
            <color indexed="81"/>
            <rFont val="Tahoma"/>
            <family val="2"/>
          </rPr>
          <t>Usuario:</t>
        </r>
        <r>
          <rPr>
            <sz val="9"/>
            <color indexed="81"/>
            <rFont val="Tahoma"/>
            <family val="2"/>
          </rPr>
          <t xml:space="preserve">
en Junio 100</t>
        </r>
      </text>
    </comment>
    <comment ref="B73" authorId="0" shapeId="0" xr:uid="{5D625D2B-03B6-4363-9A55-CAA18440F659}">
      <text>
        <r>
          <rPr>
            <b/>
            <sz val="9"/>
            <color indexed="81"/>
            <rFont val="Tahoma"/>
            <family val="2"/>
          </rPr>
          <t>Usuario:</t>
        </r>
        <r>
          <rPr>
            <sz val="9"/>
            <color indexed="81"/>
            <rFont val="Tahoma"/>
            <family val="2"/>
          </rPr>
          <t xml:space="preserve">
en Junio 30</t>
        </r>
      </text>
    </comment>
    <comment ref="B85" authorId="0" shapeId="0" xr:uid="{DA668E8E-4BFA-4D8B-971D-EF38983C39D4}">
      <text>
        <r>
          <rPr>
            <b/>
            <sz val="9"/>
            <color indexed="81"/>
            <rFont val="Tahoma"/>
            <family val="2"/>
          </rPr>
          <t>Usuario:</t>
        </r>
        <r>
          <rPr>
            <sz val="9"/>
            <color indexed="81"/>
            <rFont val="Tahoma"/>
            <family val="2"/>
          </rPr>
          <t xml:space="preserve">
en Junio 175</t>
        </r>
      </text>
    </comment>
    <comment ref="B88" authorId="0" shapeId="0" xr:uid="{5F433D55-1DD2-4966-B4DD-4314A968F98F}">
      <text>
        <r>
          <rPr>
            <b/>
            <sz val="9"/>
            <color indexed="81"/>
            <rFont val="Tahoma"/>
            <family val="2"/>
          </rPr>
          <t>Usuario:</t>
        </r>
        <r>
          <rPr>
            <sz val="9"/>
            <color indexed="81"/>
            <rFont val="Tahoma"/>
            <family val="2"/>
          </rPr>
          <t xml:space="preserve">
en Junio 350</t>
        </r>
      </text>
    </comment>
    <comment ref="B90" authorId="0" shapeId="0" xr:uid="{EA1D8FB0-8A6F-43D3-8231-A9F734C320F8}">
      <text>
        <r>
          <rPr>
            <b/>
            <sz val="9"/>
            <color indexed="81"/>
            <rFont val="Tahoma"/>
            <family val="2"/>
          </rPr>
          <t>Usuario:</t>
        </r>
        <r>
          <rPr>
            <sz val="9"/>
            <color indexed="81"/>
            <rFont val="Tahoma"/>
            <family val="2"/>
          </rPr>
          <t xml:space="preserve">
en Junio 355</t>
        </r>
      </text>
    </comment>
    <comment ref="B93" authorId="0" shapeId="0" xr:uid="{555F5056-29B1-4FB2-9194-243771A2AB47}">
      <text>
        <r>
          <rPr>
            <b/>
            <sz val="9"/>
            <color indexed="81"/>
            <rFont val="Tahoma"/>
            <family val="2"/>
          </rPr>
          <t>Usuario:</t>
        </r>
        <r>
          <rPr>
            <sz val="9"/>
            <color indexed="81"/>
            <rFont val="Tahoma"/>
            <family val="2"/>
          </rPr>
          <t xml:space="preserve">
En Junio 92.500.000, comprometido $3.950.082
Traslado de 80 mill a 4.4.1.5. Resolución No. 000496 de 2022. </t>
        </r>
      </text>
    </comment>
    <comment ref="B94" authorId="0" shapeId="0" xr:uid="{0663E621-8289-4260-93BC-2A593D43656D}">
      <text>
        <r>
          <rPr>
            <b/>
            <sz val="9"/>
            <color indexed="81"/>
            <rFont val="Tahoma"/>
            <family val="2"/>
          </rPr>
          <t>Usuario:</t>
        </r>
        <r>
          <rPr>
            <sz val="9"/>
            <color indexed="81"/>
            <rFont val="Tahoma"/>
            <family val="2"/>
          </rPr>
          <t xml:space="preserve">
En Junio 260, comprometido $246.233.887,36
Adición de 80 mill. resolución No. 000496 de 2022. 
</t>
        </r>
      </text>
    </comment>
    <comment ref="B99" authorId="0" shapeId="0" xr:uid="{FE01E5A0-39B3-4DD1-82AC-B65B5B105BCC}">
      <text>
        <r>
          <rPr>
            <b/>
            <sz val="9"/>
            <color indexed="81"/>
            <rFont val="Tahoma"/>
            <family val="2"/>
          </rPr>
          <t>Usuario:</t>
        </r>
        <r>
          <rPr>
            <sz val="9"/>
            <color indexed="81"/>
            <rFont val="Tahoma"/>
            <family val="2"/>
          </rPr>
          <t xml:space="preserve">
en Junio 50</t>
        </r>
      </text>
    </comment>
    <comment ref="B100" authorId="0" shapeId="0" xr:uid="{3C7B5DAF-8C02-43AE-8B3A-14FAE4A28F00}">
      <text>
        <r>
          <rPr>
            <b/>
            <sz val="9"/>
            <color indexed="81"/>
            <rFont val="Tahoma"/>
            <family val="2"/>
          </rPr>
          <t>Usuario:</t>
        </r>
        <r>
          <rPr>
            <sz val="9"/>
            <color indexed="81"/>
            <rFont val="Tahoma"/>
            <family val="2"/>
          </rPr>
          <t xml:space="preserve">
en Junio 50</t>
        </r>
      </text>
    </comment>
    <comment ref="B110" authorId="0" shapeId="0" xr:uid="{51BE3E6E-6DFE-473D-A9F1-D044DB9B4C4C}">
      <text>
        <r>
          <rPr>
            <b/>
            <sz val="9"/>
            <color indexed="81"/>
            <rFont val="Tahoma"/>
            <family val="2"/>
          </rPr>
          <t>Usuario:</t>
        </r>
        <r>
          <rPr>
            <sz val="9"/>
            <color indexed="81"/>
            <rFont val="Tahoma"/>
            <family val="2"/>
          </rPr>
          <t xml:space="preserve">
en Junio 300</t>
        </r>
      </text>
    </comment>
    <comment ref="B111" authorId="0" shapeId="0" xr:uid="{C6A022D7-9987-4B94-BF6B-60865A6A081D}">
      <text>
        <r>
          <rPr>
            <b/>
            <sz val="9"/>
            <color indexed="81"/>
            <rFont val="Tahoma"/>
            <family val="2"/>
          </rPr>
          <t>Usuario:</t>
        </r>
        <r>
          <rPr>
            <sz val="9"/>
            <color indexed="81"/>
            <rFont val="Tahoma"/>
            <family val="2"/>
          </rPr>
          <t xml:space="preserve">
en Junio 100</t>
        </r>
      </text>
    </comment>
    <comment ref="B112" authorId="0" shapeId="0" xr:uid="{964B066F-D139-4099-9F9C-6C4A231A44C0}">
      <text>
        <r>
          <rPr>
            <b/>
            <sz val="9"/>
            <color indexed="81"/>
            <rFont val="Tahoma"/>
            <family val="2"/>
          </rPr>
          <t>Usuario:</t>
        </r>
        <r>
          <rPr>
            <sz val="9"/>
            <color indexed="81"/>
            <rFont val="Tahoma"/>
            <family val="2"/>
          </rPr>
          <t xml:space="preserve">
en Junio 100</t>
        </r>
      </text>
    </comment>
    <comment ref="B113" authorId="0" shapeId="0" xr:uid="{CF401D39-4D7A-4BCB-9E3D-0F4C43333453}">
      <text>
        <r>
          <rPr>
            <b/>
            <sz val="9"/>
            <color indexed="81"/>
            <rFont val="Tahoma"/>
            <family val="2"/>
          </rPr>
          <t xml:space="preserve">Usuario:
</t>
        </r>
        <r>
          <rPr>
            <sz val="9"/>
            <color indexed="81"/>
            <rFont val="Tahoma"/>
            <family val="2"/>
          </rPr>
          <t xml:space="preserve">En Jun 1460, comprometido $262.308.888.
 Por Acuerdo 008 de 28 jul 2022 se adicionaron 632.700.000. 
Resolución 0501 de 2022, adición 1950 mill por Recursos de entidades financieras y otros.
Acuerdo 019 de 2022, traslado de $359.126.021 a act 1.2.3.2
</t>
        </r>
      </text>
    </comment>
    <comment ref="A118" authorId="0" shapeId="0" xr:uid="{3C14FB54-89A8-4541-B10F-A9B4B84FD2E5}">
      <text>
        <r>
          <rPr>
            <b/>
            <sz val="9"/>
            <color indexed="81"/>
            <rFont val="Tahoma"/>
            <family val="2"/>
          </rPr>
          <t>Usuario:</t>
        </r>
        <r>
          <rPr>
            <sz val="9"/>
            <color indexed="81"/>
            <rFont val="Tahoma"/>
            <family val="2"/>
          </rPr>
          <t xml:space="preserve">
Penduente porque meta estaba en cero</t>
        </r>
      </text>
    </comment>
    <comment ref="A124" authorId="0" shapeId="0" xr:uid="{068EBF25-7E64-41A6-A01B-AD950F3A16CF}">
      <text>
        <r>
          <rPr>
            <b/>
            <sz val="9"/>
            <color indexed="81"/>
            <rFont val="Tahoma"/>
            <family val="2"/>
          </rPr>
          <t>Usuario:</t>
        </r>
        <r>
          <rPr>
            <sz val="9"/>
            <color indexed="81"/>
            <rFont val="Tahoma"/>
            <family val="2"/>
          </rPr>
          <t xml:space="preserve">
Pendiente hasta correr migración</t>
        </r>
      </text>
    </comment>
    <comment ref="A129" authorId="0" shapeId="0" xr:uid="{10898A78-8FF4-4A42-9772-4BCDF33C436C}">
      <text>
        <r>
          <rPr>
            <b/>
            <sz val="9"/>
            <color indexed="81"/>
            <rFont val="Tahoma"/>
            <family val="2"/>
          </rPr>
          <t>Usuario:</t>
        </r>
        <r>
          <rPr>
            <sz val="9"/>
            <color indexed="81"/>
            <rFont val="Tahoma"/>
            <family val="2"/>
          </rPr>
          <t xml:space="preserve">
Pendiente, se debe hacer por migración para ajuste de meta</t>
        </r>
      </text>
    </comment>
    <comment ref="B160" authorId="0" shapeId="0" xr:uid="{2B8AD60F-C6DD-4E03-8E9C-8EF2329F5CB6}">
      <text>
        <r>
          <rPr>
            <b/>
            <sz val="9"/>
            <color indexed="81"/>
            <rFont val="Tahoma"/>
            <family val="2"/>
          </rPr>
          <t>Usuario:</t>
        </r>
        <r>
          <rPr>
            <sz val="9"/>
            <color indexed="81"/>
            <rFont val="Tahoma"/>
            <family val="2"/>
          </rPr>
          <t xml:space="preserve">
En junio 19.173.450.000.
Resolución 0501 de 2022. Adicion de 3550 mill por Recursos de entidades financieras y otros
</t>
        </r>
      </text>
    </comment>
    <comment ref="F163" authorId="0" shapeId="0" xr:uid="{397852F6-032D-4EC2-A62A-DB6B175BE2BC}">
      <text>
        <r>
          <rPr>
            <b/>
            <sz val="9"/>
            <color indexed="81"/>
            <rFont val="Tahoma"/>
            <family val="2"/>
          </rPr>
          <t>Usuario:</t>
        </r>
        <r>
          <rPr>
            <sz val="9"/>
            <color indexed="81"/>
            <rFont val="Tahoma"/>
            <family val="2"/>
          </rPr>
          <t xml:space="preserve">
Se tomo como referente el valor de los recaudos</t>
        </r>
      </text>
    </comment>
    <comment ref="J163" authorId="0" shapeId="0" xr:uid="{2BD57F75-FE9D-4D8E-9278-CAC6FA94D8B9}">
      <text>
        <r>
          <rPr>
            <b/>
            <sz val="9"/>
            <color indexed="81"/>
            <rFont val="Tahoma"/>
            <family val="2"/>
          </rPr>
          <t>Usuario:</t>
        </r>
        <r>
          <rPr>
            <sz val="9"/>
            <color indexed="81"/>
            <rFont val="Tahoma"/>
            <family val="2"/>
          </rPr>
          <t xml:space="preserve">
Lo pagado excede el recaudo</t>
        </r>
      </text>
    </comment>
    <comment ref="N163" authorId="0" shapeId="0" xr:uid="{E2617548-1744-4C0C-A3A6-F2554CED02AA}">
      <text>
        <r>
          <rPr>
            <b/>
            <sz val="9"/>
            <color indexed="81"/>
            <rFont val="Tahoma"/>
            <family val="2"/>
          </rPr>
          <t>Usuario:</t>
        </r>
        <r>
          <rPr>
            <sz val="9"/>
            <color indexed="81"/>
            <rFont val="Tahoma"/>
            <family val="2"/>
          </rPr>
          <t xml:space="preserve">
Cubre lo pagado y la transferencia al FCA?</t>
        </r>
      </text>
    </comment>
    <comment ref="V163" authorId="0" shapeId="0" xr:uid="{F1D12D84-476B-4E22-B53D-B3A98D3B7725}">
      <text>
        <r>
          <rPr>
            <b/>
            <sz val="9"/>
            <color indexed="81"/>
            <rFont val="Tahoma"/>
            <family val="2"/>
          </rPr>
          <t>Usuario:</t>
        </r>
        <r>
          <rPr>
            <sz val="9"/>
            <color indexed="81"/>
            <rFont val="Tahoma"/>
            <family val="2"/>
          </rPr>
          <t xml:space="preserve">
Cubre lo pagado y la transferenica al FCA?</t>
        </r>
      </text>
    </comment>
    <comment ref="AT163" authorId="0" shapeId="0" xr:uid="{8A1DA01F-5536-407A-BC6B-65153F25FDE5}">
      <text>
        <r>
          <rPr>
            <b/>
            <sz val="9"/>
            <color indexed="81"/>
            <rFont val="Tahoma"/>
            <family val="2"/>
          </rPr>
          <t>Usuario:</t>
        </r>
        <r>
          <rPr>
            <sz val="9"/>
            <color indexed="81"/>
            <rFont val="Tahoma"/>
            <family val="2"/>
          </rPr>
          <t xml:space="preserve">
Cubre el recaudo y la Transferencia al FCA?</t>
        </r>
      </text>
    </comment>
    <comment ref="AX163" authorId="0" shapeId="0" xr:uid="{42850599-C1C6-4FF6-9946-46FC16AF274E}">
      <text>
        <r>
          <rPr>
            <b/>
            <sz val="9"/>
            <color indexed="81"/>
            <rFont val="Tahoma"/>
            <family val="2"/>
          </rPr>
          <t>Usuario:</t>
        </r>
        <r>
          <rPr>
            <sz val="9"/>
            <color indexed="81"/>
            <rFont val="Tahoma"/>
            <family val="2"/>
          </rPr>
          <t xml:space="preserve">
Cubre el recaudo y la Transferencia al FCA?</t>
        </r>
      </text>
    </comment>
    <comment ref="BZ163" authorId="0" shapeId="0" xr:uid="{D15B0AE2-E87F-47A6-A9C6-C48E5E1A1777}">
      <text>
        <r>
          <rPr>
            <b/>
            <sz val="9"/>
            <color indexed="81"/>
            <rFont val="Tahoma"/>
            <family val="2"/>
          </rPr>
          <t>Usuario:</t>
        </r>
        <r>
          <rPr>
            <sz val="9"/>
            <color indexed="81"/>
            <rFont val="Tahoma"/>
            <family val="2"/>
          </rPr>
          <t xml:space="preserve">
El pago excede el recaudo</t>
        </r>
      </text>
    </comment>
    <comment ref="CM163" authorId="0" shapeId="0" xr:uid="{0B33CA5E-4831-4A18-A1CE-63D68C32D700}">
      <text>
        <r>
          <rPr>
            <b/>
            <sz val="9"/>
            <color indexed="81"/>
            <rFont val="Tahoma"/>
            <family val="2"/>
          </rPr>
          <t>Usuario:</t>
        </r>
        <r>
          <rPr>
            <sz val="9"/>
            <color indexed="81"/>
            <rFont val="Tahoma"/>
            <family val="2"/>
          </rPr>
          <t xml:space="preserve">
Nueva fuente, se deben redistribuir recursos</t>
        </r>
      </text>
    </comment>
  </commentList>
</comments>
</file>

<file path=xl/sharedStrings.xml><?xml version="1.0" encoding="utf-8"?>
<sst xmlns="http://schemas.openxmlformats.org/spreadsheetml/2006/main" count="11275" uniqueCount="2423">
  <si>
    <t>Dependencia</t>
  </si>
  <si>
    <t>Cargo</t>
  </si>
  <si>
    <t>Correo electrónico</t>
  </si>
  <si>
    <t>Teléfono</t>
  </si>
  <si>
    <t>Porcentaje de cuerpos de agua con planes de ordenamiento del recurso hídrico (PORH) adoptados</t>
  </si>
  <si>
    <t>Porcentaje de Planes de Saneamiento y Manejo de Vertimientos (PSMV) con seguimiento</t>
  </si>
  <si>
    <t>Porcentaje de cuerpos de agua con reglamentación del uso de las aguas</t>
  </si>
  <si>
    <t>Porcentaje de Programas de Uso Eficiente y Ahorro del Agua (PUEAA) con seguimiento</t>
  </si>
  <si>
    <t>Porcentaje de Planes de Ordenación y Manejo de Cuencas (POMCAS), Planes de Manejo de Acuíferos (PMA) y Planes de Manejo de Microcuencas (PMM) en ejecución</t>
  </si>
  <si>
    <t>Porcentaje de entes territoriales asesorados en la incorporación, planificación y ejecución de acciones relacionadas con cambio climático en el marco de los instrumentos de planificación territorial</t>
  </si>
  <si>
    <t>Porcentaje de suelos degradados en recuperación o rehabilitación</t>
  </si>
  <si>
    <t>Porcentaje de la superficie de áreas protegidas regionales declaradas, homologadas o recategorizadas, inscritas en el RUNAP</t>
  </si>
  <si>
    <t>Porcentaje de páramos delimitados por el MADS, con zonificación y régimen de usos adoptados por la CAR</t>
  </si>
  <si>
    <t>Porcentaje de avance en la formulación del Plan de Ordenación Forestal</t>
  </si>
  <si>
    <t>Porcentaje de áreas protegidas con planes de manejo en ejecución</t>
  </si>
  <si>
    <t>Porcentaje de especies amenazadas con medidas de conservación y manejo en ejecución</t>
  </si>
  <si>
    <t>Porcentaje de especies invasoras con medidas de prevención, control y manejo en ejecución</t>
  </si>
  <si>
    <t>Número de especies invasoras con medidas de prevención, control y manejo en ejecución</t>
  </si>
  <si>
    <t>Porcentaje de áreas de ecosistemas en restauración, rehabilitación y reforestación</t>
  </si>
  <si>
    <t>Implementación de acciones en manejo integrado de zonas costeras</t>
  </si>
  <si>
    <t>Porcentaje de Planes de Gestión Integral de Residuos Sólidos (PGIRS) con seguimiento a metas de aprovechamiento</t>
  </si>
  <si>
    <t>Porcentaje de sectores con acompañamiento para la reconversión hacia sistemas sostenibles de producción</t>
  </si>
  <si>
    <t>Porcentaje de ejecución de acciones en Gestión Ambiental Urbana</t>
  </si>
  <si>
    <t>Implementación del Programa Regional de Negocios Verdes por la autoridad ambiental</t>
  </si>
  <si>
    <t>Tiempo promedio de trámite para la resolución de autorizaciones ambientales otorgadas por la corporación</t>
  </si>
  <si>
    <t>Porcentaje de autorizaciones ambientales con seguimiento</t>
  </si>
  <si>
    <t>Porcentaje de Procesos Sancionatorios Resueltos</t>
  </si>
  <si>
    <t>Porcentaje de municipios asesorados o asistidos en la inclusión del componente ambiental en los procesos de planificación y ordenamiento territorial, con énfasis en la incorporación de las determinantes ambientales para la revisión y ajuste de los POT</t>
  </si>
  <si>
    <t>Porcentaje de redes y estaciones de monitoreo en operación</t>
  </si>
  <si>
    <t>Porcentaje de actualización y reporte de la información en el SIAC</t>
  </si>
  <si>
    <t>Ejecución de Acciones en Educación Ambiental</t>
  </si>
  <si>
    <t>Porcentaje de avance en la formulación y/o ajuste de los Planes de Ordenación y Manejo de Cuencas (POMCAS), Planes de Manejo de Acuíferos (PMA) y Planes de Manejo de Microcuencas (PMM)</t>
  </si>
  <si>
    <t>COMPORTAMIENTO META FISICA 
PLAN DE ACCION</t>
  </si>
  <si>
    <t xml:space="preserve">(5)
PORCENTAJE DE AVANCE 
FISICO %
(Periodo Evaluado)
((4/3)*100)
</t>
  </si>
  <si>
    <t>(5-A) DESCRIPCIÓN DEL AVANCE 
(Se puede describir en texto lo que se desea aclarar del avance númerico respectivo)</t>
  </si>
  <si>
    <t>(18) TOTAL METAS FISICAS Y FINANCIERAS*</t>
  </si>
  <si>
    <t>*El total de las metas fisicas y financieras sera el resultado de una sumatoria, promedios aritmetico o ponderados segun el caso y solo se aplica para las columnas relacionadas con porcentajes de avance y metas financieras.</t>
  </si>
  <si>
    <t>ANEXO No. 2.PROTOCOLO O GUÍA DE DILIGENCIAMIENTO</t>
  </si>
  <si>
    <t xml:space="preserve">MATRIZ DE SEGUIMIENTO A LA GESTIÓN Y DE AVANCE EN LAS METAS FÍSICAS Y FINANCIERAS DEL PLAN DE ACCIÓN </t>
  </si>
  <si>
    <t xml:space="preserve">ITEM </t>
  </si>
  <si>
    <t>DEFINICIONES</t>
  </si>
  <si>
    <t>(2) UNIDAD DE MEDIDA</t>
  </si>
  <si>
    <t>(3) META FÍSICA ANUAL</t>
  </si>
  <si>
    <t>Reporte el avance acumulado para el periodo evaluado, en la ejecución física de la respectiva meta anual programada en la columna (3). Ejemplo: 35 hectáreas reforestadas, 3 microcuencas con plan de ordenamiento formulado, etc.  Si no se presenta avance en el programa o proyecto, se deberá diligenciar la matriz con ceros (0,0) y en ningún caso dejar celdas en blanco.</t>
  </si>
  <si>
    <t>(5) PORCENTAJE DE AVANCE FISICO (Periodo Evaluado)</t>
  </si>
  <si>
    <t>Cuando el avance de la meta física prevista para cada proyecto no es cuantificable, para el corte del periodo evaluado, reporte en porcentaje, el equivalente a la gestión realizada.  Esta columna solamente aplica para el primer semestre de cada año, dado que en el informe anualizado se debe contar con algún tipo de producto o parte de este, de acuerdo con la meta planteada, por lo tanto en el informe anualizado esta columna debera ser diligenciada con NA. correspondiente</t>
  </si>
  <si>
    <t>Identifique el valor  (en numero) de la meta del plan de acción con relación al programa y/o proyecto reportado en la columna (1). Ejemplo: hectáreas reforestadas, microcuencas con plan de ordenamiento formulado, # de vertimientos reglamentados, etc.</t>
  </si>
  <si>
    <t xml:space="preserve">Relacione aquí de acuerdo al plan de inversión vigente (incluye adiciones o modificaciones) los montos de inversión anual previstos para cada programa o proyecto </t>
  </si>
  <si>
    <r>
      <t>Reporte el avance acumulado para el periodo evaluado, en la ejecución financiera de la respectiva meta anual programada en la columna (11). Para el caso de los recursos de inversión ejecutados, se deben relacionar específicamente los montos que esten afectados bajo un</t>
    </r>
    <r>
      <rPr>
        <u/>
        <sz val="7"/>
        <rFont val="Arial Narrow"/>
        <family val="2"/>
      </rPr>
      <t xml:space="preserve"> registro presupuestal</t>
    </r>
    <r>
      <rPr>
        <sz val="7"/>
        <rFont val="Arial Narrow"/>
        <family val="2"/>
      </rPr>
      <t>, es decir, los recursos que han surtido todos lo pasos de destinación y efectivamente están designados para la ejecución de un proyecto o actividad.</t>
    </r>
  </si>
  <si>
    <t>Realice las respectivas observaciones que sean necesarias, principalmente cuando se requiera hacer alguna precisión sobre el avance de las metas físicas y financieras..</t>
  </si>
  <si>
    <t>NIVEL RENTISTICO</t>
  </si>
  <si>
    <t>Multas y sanciones</t>
  </si>
  <si>
    <t>Donaciones</t>
  </si>
  <si>
    <t>CONCEPTO</t>
  </si>
  <si>
    <t>GASTOS DE PERSONAL</t>
  </si>
  <si>
    <t>TRANSFERENCIAS CORRIENTES</t>
  </si>
  <si>
    <t>SENTENCIAS Y CONCILIACIONES</t>
  </si>
  <si>
    <t>Nombre de la Corporación</t>
  </si>
  <si>
    <t>Corporación Autónoma Regional del Alto Magdalena - CAM</t>
  </si>
  <si>
    <t>Corporación Autónoma Regional de Cundinamarca – CAR</t>
  </si>
  <si>
    <t>Corporación Autónoma Regional del Canal del Dique – CARDIQUE</t>
  </si>
  <si>
    <t>Corporación Autónoma Regional de Sucre – CARSUCRE</t>
  </si>
  <si>
    <t>Corporación Autónoma Regional de Santander – CAS</t>
  </si>
  <si>
    <t>Corporación para el Desarrollo Sostenible del Norte y el Oriente Amazónico – CDA</t>
  </si>
  <si>
    <t>Corporación Autónoma Regional para la Defensa de la Meseta de Bucaramanga – CDMB</t>
  </si>
  <si>
    <t>Corporación Autónoma Regional para el Desarrollo Sostenible del Chocó – CODECHOCÓ</t>
  </si>
  <si>
    <t>Corporación para el Desarrollo Sostenible del Archipiélago de San Andrés, Providencia y Santa Catalina – CORALINA</t>
  </si>
  <si>
    <t>Corporación Autónoma Regional del Centro de Antioquia – CORANTIOQUIA</t>
  </si>
  <si>
    <t>Corporación para el Desarrollo Sostenible del Área de Manejo Especial de La Macarena – CORMACARENA</t>
  </si>
  <si>
    <t>Corporación Autónoma Regional de las Cuencas de los Ríos Negro y Nare – CORNARE</t>
  </si>
  <si>
    <t>Corporación Autónoma Regional del Magdalena – CORPAMAG</t>
  </si>
  <si>
    <t>Corporación para el Desarrollo Sostenible del Sur de la Amazonia – CORPOAMAZONIA</t>
  </si>
  <si>
    <t>Corporación Autónoma Regional de Boyacá – CORPOBOYACÁ</t>
  </si>
  <si>
    <t>Corporación Autónoma Regional de Caldas – CORPOCALDAS</t>
  </si>
  <si>
    <t>Corporación Autónoma Regional del Cesar – CORPOCESAR</t>
  </si>
  <si>
    <t>Corporación Autónoma Regional de Chivor – CORPOCHIVOR</t>
  </si>
  <si>
    <t>Corporación Autónoma Regional de La Guajira – CORPOGUAJIRA</t>
  </si>
  <si>
    <t>Corporación Autónoma Regional del Guavio – CORPOGUAVIO</t>
  </si>
  <si>
    <t>Corporación para el Desarrollo Sostenible de La Mojana y El San Jorge – CORPOMOJANA</t>
  </si>
  <si>
    <t>Corporación Autónoma Regional de Nariño – CORPONARIÑO</t>
  </si>
  <si>
    <t>Corporación Autónoma Regional de la Frontera Nororiental – CORPONOR</t>
  </si>
  <si>
    <t>Corporación Autónoma Regional de la Orinoquia – CORPORINOQUIA</t>
  </si>
  <si>
    <t>Corporación para el Desarrollo Sostenible del Urabá – CORPOURABA</t>
  </si>
  <si>
    <t>Corporación Autónoma Regional del Tolima – CORTOLIMA</t>
  </si>
  <si>
    <t>Corporación Autónoma Regional del Atlántico – CRA</t>
  </si>
  <si>
    <t>Corporación Autónoma Regional del Cauca – CRC</t>
  </si>
  <si>
    <t>Corporación Autónoma Regional del Quindío – CRQ</t>
  </si>
  <si>
    <t>Corporación Autónoma Regional del Sur de Bolívar – CSB</t>
  </si>
  <si>
    <t>Corporación Autónoma Regional del Valle del Cauca – CVC</t>
  </si>
  <si>
    <t>Corporación Autónoma Regional de los Valles del Sinú y del San Jorge – CVS</t>
  </si>
  <si>
    <t>2016-I</t>
  </si>
  <si>
    <t>2016-II</t>
  </si>
  <si>
    <t>2017-I</t>
  </si>
  <si>
    <t>2017-II</t>
  </si>
  <si>
    <t>2018-I</t>
  </si>
  <si>
    <t>2018-II</t>
  </si>
  <si>
    <t>2019-I</t>
  </si>
  <si>
    <t>2019-II</t>
  </si>
  <si>
    <t>Periodo a reportar</t>
  </si>
  <si>
    <t>Nombre de la persona responsable del reporte</t>
  </si>
  <si>
    <t xml:space="preserve">MATRIZ DE SEGUIMIENTO DEL PLAN DE ACCIÓN
ANEXO No. 1. AVANCE EN LAS METAS FÍSICAS Y FINANCIERAS DEL PLAN DE ACCIÓN  </t>
  </si>
  <si>
    <t>PERIODO REPORTADO:</t>
  </si>
  <si>
    <t>(1)
ESTRUCTURA RENTISTICA</t>
  </si>
  <si>
    <t>(2)
CONCEPTO</t>
  </si>
  <si>
    <t>(3)
PROYECTADO PLAN FINANCIERO</t>
  </si>
  <si>
    <t>MODIFICACIONES</t>
  </si>
  <si>
    <t xml:space="preserve">(6)
APROPIACIÓN FINAL
(3+4-5)
</t>
  </si>
  <si>
    <t>DISTRIBUCIÓN</t>
  </si>
  <si>
    <t>(11)
DERECHOS POR COBRAR</t>
  </si>
  <si>
    <t>(12)
RECAUDO
EFECTIVO</t>
  </si>
  <si>
    <t>(13)
% DE RECAUDO</t>
  </si>
  <si>
    <t>(14)
OBSERVACIONES</t>
  </si>
  <si>
    <t>DEFINICIÓN</t>
  </si>
  <si>
    <t>SOPORTE LEGAL</t>
  </si>
  <si>
    <t>NIVEL ESTRUCTURAL</t>
  </si>
  <si>
    <t>SUBNIVEL RENTISTICO</t>
  </si>
  <si>
    <t>NIVEL 1</t>
  </si>
  <si>
    <t>NIVEL 2</t>
  </si>
  <si>
    <t>NIVEL 3</t>
  </si>
  <si>
    <t>NIVEL 4</t>
  </si>
  <si>
    <t>NIVEL 5</t>
  </si>
  <si>
    <t>(4)
ADICIÓN</t>
  </si>
  <si>
    <t>(5)
REDUCCIÓN</t>
  </si>
  <si>
    <t>(7)
FUNCIONAMIENTO</t>
  </si>
  <si>
    <t>(8)
INVERSIÓN</t>
  </si>
  <si>
    <t>(9)
FCA</t>
  </si>
  <si>
    <t>(10)
SERVICIO A LA DEUDA</t>
  </si>
  <si>
    <t>1</t>
  </si>
  <si>
    <t>Ingresos</t>
  </si>
  <si>
    <t>01</t>
  </si>
  <si>
    <t>Ingresos Corrientes</t>
  </si>
  <si>
    <t>Ingresos tributarios</t>
  </si>
  <si>
    <t>Impuestos directos</t>
  </si>
  <si>
    <t>Sobretasa ambiental - Peajes</t>
  </si>
  <si>
    <t>02</t>
  </si>
  <si>
    <t>Ingresos no tributarios</t>
  </si>
  <si>
    <t>Contribuciones</t>
  </si>
  <si>
    <t>Contribuciones diversas</t>
  </si>
  <si>
    <t>Contribución sector eléctrico</t>
  </si>
  <si>
    <t>03</t>
  </si>
  <si>
    <t>04</t>
  </si>
  <si>
    <t>Tasas y derechos administrativos</t>
  </si>
  <si>
    <t>Tasa retributiva</t>
  </si>
  <si>
    <t>Tasa por el uso del agua</t>
  </si>
  <si>
    <t>05</t>
  </si>
  <si>
    <t>06</t>
  </si>
  <si>
    <t>07</t>
  </si>
  <si>
    <t>08</t>
  </si>
  <si>
    <t>Multas, sanciones e intereses de mora</t>
  </si>
  <si>
    <t>Multas ambientales</t>
  </si>
  <si>
    <t>Intereses de mora</t>
  </si>
  <si>
    <t>Venta de bienes y servicios</t>
  </si>
  <si>
    <t>Ventas de establecimientos de mercado</t>
  </si>
  <si>
    <t>Agricultura, silvicultura y productos de la pesca</t>
  </si>
  <si>
    <t>Productos metálicos, maquinaria y equipo</t>
  </si>
  <si>
    <t>Transferencias corrientes</t>
  </si>
  <si>
    <t>Aportes de la Nación para Gastos de personal</t>
  </si>
  <si>
    <t>Aportes de la Nación para Adquisición de bienes y servicios</t>
  </si>
  <si>
    <t>Aportes de la Nación para Transferencias corrientes</t>
  </si>
  <si>
    <t xml:space="preserve">Aportes Fondo de Compensación Ambiental -FCA, Funcionamiento </t>
  </si>
  <si>
    <t>Aportes del FCA para Gastos de personal</t>
  </si>
  <si>
    <t>Aportes del FCA para Adquisición de bienes y servicios</t>
  </si>
  <si>
    <t>Aportes del FCA para Transferencias corrientes</t>
  </si>
  <si>
    <t>Aportes inversión Fondo de Compensación Ambiental -FCA</t>
  </si>
  <si>
    <t>Aportes inversión Fondo Nacional Ambiental - FONAM</t>
  </si>
  <si>
    <t>Aportes del Sistema de Participación General de Regalias - SPGR</t>
  </si>
  <si>
    <t>Aportes del SPGR para Funcionamiento</t>
  </si>
  <si>
    <t>Aportes del SPGR para Servicio de la Deuda</t>
  </si>
  <si>
    <t>Aportes del SPGR para Inversión</t>
  </si>
  <si>
    <t>Recursos de capital</t>
  </si>
  <si>
    <t>Disposición de activos</t>
  </si>
  <si>
    <t>Disposición de activos no financieros</t>
  </si>
  <si>
    <t>Disposición de activos fijos</t>
  </si>
  <si>
    <t>Disposición de edificaciones y estructuras</t>
  </si>
  <si>
    <t>Disposición de maquinaria y equipo</t>
  </si>
  <si>
    <t>Disposición de otros activos fijos</t>
  </si>
  <si>
    <t>Disposición de productos de la propiedad intelectual</t>
  </si>
  <si>
    <t>Disposición de activos no producidos</t>
  </si>
  <si>
    <t>Disposición de  tierras y terrenos</t>
  </si>
  <si>
    <t>Rendimientos financieros</t>
  </si>
  <si>
    <t>09</t>
  </si>
  <si>
    <t>10</t>
  </si>
  <si>
    <t>11</t>
  </si>
  <si>
    <t>12</t>
  </si>
  <si>
    <t>Recursos de crédito externo</t>
  </si>
  <si>
    <t>Recursos de contratos de empréstitos externos</t>
  </si>
  <si>
    <t>Bancos comerciales</t>
  </si>
  <si>
    <t>Entidades de fomento</t>
  </si>
  <si>
    <t>Recursos de crédito interno</t>
  </si>
  <si>
    <t>Recursos de contratos de empréstitos internos</t>
  </si>
  <si>
    <t>Colocación y títulos TES clase B a corto plazo</t>
  </si>
  <si>
    <t>Colocación y títulos TES clase B a largo plazo</t>
  </si>
  <si>
    <t>Indemnizaciones relacionadas con seguros no de vida</t>
  </si>
  <si>
    <t>13</t>
  </si>
  <si>
    <t>14</t>
  </si>
  <si>
    <t>Recuperación cuotas partes pensionales</t>
  </si>
  <si>
    <t>Recursos del balance</t>
  </si>
  <si>
    <t xml:space="preserve"> INFORME DE EJECUCION PRESUPUESTAL DE INGRESOS </t>
  </si>
  <si>
    <t xml:space="preserve">RECURSOS PROPIOS
(3)
</t>
  </si>
  <si>
    <t xml:space="preserve">RECURSOS DE LA NACIÓN 
(4)
</t>
  </si>
  <si>
    <t>RECURSOS FONDO DE COMPENSACIÓN AMBIENTAL
(5)</t>
  </si>
  <si>
    <t>RECURSOS DE REGALÍAS
(6)</t>
  </si>
  <si>
    <t>TOTAL RECURSOS
(7)</t>
  </si>
  <si>
    <t>OBSERVACIONES (8)</t>
  </si>
  <si>
    <t>PRESUPUESTADO</t>
  </si>
  <si>
    <t>COMPROMETIDO</t>
  </si>
  <si>
    <t>OBLIGACIONES</t>
  </si>
  <si>
    <t xml:space="preserve">PAGOS </t>
  </si>
  <si>
    <t>PAGOS</t>
  </si>
  <si>
    <t>2</t>
  </si>
  <si>
    <t>GASTOS DE FUNCIONAMIENTO</t>
  </si>
  <si>
    <t>ADQUISICIÓN DE BIENES Y SERVICIOS</t>
  </si>
  <si>
    <t>Adquisición de activos no financieros</t>
  </si>
  <si>
    <t>Adquisiciones diferentes de activos</t>
  </si>
  <si>
    <t>A ENTIDADES DE GOBIERNO</t>
  </si>
  <si>
    <t>A ORGANOS DEL PGN</t>
  </si>
  <si>
    <t>Fondo de Compensación Ambiental - Ministerio del Medio Ambiente Art 24 Ley 344 de 1996</t>
  </si>
  <si>
    <t>Fondo de Compensación Ambiental - TSE (20%)</t>
  </si>
  <si>
    <t>Fondo de Compensación Ambiental - Recursos propios diferentes a TSE (10%)</t>
  </si>
  <si>
    <t>A ESQUEMAS ASOCIATIVOS</t>
  </si>
  <si>
    <t>Aportes a ASOCARS</t>
  </si>
  <si>
    <t xml:space="preserve">PRESTACIONES SOCIALES </t>
  </si>
  <si>
    <t>Prestaciones sociales relacionadas con el empleo</t>
  </si>
  <si>
    <t>Mesadas pensionales (de pensiones)</t>
  </si>
  <si>
    <t>Bonos pensionales (de pensiones)</t>
  </si>
  <si>
    <t>Comisiones y otros gastos</t>
  </si>
  <si>
    <t>Conciliaciones</t>
  </si>
  <si>
    <t>GASTOS POR TRIBUTOS, MULTAS, SANCIONES E INTERESES DE MORA</t>
  </si>
  <si>
    <t>IMPUESTOS</t>
  </si>
  <si>
    <t>IMPUESTOS TERRITORIALES</t>
  </si>
  <si>
    <t>Impuesto predial y Sobretasa ambiental</t>
  </si>
  <si>
    <t>Impuesto sobre vehículos automotores.</t>
  </si>
  <si>
    <t>TASAS Y DERECHOS ADMINISTRATIVOS</t>
  </si>
  <si>
    <t>Peajes.</t>
  </si>
  <si>
    <t>CONTRIBUCIONES</t>
  </si>
  <si>
    <t>Cuota de fiscalización y auditaje</t>
  </si>
  <si>
    <t>Multas</t>
  </si>
  <si>
    <t>Sanciones</t>
  </si>
  <si>
    <t>SERVICIO DE LA DEUDA</t>
  </si>
  <si>
    <t>Servicios de la deuda pública externa</t>
  </si>
  <si>
    <t>Intereses de la deduda pública externa</t>
  </si>
  <si>
    <t>Servicios de la deuda pública interna</t>
  </si>
  <si>
    <t>Intereses de la deduda pública interna</t>
  </si>
  <si>
    <t>Fondo de contigencias</t>
  </si>
  <si>
    <t>CONCEPTO 
(2)</t>
  </si>
  <si>
    <t>Reporte el avance acumulado en la vigencia del Plan de Acción, desde su aprobación hasta el periodo del informe.  Ejemplo $100'000.000.oo (2020) + $150'000.000.oo (2021), da un acumulado de inversión del Plan de Acción de $250'000.000.oo</t>
  </si>
  <si>
    <t>ANEXOS INFORME DE SEGUIMIENTO AL PLAN DE ACCIÓN 2020-2023</t>
  </si>
  <si>
    <t>Relacione aquí de acuerdo al plan de inversión del Plan de Acción  los montos de inversión previstos para cada programa o proyecto para los cuatro años. (incluye adiciones o modificaciones).</t>
  </si>
  <si>
    <t xml:space="preserve">(5-A) DESCRIPCIÓN DEL AVANCE </t>
  </si>
  <si>
    <t>Reporte el avance acumulado de la meta física que se obtenga desde la aprobación del Plan de Acción, incluyendo el periodo evaluado.  Ejemplo 100 Ha reforestadas (2020), más 140 Ha reforestadas (2021), para un acumulado de 240 Ha (2020+2021)</t>
  </si>
  <si>
    <t>ANEXO No. 2. PROTOCOLO O GUÍA DE DILIGENCIAMIENTO</t>
  </si>
  <si>
    <t>ÍTEM</t>
  </si>
  <si>
    <t>(1) ESTRUCTURA RENTÍSTICA</t>
  </si>
  <si>
    <t>Es el conjunto de elementos que rigen la clasificación, el ordenamiento y la presentación del Presupuesto.</t>
  </si>
  <si>
    <t>(2) CONCEPTO</t>
  </si>
  <si>
    <t>Cuentas que conforma el presupuesto de ingresos.</t>
  </si>
  <si>
    <t>(3) PROYECTADO PLAN FINANCIERO</t>
  </si>
  <si>
    <t xml:space="preserve">Indique el valor proyectado en el Plan Financiero del Plan de Acción y el cual es la base para la formulación del presupuesto de la vigencia de reporte. </t>
  </si>
  <si>
    <t>(4) ADICIÓN</t>
  </si>
  <si>
    <t>Indique las modificaciones positivas que se realizan al presupuesto de la Corporación, que buscan adecuarlo a nuevas condiciones que se presentan en la ejecución y que no fueron contempladas en la etapa de programación (Plan Financiero); este debe reflejarse tanto en el presupuesto de ingresos como en el gasto con el fin que haya un equilibrio presupuestal.</t>
  </si>
  <si>
    <t>(5) REDUCCIÓN</t>
  </si>
  <si>
    <t>Indique las modificaciones negativas que se realizan al presupuesto de la Corporación, que buscan adecuarlo a nuevas condiciones que se presentan en la ejecución y que afecta la etapa de programación (Plan Financiero); este debe reflejarse tanto en el presupuesto de ingresos como en el gasto con el fin que haya un equilibrio presupuestal.</t>
  </si>
  <si>
    <t>(6) APROPIACIÓN FINAL</t>
  </si>
  <si>
    <t>Es el resultado de la suma de lo programado en el Plan Financiero (3) más las adiciones (4) y menos las reducciones (5).</t>
  </si>
  <si>
    <t>(7) FUNCIONAMIENTO</t>
  </si>
  <si>
    <t>Indique los recursos que se asignan a la cuenta de Funcionamiento por cada una de las fuentes de financiación.</t>
  </si>
  <si>
    <t>(8) INVERSIÓN</t>
  </si>
  <si>
    <t>Indique los recursos que se asignan a la cuenta de Inversión por cada una de las fuentes de financiación.</t>
  </si>
  <si>
    <t>(9) FCA</t>
  </si>
  <si>
    <t>Indique los recursos que se asignan a la cuenta del Fondo de Compensación Ambiental -FCA, por cada una de las fuentes de financiación, atendiendo el artículo 24 de la Ley 344 de 1996, es decir el veinte por ciento (20%) de los recursos percibidos por las Corporaciones Autónomas Regionales, con excepción de las de Desarrollo Sostenible, por concepto de transferencias del sector eléctrico y el diez por ciento (10%) de las restantes rentas propias, con excepción del porcentaje ambiental de los gravámenes a la propiedad inmueble percibidos por ellas y de aquéllas que tengan como origen relaciones contractuales interadministrativas.</t>
  </si>
  <si>
    <t>(10) SERVICIO A LA DEUDA</t>
  </si>
  <si>
    <t>Indique los recursos que, se destina en la vigencia para disminuir el capital adeudado, e intereses, que se calculan sobre el capital adeudado. El servicio de la deuda de un período incluye a todas las obligaciones de un período determinado, es decir, que puede incluir a varios acreedores.</t>
  </si>
  <si>
    <t>(11) DERECHOS POR COBRAR</t>
  </si>
  <si>
    <t>Indique los recursos de los créditos a favor de la corporación y a los cuales realizará el proceso de cobro, estos pueden ser generados por la facturación por la prestación de un servicio, así mismo, se incluyen los valores que se giraran de otras entidades por contratos interinstitucionales, asignación de recursos para ejecución de proyectos, recursos asignados por la nación, los certificados por los entes territoriales por concepto de sobretasa o porcentaje ambiental, las certificaciones de las generadores de energía, por concepto de TSE, etc.</t>
  </si>
  <si>
    <t>(12) RECAUDO EFECTIVO</t>
  </si>
  <si>
    <t>Indique los recursos percibidos por la Corporación durante la vigencia de reporte</t>
  </si>
  <si>
    <t>(13) % DE RECAUDO</t>
  </si>
  <si>
    <t>Es la efectividad de la ejecución de los derechos por cobrar, es la división entre el recaudo efectivo (12) y los derechos por cobrar (11)</t>
  </si>
  <si>
    <t>(14) OBSERVACIONES</t>
  </si>
  <si>
    <t>Si es el caso, relacione lo que considere importante para la respectiva revisión y análisis que realizará DOAT-SINA.</t>
  </si>
  <si>
    <t>ANEXO No. 5.2. PROTOCOLO O GUÍA DE DILIGENCIAMIENTO</t>
  </si>
  <si>
    <t>Cuentas que conforma el presupuesto de los gastos.</t>
  </si>
  <si>
    <t>(3) RECURSOS PROPIOS</t>
  </si>
  <si>
    <t>Por cada cuenta que conforma el presupuesto de gastos por concepto de recursos propios indique cuanto se apropió (cuanto se programó en el presupuesto, este valor puede cambiar conforme a los ajustes realizados al plan financiero), comprometió (registro presupuestal conforme a lo apropiado, el valor de lo comprometido no debe superar lo apropiado), obligó (de lo comprometido, cuanto fueron la exigibilidades por la entrega de bienes y servicios) y pagó (cuanto de esas exigibilidades ya se giraron), en la vigencia del reporte.</t>
  </si>
  <si>
    <t>(4) RECURSOS NACIÓN</t>
  </si>
  <si>
    <t>Por cada cuenta que conforma el presupuesto de gastos por concepto de los recursos recibidos por el Presupuesto General de la Nación, indique cuanto se apropió (cuanto se programó en el presupuesto, este valor puede cambiar conforme a los ajustes realizados al plan financiero), comprometió (registro presupuestal conforme a lo apropiado, el valor de lo comprometido no debe superar lo apropiado), obligó (de lo comprometido, cuanto fueron la exigibilidades por la entrega de bienes y servicios) y pagó (cuanto de esas exigibilidades ya se giraron), en la vigencia del reporte.</t>
  </si>
  <si>
    <t>(5) RECURSOS FONDO DE COMPENSACIÓN AMBIENTAL</t>
  </si>
  <si>
    <t>Por cada cuenta que conforma el presupuesto de gastos por concepto de los recursos recibidos por el Fondo de Compensación Ambiental, indique cuanto se apropió (cuanto se programó en el presupuesto, este valor puede cambiar conforme a los ajustes realizados al plan financiero), comprometió (registro presupuestal conforme a lo apropiado, el valor de lo comprometido no debe superar lo apropiado), obligó (de lo comprometido, cuanto fueron la exigibilidades por la entrega de bienes y servicios) y pagó (cuanto de esas exigibilidades ya se giraron), en la vigencia del reporte.</t>
  </si>
  <si>
    <t>(6) RECURSOS DE REGALÍAS</t>
  </si>
  <si>
    <t>Por cada cuenta que conforma el presupuesto de gastos por concepto de los recursos recibidos por el Sistema General de Regalías, indique cuanto se apropió (cuanto se programó en el presupuesto, este valor puede cambiar conforme a los ajustes realizados al plan financiero), comprometió (registro presupuestal conforme a lo apropiado, el valor de lo comprometido no debe superar lo apropiado), obligó (de lo comprometido, cuanto fueron la exigibilidades por la entrega de bienes y servicios) y pagó (cuanto de esas exigibilidades ya se giraron), en la vigencia del reporte.</t>
  </si>
  <si>
    <t>(7) TOTAL RECURSOS</t>
  </si>
  <si>
    <t>Es la sumatoria del gasto realizado por recursos propios, Nación, Regalías y Fondo de Compensación Ambiental.</t>
  </si>
  <si>
    <t>(8) OBSERVACIONES</t>
  </si>
  <si>
    <t>3201 – Fortalecimiento del desempeño ambiental de los sectores productivos.</t>
  </si>
  <si>
    <t>3202 – Conservación de la biodiversidad y sus servicios ecosistémicos.</t>
  </si>
  <si>
    <t>3203 – Gestión integral del recurso hídrico.</t>
  </si>
  <si>
    <t>3204 – Gestión de la información y el conocimiento ambiental.</t>
  </si>
  <si>
    <t>3205 – Ordenamiento ambiental territorial.</t>
  </si>
  <si>
    <t>3206 – Gestión del cambio climático para un desarrollo bajo en carbono y resiliente al clima.</t>
  </si>
  <si>
    <t>3207 – Gestión integral de mares, costas y recursos acuáticos.</t>
  </si>
  <si>
    <t>3208 – Educación Ambiental.</t>
  </si>
  <si>
    <t>3299 – Fortalecimiento de la gestión y dirección del Sector Ambiente y Desarrollo Sostenible.</t>
  </si>
  <si>
    <t>No Aplica</t>
  </si>
  <si>
    <t>2020-I</t>
  </si>
  <si>
    <t>2020-II</t>
  </si>
  <si>
    <t>2021-I</t>
  </si>
  <si>
    <t>2021-II</t>
  </si>
  <si>
    <t>2022-I</t>
  </si>
  <si>
    <t>2022-II</t>
  </si>
  <si>
    <t>2023-I</t>
  </si>
  <si>
    <t>2023-II</t>
  </si>
  <si>
    <t>2024-I</t>
  </si>
  <si>
    <t>2024-II</t>
  </si>
  <si>
    <t>2025-I</t>
  </si>
  <si>
    <t>2025-II</t>
  </si>
  <si>
    <t>Corporación Autónoma Regional de Risaralda – CARDER</t>
  </si>
  <si>
    <t>Relacione aquí los recursos obligados a corte del reporte, los recursos obligadoss son aquellos que presupuestalmente son reconocidos para pago estos recursos pueden generarse el pago efectivo o quedan en cuentas por pagar.</t>
  </si>
  <si>
    <t>(4A)
AVANCE DEL REZAGO DE LA META
FISICA 
(Según unidad de medida y Periodo Evaluado)</t>
  </si>
  <si>
    <t>(4)
AVANCE DE LA META
FISICA  
(Según unidad de medida y Periodo Evaluado)</t>
  </si>
  <si>
    <t xml:space="preserve">Objetivo. </t>
  </si>
  <si>
    <t>Producto</t>
  </si>
  <si>
    <t>Actividad</t>
  </si>
  <si>
    <t>COD. FUENTE</t>
  </si>
  <si>
    <t xml:space="preserve">TIPO DE EVIDENCIA </t>
  </si>
  <si>
    <t>ESTADO CTO</t>
  </si>
  <si>
    <t>1153- En ejecución</t>
  </si>
  <si>
    <t>1154- Liquidado</t>
  </si>
  <si>
    <t>1155- En reserva</t>
  </si>
  <si>
    <t xml:space="preserve">1201- Saldo a Favor </t>
  </si>
  <si>
    <t>SCRIP</t>
  </si>
  <si>
    <t>(3)META FISICA ANUAL
 (Según unidad de medida)</t>
  </si>
  <si>
    <t xml:space="preserve">   (2) UNIDAD DE MEDIDA</t>
  </si>
  <si>
    <t>Personal</t>
  </si>
  <si>
    <t>ACCIONES DE FUNCIONAMIENTO</t>
  </si>
  <si>
    <t>Bienes y Servicios</t>
  </si>
  <si>
    <t>Transferencia</t>
  </si>
  <si>
    <t>contract</t>
  </si>
  <si>
    <t>funcionting</t>
  </si>
  <si>
    <t xml:space="preserve">(6) FECHA DE EJECUCION DE  LA EVIDENCIA </t>
  </si>
  <si>
    <t xml:space="preserve">(7) TIPO DE EVIDENCIA </t>
  </si>
  <si>
    <t>(7-A) ACCIONES DE FUNCIONAMIENTO</t>
  </si>
  <si>
    <t>(7-B) ESTADO CONTRATO</t>
  </si>
  <si>
    <t>(7-B.1) N° CONTRATO</t>
  </si>
  <si>
    <t>(8) VALOR</t>
  </si>
  <si>
    <t>(8-A) PAGO DEL CONTRATO</t>
  </si>
  <si>
    <t>(8-B) FECHA DE PAGO</t>
  </si>
  <si>
    <t>(9)
PORCENTAJE DE AVANCE PROCESO DE GESTION DE LA META
FISICA
(aplica unicamente para el informe del primer semestre)</t>
  </si>
  <si>
    <t xml:space="preserve"> (10) META FISICA DEL PLAN (Según unidad de medida)</t>
  </si>
  <si>
    <t>(11) ACUMULADO DE LA META FISICA (Según unidad de medida)</t>
  </si>
  <si>
    <t>(14) PONDERACIONES DE PROGRAMAS  Y PROYECTOS VIGENCIA 2021 (OPCIONAL DE ACUERDO AL PLAN DE ACCIÓN)</t>
  </si>
  <si>
    <t>(15) META FINANCIERA ANUAL  ($)</t>
  </si>
  <si>
    <t>(16) AVANCE DE LA META FINANCIERA (Recursos comprometidos periodo Evaluado) ($)</t>
  </si>
  <si>
    <t>(18) AVANCE DE LOS RECURSOS OBLIGADOS $</t>
  </si>
  <si>
    <t>(19) PORCENTAJE DE AVANCE DE LOS RECURSOS OBLIGADOS ((18/16)*100)</t>
  </si>
  <si>
    <t>(20) RESERVA PRESUPUESTAL $
(16-18)</t>
  </si>
  <si>
    <t>(21) RESERVA PRESUPUESTAL DEL 2020
$</t>
  </si>
  <si>
    <t>(21-A) OBLIGACIONES DE LA RESERVA 2020
 $</t>
  </si>
  <si>
    <t>(21-B) PORCENTAJE DE AVANCE EJECUCIÓN DE LA RESERVA $
(21-A/21)</t>
  </si>
  <si>
    <t>(22)                                         META FINANCIERA   DEL PLAN             ($)</t>
  </si>
  <si>
    <t xml:space="preserve">(24)
PORCENTAJE DE  AVANCE FINANCIERO ACUMULADO %
((23/22)*100)
</t>
  </si>
  <si>
    <t>(25)
OBSERVACIONES</t>
  </si>
  <si>
    <t>(26)
PROGRAMA DE INVERSIÓN PUBLICA A LA QUE APORTA</t>
  </si>
  <si>
    <t>(27)
IMG AL QUE  APORTA</t>
  </si>
  <si>
    <r>
      <t xml:space="preserve">(28)
</t>
    </r>
    <r>
      <rPr>
        <b/>
        <sz val="10"/>
        <color rgb="FFFF0000"/>
        <rFont val="Arial Narrow"/>
        <family val="2"/>
      </rPr>
      <t>INDICADOR</t>
    </r>
    <r>
      <rPr>
        <b/>
        <sz val="10"/>
        <color indexed="8"/>
        <rFont val="Arial Narrow"/>
        <family val="2"/>
      </rPr>
      <t xml:space="preserve"> ODS AL QUE LE APORTA</t>
    </r>
  </si>
  <si>
    <t>(1) LINEAS ESTRATEGICAS - PROGRAMAS - PROYECTOS Y ACTIVIDADES DEL PLAN DE ACCIÓN 2020-2023</t>
  </si>
  <si>
    <r>
      <t xml:space="preserve">(1) </t>
    </r>
    <r>
      <rPr>
        <b/>
        <sz val="10"/>
        <color rgb="FFFF0000"/>
        <rFont val="Arial Narrow"/>
        <family val="2"/>
      </rPr>
      <t>LINEAS ESTRATEGICAS</t>
    </r>
    <r>
      <rPr>
        <b/>
        <sz val="10"/>
        <rFont val="Arial Narrow"/>
        <family val="2"/>
      </rPr>
      <t xml:space="preserve"> -
PROGRAMAS - PROYECTOS </t>
    </r>
    <r>
      <rPr>
        <b/>
        <sz val="10"/>
        <color rgb="FFFF0000"/>
        <rFont val="Arial Narrow"/>
        <family val="2"/>
      </rPr>
      <t>Y ACTIVIDADES</t>
    </r>
    <r>
      <rPr>
        <b/>
        <sz val="10"/>
        <rFont val="Arial Narrow"/>
        <family val="2"/>
      </rPr>
      <t xml:space="preserve"> DEL PLAN DE ACCIÓN 2020-2023
(inserte filas cuando sea necesario)
</t>
    </r>
  </si>
  <si>
    <t>Enuncie el nombre del total de los componentes programáticos del PAI: Lineas estrategicas, programas, proyectos y actividades aprobados en el Plan de Acción, utilizando la misma estructura jerárquica del Plan.  Inserte filas cuando sea necesario ingresar mas componentes.  Recuerde que jerárquicamente las lineas están integrados por  programas, estos se componen de proyectos y estos por actividades, y en la matriz se busca conocer hasta la escala de actividad o acción estratégica.</t>
  </si>
  <si>
    <t>Indique la unidad de medida correspondiente a la meta y el avance de la meta física de las actividades, ejemplo hectáreas reforestadas, hectáreas con POMCA, PGIRS Apoyados, etc.  Para el caso de Lineas estrategicas, programas y proyectos no es necesario definir la unidad de medida.</t>
  </si>
  <si>
    <t>Identifique el valor de la meta anual programada para la vigencia que se este evaluando, con relación a la actividad que se relaciona en la columna (1). Ejemplo: hectáreas reforestadas, microcuencas con plan de ordenamiento formulado, # de vertimientos reglamentados, etc.</t>
  </si>
  <si>
    <t>(4) AVANCE DE LA META FISICA</t>
  </si>
  <si>
    <t xml:space="preserve">(4A) AVANCE DEL REZAGO DE LA META FISICA </t>
  </si>
  <si>
    <t>Reporte el avance efectuado en la ejecución de actividades que presentaron rezago en la vigencia inmediatamente anterior.</t>
  </si>
  <si>
    <t>Calcule el porcentaje del avance anual de la Meta física programada. Divida el valor de la columna  (4) con el valor de la columna (3) y multiplique por 100. Si no se presenta avance en la actividad, se deberá diligenciar la matriz con ceros (0,0) y en ningún caso dejar celdas en blanco. Para el cálculo de avance de las líneas, programas y proyectos se debe tener en cuenta el valor de ponderación para la vigencia columna 14, si hay actividades que no tienen meta asociada para el periodo el valor de distribución de las ponderaciones debe distribuirse de forma proporcional entre las actividades que si tienen meta.</t>
  </si>
  <si>
    <t xml:space="preserve">En esta columna debe incluir una descripción o justificación o aclaración del avance del programa, proyecto, actividad. Indicar la cantidad, lugar donde se desarrollo el producto, alcance, etc. </t>
  </si>
  <si>
    <t>(6) FECHA DE EJECUCION DE  LA EVIDENCIA</t>
  </si>
  <si>
    <t>En esta columna se debera seleccionar si el tipo de evidencia que se esta reportando. Debe seleccionar entre las siguientes opciones: 1.Contrato  2. Funcionamiento</t>
  </si>
  <si>
    <t>Especifique la fecha en la cual se hace el registro de la evidencia</t>
  </si>
  <si>
    <t>Si en la columna 7, se selecciono la opción contract, indicar en que estado se encuentra el contrato: Liquidado, en ejecució, saldo a favor o en reserva</t>
  </si>
  <si>
    <t>Relacione el valor comprometido para la ejecución de la actividad.</t>
  </si>
  <si>
    <t>Si para el desarrollo de la actividad se ha efectuado algún pago, indique el valor que corresponda a lo pagado</t>
  </si>
  <si>
    <t>Si en la columna 8A indico un valor pagado, especifique la fecha en la cual se efectuo.</t>
  </si>
  <si>
    <t>(9) PORCENTAJE DE AVANCE PROCESO DE GESTION DE LA META FISICA (aplica unicamente para el informe del primer semestre)</t>
  </si>
  <si>
    <t>(10) META FÍSICA DEL PLAN</t>
  </si>
  <si>
    <t>(11) ACUMULADO DE LA META FISICA</t>
  </si>
  <si>
    <t>(12) PORCENTAJE DE AVANCE FISICO ACUMULADO</t>
  </si>
  <si>
    <t xml:space="preserve">(13) PONDERACIONES DE PROGRAMAS </t>
  </si>
  <si>
    <t>Indique el valor de las ponderaciones o pesos definidos para cada uno de los componente del PAI.</t>
  </si>
  <si>
    <t>Indique el valor de las ponderaciones o pesos definidos para cada uno de los componente del PAI en la vigencia objeto de reporte. Si hay actividades que no tienen meta asociada para el periodo el valor de distribución de las ponderaciones debe distribuirse de forma proporcional entre las actividades que si tienen meta para la vigencia.</t>
  </si>
  <si>
    <t>(15) META FINANCIERA ANUAL</t>
  </si>
  <si>
    <t>(16) AVANCE DE LA META FINANCIERA PROGRAMADA (Periodo Evaluado)</t>
  </si>
  <si>
    <t>(17)  PORCENTAJE DE AVANCE FINANCIERO (Periodo evaluado)</t>
  </si>
  <si>
    <t>(19) PORCENTAJE DE AVANCE DE LOS RECURSOS OBLIGADOS</t>
  </si>
  <si>
    <t>(20) RESERVA PRESUPUESTAL</t>
  </si>
  <si>
    <t>(21) RESERVA PRESUPUESTAL DEL 2020</t>
  </si>
  <si>
    <t>(21-A) OBLIGACIONES DE LA RESERVA 2020</t>
  </si>
  <si>
    <t>Indique el valor correspondiente a los recursos que se comprometieron en la vigencia anterior pero no fueron pagados</t>
  </si>
  <si>
    <t>Indique el valor correspondiente a los recursos de la reserva presupuestal que se obligaron durante la anualidad objeto de reporte</t>
  </si>
  <si>
    <t>(22) META FINANCIERA DEL PLAN</t>
  </si>
  <si>
    <t xml:space="preserve">(23) AVANCE ACUMULADO DE LA META FINANCIERA </t>
  </si>
  <si>
    <t xml:space="preserve">(23) AVANCE 
ACUMULADO DE LA META
FINANCIERA
$
</t>
  </si>
  <si>
    <t>(24) PORCENTAJE DE AVANCE FINANCIERO ACUMULADO %</t>
  </si>
  <si>
    <t>(25) OBSERVACIONES</t>
  </si>
  <si>
    <t>(26) PROGRAMA DE INVERSIÓN PUBLICA A LA QUE APORTA</t>
  </si>
  <si>
    <t>Indique el programa de inversión pública del sector ambiente con el cual se articularon los programas del PAI.</t>
  </si>
  <si>
    <t>(27) IMG AL QUE  APORTA</t>
  </si>
  <si>
    <t>Indique el indicador minimo de gestión al cual aporta la ejecución de las actividades o acciones estratégicas del PAI.</t>
  </si>
  <si>
    <t>(28) INDICADOR ODS AL QUE LE APORTA</t>
  </si>
  <si>
    <t>Indique el indicador de Objetivo de desarrollo sostenible al cual se aporta con los productos del PAI</t>
  </si>
  <si>
    <t>(12) PORCENTAJE DE AVANCE FISICO ACUMULADO % 
((11/10)*100)</t>
  </si>
  <si>
    <t>Si en la columna 7, se selecciono la opción Funcionting, indicar a través de que tipo de acción asociada a funcionamiento se desarrollo la activividad.</t>
  </si>
  <si>
    <t>Si  selecciona en la columna 7 la opcion contrac, Indique el o los numeros de contratos asociados al avance de la actividad  separados de punto y coma (;)</t>
  </si>
  <si>
    <r>
      <t>Calcule el porcentaje del avance anual de la Meta financiera programada. Divida el valor de la columna  (</t>
    </r>
    <r>
      <rPr>
        <sz val="7"/>
        <color rgb="FFFF0000"/>
        <rFont val="Arial Narrow"/>
        <family val="2"/>
      </rPr>
      <t>16</t>
    </r>
    <r>
      <rPr>
        <sz val="7"/>
        <rFont val="Arial Narrow"/>
        <family val="2"/>
      </rPr>
      <t>) con el valor de la columna (</t>
    </r>
    <r>
      <rPr>
        <sz val="7"/>
        <color rgb="FFFF0000"/>
        <rFont val="Arial Narrow"/>
        <family val="2"/>
      </rPr>
      <t>15</t>
    </r>
    <r>
      <rPr>
        <sz val="7"/>
        <rFont val="Arial Narrow"/>
        <family val="2"/>
      </rPr>
      <t xml:space="preserve">) y multiplique por 100. </t>
    </r>
  </si>
  <si>
    <r>
      <t>Se calcula el avance porcentual a la relación entre el avance de la meta financiera (1</t>
    </r>
    <r>
      <rPr>
        <sz val="7"/>
        <color rgb="FFFF0000"/>
        <rFont val="Arial Narrow"/>
        <family val="2"/>
      </rPr>
      <t>8</t>
    </r>
    <r>
      <rPr>
        <sz val="7"/>
        <rFont val="Arial Narrow"/>
        <family val="2"/>
      </rPr>
      <t>) y los recursos obligados (1</t>
    </r>
    <r>
      <rPr>
        <sz val="7"/>
        <color rgb="FFFF0000"/>
        <rFont val="Arial Narrow"/>
        <family val="2"/>
      </rPr>
      <t>6</t>
    </r>
    <r>
      <rPr>
        <sz val="7"/>
        <rFont val="Arial Narrow"/>
        <family val="2"/>
      </rPr>
      <t>)</t>
    </r>
  </si>
  <si>
    <r>
      <t>se calcula la diferencia entre los el avance de la meta financiera (1</t>
    </r>
    <r>
      <rPr>
        <sz val="7"/>
        <color rgb="FFFF0000"/>
        <rFont val="Arial Narrow"/>
        <family val="2"/>
      </rPr>
      <t>6</t>
    </r>
    <r>
      <rPr>
        <sz val="7"/>
        <rFont val="Arial Narrow"/>
        <family val="2"/>
      </rPr>
      <t>) y los recursos obligados (1</t>
    </r>
    <r>
      <rPr>
        <sz val="7"/>
        <color rgb="FFFF0000"/>
        <rFont val="Arial Narrow"/>
        <family val="2"/>
      </rPr>
      <t>8</t>
    </r>
    <r>
      <rPr>
        <sz val="7"/>
        <rFont val="Arial Narrow"/>
        <family val="2"/>
      </rPr>
      <t>)</t>
    </r>
  </si>
  <si>
    <r>
      <t>Calcule el porcentaje del avance acumulado de la Meta financiera programada en el Plan de Acción. Divida el valor de la columna  (</t>
    </r>
    <r>
      <rPr>
        <sz val="7"/>
        <color rgb="FFFF0000"/>
        <rFont val="Arial Narrow"/>
        <family val="2"/>
      </rPr>
      <t>23</t>
    </r>
    <r>
      <rPr>
        <sz val="7"/>
        <rFont val="Arial Narrow"/>
        <family val="2"/>
      </rPr>
      <t>) con el valor de la columna (</t>
    </r>
    <r>
      <rPr>
        <sz val="7"/>
        <color rgb="FFFF0000"/>
        <rFont val="Arial Narrow"/>
        <family val="2"/>
      </rPr>
      <t>22</t>
    </r>
    <r>
      <rPr>
        <sz val="7"/>
        <rFont val="Arial Narrow"/>
        <family val="2"/>
      </rPr>
      <t>) y multiplique por 100.</t>
    </r>
  </si>
  <si>
    <t>(17)  PORCENTAJE DEL AVANCE FINANCIERO % (Periodo Evaluado) 
((16/15)*100)</t>
  </si>
  <si>
    <t>LÍNEA ESTRATÉGICA No. 1. SOSTENIBILIDAD DEL RECURSO HÍDRICO</t>
  </si>
  <si>
    <t>LÍNEA ESTRATÉGICA No. 2. SOSTENIBILIDAD DEL RECURSO NATURAL</t>
  </si>
  <si>
    <t>LÍNEA ESTRATÉGICA No. 4. SOSTENIBILIDAD SECTORIAL</t>
  </si>
  <si>
    <t>LÍNEA ESTRATÉGICA No. 5. SOSTENIBILIDAD INSTITUCIONAL</t>
  </si>
  <si>
    <t>PROGRAMA No 1.1. PLANIFICACIÓN, ADMINISTRACIÓN Y GESTIÓN DEL RECURSO HÍDRICO PARA LA PROTECCIÓN DE LOS ECOSISTEMAS</t>
  </si>
  <si>
    <t>PROGRAMA No 1.2. CARACTERIZACIÓN, CUANTIFICACIÓN Y RECUPERACIÓN DEL RECURSO AGUA COMO ARTICULADOR DE LOS BIENES Y SERVICIOS AMBIENTALES</t>
  </si>
  <si>
    <t>PROGRAMA No 1.3. GESTIÓN INTEGRAL DE LOS RIESGOS ASOCIADOS AL RECURSO HÍDRICO</t>
  </si>
  <si>
    <t>PROGRAMA No 2.1. BIODIVERSIDAD Y RIQUEZA DE LOS ECOSISTEMAS TERRESTRES</t>
  </si>
  <si>
    <t>PROGRAMA No 2.2. BIODIVERSIDAD Y RIQUEZA DE LOS ECOSISTEMAS MARINO COSTERO</t>
  </si>
  <si>
    <t>PROGRAMA No 2.3. ESTRATEGIAS REGIONALES DE CONSERVACIÓN</t>
  </si>
  <si>
    <t>PROGRAMA No 3.1. LA EDUCACIÓN AMBIENTAL COMO PROCESO DE TRANSFORMACIÓN CULTURAL PARA LA SOSTENIBILIDAD.</t>
  </si>
  <si>
    <t>PROGRAMA No 3.2. LA PARTICIPACIÓN SOCIAL COMO FUNDAMENTO DE LA GESTIÓN AMBIENTAL TERRITORIAL.</t>
  </si>
  <si>
    <t>PROGRAMA No 3.3. LA DIVERSIDAD ETNOCULTURAL DEL DEPARTAMENTO DEL ATLÁNTICO COMO POTENCIAL ESTRATÉGICO PARA LA SOSTENIBILIDAD AMBIENTAL.</t>
  </si>
  <si>
    <t>PROGRAMA No 3.4. PARTICIPACIÓN PARA EL SEGUIMIENTOS ODS MUNICIPALES DEL COMPENENTE AMBIENTAL</t>
  </si>
  <si>
    <t>PROGRAMA No 4.1. EQUIPAMIENTO SOSTENIBLES</t>
  </si>
  <si>
    <t>PROGRAMA No 4.2. POR UN DEPARTAMENTO CON ENERGÍAS RENOVABLES</t>
  </si>
  <si>
    <t>PROGRAMA No 4.3. TERRITORIOS CON PLANIFICACIÓN AMBIENTAL</t>
  </si>
  <si>
    <t>PROGRAMA No 4.4. PREVENCIÓN, CONTROL Y MONITOREO DEL AIRE Y SUELO</t>
  </si>
  <si>
    <t>PROGRAMA No 4.5. INSTRUMENTOS ECONÓMICOS Y DE CONTROL AMBIENTAL</t>
  </si>
  <si>
    <t>PROGRAMA No 4.6. COMUNIDADES Y TERRITORIOS CON CONOCIMIENTO Y ADAPTACIÓN A LA GESTIÓN DEL RIESGO</t>
  </si>
  <si>
    <t>PROGRAMA No 4.7. COMUNIDADES Y TERRITORIOS CON CONOCIMIENTO Y ADAPTACIÓN CAMBIO CLIMÁTICO</t>
  </si>
  <si>
    <t>PROGRAMA No 5.1. GESTIÓN HUMANA (PERSONAL COMPETENTE PARA LA SOSTENIBILIDAD AMBIENTAL EN EL DEPARTAMENTO)</t>
  </si>
  <si>
    <t>PROGRAMA No 5.2. SEGURIDAD Y SALUD EN EL TRABAJO</t>
  </si>
  <si>
    <t>PROGRAMA No 5.3. TECNOLOGÍA (TECNOLOGIA DE PUNTA PARA LA AUTORIDAD AMBIENTAL)</t>
  </si>
  <si>
    <t>PROGRAMA No 5.4. COMUNICACIONES (FORTALECIMIENTO DE LA PRESENCIA INSTITUCIONAL EN MEDIOS DE COMUNICACIÓN)</t>
  </si>
  <si>
    <t>PROGRAMA No 5.5. BANCO DE PROYECTOS (CREATIVIDAD PARA LA EJECUCION DE PROYECTOS AMBIENTALES)</t>
  </si>
  <si>
    <t>PROGRAMA No 5.6. SISTEMAS DE INFORMACIÓN AMBIENTAL</t>
  </si>
  <si>
    <t>PROGRAMA No 5.7. SISTEMAS DE GESTIÓN INTEGRADOS</t>
  </si>
  <si>
    <t>PROGRAMA No 5.8. GESTIÓN DOCUMENTAL Y ARCHIVO</t>
  </si>
  <si>
    <t>PROGRAMA No 5.9. SOPORTE JURIDICO (UNA ENTIDAD QUE CUIDA SUS RECURSOS)</t>
  </si>
  <si>
    <t>PROGRAMA No 5.10. GESTIÓN DE INFRAESTRUCTURA (CONDICIONES ADECUADAS PARA PRESTAR UN MEJOR SERVICIO)</t>
  </si>
  <si>
    <t>PROYECTO No 1.1.1. REGULACIÓN Y REGLAMENTACIÓN DEL RECURSO HÍDRICO</t>
  </si>
  <si>
    <t>PROYECTO No 1.1.2. FORTALECIMIENTO DE LA GESTIÓN INSTITUCIONAL Y SOCIAL PARA LA PLANIFICACIÓN, ADMINISTRACIÓN Y  GESTIÓN DEL RECURSO HÍDRICO</t>
  </si>
  <si>
    <t>PROYECTO No 1.1.3. RECUPERACIÓN Y MANEJO DE LOS HUMEDALES DEL DEPARTAMENTO DEL ATLÁNTICO</t>
  </si>
  <si>
    <t>PROYECTO No 1.2.1. USO EFICIENTE Y SOSTENIBLE DEL AGUA</t>
  </si>
  <si>
    <t>PROYECTO No 1.2.2. CONTROL Y PREVENCION DE LA CONTAMINACIÓN DEL RECURSO HÍDRICO</t>
  </si>
  <si>
    <t>PROYECTO No 1.2.3. REDUCCIÓN DE LA CONTAMINACIÓN DEL RECURSO HÍDRICO</t>
  </si>
  <si>
    <t>PROYECTO No 1.3.1. GENERACIÓN DE CONOCIMIENTO Y REDUCCIÓN DEL RIESGO ASOCIADO AL RECURSO HÍDRICO</t>
  </si>
  <si>
    <t>PROYECTO No 2.1.1. DESARROLLO FORESTAL SOSTENIBLE</t>
  </si>
  <si>
    <t>PROYECTO No 2.1.2. GESTIÓN DE ESPECIES</t>
  </si>
  <si>
    <t>PROYECTO No 2.2.1. ORDENACIÓN Y MANEJO DE LA UNIDAD AMBIENTAL COSTERA</t>
  </si>
  <si>
    <t>PROYECTO No 2.2.2. MITIGACIÓN DE RIESGO COSTEROS</t>
  </si>
  <si>
    <t>PROYECTO No 2.2.3. CONSERVACIÓN DE ECOSISTEMAS MARINOS Y COSTEROS</t>
  </si>
  <si>
    <t>PROYECTO No 2.3.1. ÁREAS PROTEGIDAS</t>
  </si>
  <si>
    <t>PROYECTO No 2.3.2. NEGOCIOS VERDES</t>
  </si>
  <si>
    <t>PROYECTO No 2.3.3. BOLSA VERDE ATLÁNTICO</t>
  </si>
  <si>
    <t>PROYECTO No 3.1.1. FORTALECIMIENTO DE LOS COMITES INTERINSTITUCIONALES DE EDUCACIÓN AMBIENTAL-CIDEA</t>
  </si>
  <si>
    <t>PROYECTO No 3.1.2. INCLUSIÓN DEL TEMA AMBIENTAL EN LA EDUCACIÓN FORMAL</t>
  </si>
  <si>
    <t>PROYECTO No 3.1.3. INCLUSIÓN DEL TEMA AMBIENTAL EN LA EDUCACIÓN NO FORMAL</t>
  </si>
  <si>
    <t>PROYECTO No 3.1.4. IMPULSO DE LAS ESTRATEGIAS EDUCATIVAS PARA LA CONSTRUCCIÓN DE UNA CULTURA DE PREVENCIÓN Y GESTIÓN DEL RIESGO.</t>
  </si>
  <si>
    <t>PROYECTO No 3.2.1. ESCUELA DE CAPACITACIÓN AMBIENTAL</t>
  </si>
  <si>
    <t>PROYECTO No 3.2.2 ORGANIZACIONES SOCIALES AL SERVICIO DEL SEGUIMIENTO Y PROTECCIÓN DEL AMBIENTE</t>
  </si>
  <si>
    <t>PROYECTO No 3.2.3. COMUNICANDO Y DIFUNDIENDO EL CONOCIMIENTO AMBIENTAL SOBRE EL DEPARTAMENTO DEL ATLÁNTICO</t>
  </si>
  <si>
    <t>PROYECTO No 3.2.4. PROMOCIONANDO LA PERSPECTIVA DE GÉNERO PARA EL DESARROLLO AMBIENTAL DEL DEPARTAMENTO DEL ATLÁNTICO.</t>
  </si>
  <si>
    <t>PROYECTO 3.3.1. APRENDIENDO A CUIDAR EL AMBIENTE DE LA MANO DE NUESTRAS ETNIAS.</t>
  </si>
  <si>
    <t>PROYECTO No 3.4.1. IMPULSO A LA CREACIÓN Y ORGANIZACIÓN DE LOS COMITÉS MUNICIPALES DEL MEDIO AMBIENTE Y LOS GUARDIANES DEL MEDIO AMBIENTE (GUMA) EN EL DEPARTAMENTO</t>
  </si>
  <si>
    <t>PROYECTO No 3.4.2. IMPLEMENTAR UN SISTEMA DE SEGUIMIENTO Y MONITOREO A ESCALA COMUNITARIA DE LOS OBJETIVOS DE DESARROLLO SOSTENIBLE-ODS EN EL DEPARTAMENTO DEL ATLÁNTICO</t>
  </si>
  <si>
    <t>PROYECTO No 4.1.1. PRODUCCIÓN MÁS LIMPIA</t>
  </si>
  <si>
    <t>PROYECTO No 4.2.1. ENERGÍA DE BIOGÁS-BIOMASA</t>
  </si>
  <si>
    <t>PROYECTO No 4.2.2. ENERGÍA SOLAR</t>
  </si>
  <si>
    <t>PROYECTO No 4.2.3. ENERGÍA EÓLICA</t>
  </si>
  <si>
    <t>PROYECTO No 4.3.1. INSTRUMENTOS DE PLANIFICACIÓN</t>
  </si>
  <si>
    <t>PROYECTO No 4.3.2. ESQUEMAS DE PAGO POR SERVICIOS AMBIENTALES</t>
  </si>
  <si>
    <t>PROYECTO No 4.3.3. DETERMINANTES AMBIENTALES</t>
  </si>
  <si>
    <t>PROYECTO No 4.3.4. SALUD AMBIENTAL</t>
  </si>
  <si>
    <t>PROYECTO No 4.4.1. AIRE</t>
  </si>
  <si>
    <t>PROYECTO No 4.4.2. OLORES</t>
  </si>
  <si>
    <t>PROYECTO No 4.4.3. RUIDO</t>
  </si>
  <si>
    <t>PROYECTO No 4.4.4. RESIDUOS Y ECONOMÍA CIRCULAR</t>
  </si>
  <si>
    <t>PROYECTO No 4.5.1. EVALUACIÓN, SEGUIMIENTO Y CONTROL AMBIENTAL</t>
  </si>
  <si>
    <t>PROYECTO No 4.5.2. INSTRUMENTOS ECONÓMICOS</t>
  </si>
  <si>
    <t>PROYECTO No 4.6.1. CONOCIMIENTO Y ADAPTACIÓN A LA GESTIÓN DEL RIESGO</t>
  </si>
  <si>
    <t>PROYECTO No 4.7.1. CONOCIMIENTO Y ADAPTACIÓN AL CAMBIO CLIMÁTICO</t>
  </si>
  <si>
    <t>PROYECTO No 5.1.1. BIENESTAR SOCIAL</t>
  </si>
  <si>
    <t>PROYECTO No 5.2.1. SG-SST</t>
  </si>
  <si>
    <t>PROYECTO No 5.2.2. PLAN ESTRATÉGICO DE SEGURIDAD VIAL (PESV)</t>
  </si>
  <si>
    <t>PROYECTO No 5.3.1. ESTRATEGIA Y GOBIERNO TI</t>
  </si>
  <si>
    <t>PROYECTO No 5.3.2. SERVICIOS TECNOLÓGICOS</t>
  </si>
  <si>
    <t>PROYECTO No 5.4.1. FORTALECIMIENTO DE LA IMAGEN INSTITUCIONAL</t>
  </si>
  <si>
    <t>PROYECTO No 5.5.1. FORTALECIMIENTO DEL BANCO DE PROYECTOS</t>
  </si>
  <si>
    <t>PROYECTO No 5.6.1. GESTIÓN DE LA INFORMACIÓN</t>
  </si>
  <si>
    <t>PROYECTO No 5.6.2. SISTEMAS DE INFORMACIÓN AMBIENTAL (SIAC)</t>
  </si>
  <si>
    <t>PROYECTO No 5.7.1. SISTEMA DE GESTIÓN DE CALIDAD, AMBIENTAL Y SEGURIDAD Y SALUD EN EL TRABAJO.</t>
  </si>
  <si>
    <t>PROYECTO No 5.7.2. NTC 17025</t>
  </si>
  <si>
    <t>PROYECTO No 5.7.3. MIPG</t>
  </si>
  <si>
    <t>PROYECTO No 5.8.1. SGD</t>
  </si>
  <si>
    <t>PROYECTO No 5.9.1. DEFENSA JURÍDICA</t>
  </si>
  <si>
    <t>PROYECTO No 5.9.2. PQRS</t>
  </si>
  <si>
    <t>PROYECTO No 5.9.3. CONTRATACIÓN ESTATAL</t>
  </si>
  <si>
    <t>PROYECTO No 5.10.1. EFICIENCIA ENERGÉTICA</t>
  </si>
  <si>
    <t>PROYECTO No 5.10.2. MANTENIMIENTO Y ADQUISICIÓN DE NUEVOS ELEMENTOS</t>
  </si>
  <si>
    <t>1.1.1.1. Iniciar el proceso de formulación del Plan de Ordenación y Manejo de Cuencas Hidrográfica de la cuenca de Mar Caribe.</t>
  </si>
  <si>
    <t>1.1.1.2. Adoptar los Planes de Ordenación y Manejo de: Cuencas Hidrográficas del Canal del Dique, Cuenca del complejo de humedades del Rio Magdalena y Cuenca de los Arroyos directos al Mar Caribe.</t>
  </si>
  <si>
    <t>1.1.1.3. Implementar el Plan de Ordenación y Manejo de Cuencas Hidrográficas de la Ciénaga de Mallorquín y los Arroyos Grande y León.</t>
  </si>
  <si>
    <t>1.1.1.4. Implementar el Plan de Ordenación y Manejo de Cuencas Hidrográficas del Complejo de Humedades del Río Magdalena.</t>
  </si>
  <si>
    <t>1.1.1.5. Implementar el Plan de Ordenación y Manejo de Cuencas Hidrográficas del Canal del Dique</t>
  </si>
  <si>
    <t>1.1.1.6. Formular el Plan de Manejo de la Ciénaga de Mallorquín (delimitación y zonificación del humedal a escala 1:25.000), el cual hace parte de sitio RAMSAR Sistema Delta Estuario Ciénaga Grande de Santa Marta.</t>
  </si>
  <si>
    <t>1.1.1.7. Formular el Plan de Manejo de Acuífero de Sabanalarga - Tubará de acuerdo a la priorización definida en los criterios del Decreto 1640 de 2012.</t>
  </si>
  <si>
    <t>1.1.1.11. Elaborar Planes de Ordenamiento del Recurso Hídrico en las Ciénagas Priorizadas del Departamento (Sabanagrande, Santo Tomas, Palmar de Varela, Canal del Dique y Malambo).</t>
  </si>
  <si>
    <t>1.1.1.8. Actualizar el índice del Uso de Agua para el Departamento del Atlántico, ya que éste fue construido en el año 2013.</t>
  </si>
  <si>
    <t>1.1.1.9. Elaborar una Resolución de Priorización de los cuerpos de agua que requieren ser acotados en el departamento.</t>
  </si>
  <si>
    <t>1.1.1.10. Realizar estudios de Rondas Hídricas de los cuerpos de agua priorizados en el departamento (Malambo y Bahía).</t>
  </si>
  <si>
    <t>1.1.1.12. Implementar los Planes de Ordenamiento del Recurso Hídrico que se encuentra elaborados en el departamento (Embalse del Guájaro, la ciénaga de Luruaco y la ciénaga de Mallorquín).</t>
  </si>
  <si>
    <t>1.1.2.1. Conformar un Equipo de Trabajo fortalecido con herramientas e insumos necesarios para llevar a cabo la Planificación, Administración y Gestión del recurso hídrico.</t>
  </si>
  <si>
    <t>1.1.2.2. Implementar los cuatro Consejos de Cuenca (Mallorquin, Canal del Dique, Rio Magdalena y Caribe) como mecanismo de participación efectiva de los usuarios en la Planeación, Administración, Vigilancia y Monitoreo del recurso Hídrico.</t>
  </si>
  <si>
    <t>1.1.3.1. Realizar el mantenimiento a las compuertas de Villa Rosa y el Porvenir que regulan el Embalse del Guájaro.</t>
  </si>
  <si>
    <t>1.1.3.2. Realizar intervenciones para la Recuperación Ambiental de los Humedales asociados a la Cuenca del Canal del Dique (Hidrodinámica del Embalse El Guajaro y los afluentes del ecosistema).</t>
  </si>
  <si>
    <t>1.1.3.3. Realizar intervenciones en los Humedales asociados a la vertiente occidental del Rio Magdalena. (Ciénagas de Malambo, Sabanagrande, Santo Tomás y Palmar de Varela).</t>
  </si>
  <si>
    <t>1.1.3.4. Realizar intervenciones para la Recuperación ambiental de la Cuenca de la Ciénaga de Mallorquín (Cienaga de Mallorquin y Cienaga Rincon o Lago El Cisne).</t>
  </si>
  <si>
    <t>1.1.3.5. Realizar repoblamientos anuales como estrategia de implementación de recuperación de poblaciones naturales de especies nativas asociadas al recurso hidrobiológico en los humedales del departamento.</t>
  </si>
  <si>
    <t>1.2.1.1. Incrementar el número de usuarios del recurso hídrico con Planes de Ahorro y Uso eficiente del Agua.</t>
  </si>
  <si>
    <t>1.2.1.2. Realizar seguimiento a la implementación de los Programas de Ahorro y uso eficiente del agua de los usuarios del Recurso Hídrico.</t>
  </si>
  <si>
    <t>1.2.1.3. Elaborar e Implementar Proyectos para las zonas priorizadas como zonas abastecedora de recurso Hídrico.</t>
  </si>
  <si>
    <t>1.2.2.1. Realizar inventario y registro de usuario (Legales y por legalizar) del recurso Hídrico, en relación con las aguas superficiales y subterráneas.</t>
  </si>
  <si>
    <t>1.2.2.2. Monitorear la Calidad del Recurso Hídrico de las Aguas Continentales</t>
  </si>
  <si>
    <t>1.2.2.3. Monitorear la Calidad del Recurso Hídrico de las aguas Marinas (18 puntos establecidos en la REDCAM).</t>
  </si>
  <si>
    <t>1.2.2.4. Realizar reglamentación de los aportes puntuales de carga contaminante en los cuerpos de agua receptores de vertimientos en el Departamento del Atlántico</t>
  </si>
  <si>
    <t>1.2.2.5. Realizar seguimiento de las metas de Carga Contaminantes para el periodo 2020-2023.</t>
  </si>
  <si>
    <t>1.2.2.6. Realizar inventario de los corregimientos que carecen de Saneamiento Básico en todo el departamento.</t>
  </si>
  <si>
    <t>1.2.2.7. Realizar seguimiento a los vertimientos de los corregimientos del departamento del Atlántico.</t>
  </si>
  <si>
    <t>1.2.3.1. Realizar control, seguimiento y evaluación de los vertimientos, que permita conocer el estado de los cuerpos de agua receptores.</t>
  </si>
  <si>
    <t>1.2.3.2. (A) Reducir los aportes de contaminación puntual a los cuerpos de agua a través de sistemas de tratamiento de agua residuales.</t>
  </si>
  <si>
    <t>1.2.3.2. (B) Reducir los aportes de contaminación puntual a los cuerpos de agua a través de sistemas de tratamiento de agua residuales.</t>
  </si>
  <si>
    <t>1.3.1.1. Identificar y caracterizar la Vulnerabilidad de los ecosistemas claves para la regulación Hídrica e inventariar los riesgos sobre infraestructuras de abastecimiento de agua.</t>
  </si>
  <si>
    <t>1.3.1.2. Diseñar e Implementar medidas de adaptación a los efectos del cambio climático asociados al recurso Hídrico (Reconformación de taludes y/o diques de protección)</t>
  </si>
  <si>
    <t>1.3.1.3. Construir la Canalización para la Recuperación Paisajística y ambiental del Arroyo el Salao Ubicado en el Municipio de Soledad.</t>
  </si>
  <si>
    <t>1.3.1.4. Realizar seguimiento ambiental a la Canalización para la Recuperación Paisajística y ambiental del Arroyo el Salao Ubicado en el Municipio de Soledad.</t>
  </si>
  <si>
    <t>1.3.1.5. Realizar seguimiento ambiental a las Obras de canalización de los arroyos del Distrito de Barranquilla.</t>
  </si>
  <si>
    <t>2.1.1.1 Implementar el Plan de Acción Regional de Lucha contra la Desertificación y la Sequia que contribuya a la restauración de ecosistemas en zonas secas</t>
  </si>
  <si>
    <t>2.1.1.2 Producir 150.000 plantulas, adecuar el sitio y fortalecer técnica y ambientalmente la producción de plantulas en los viveros de la CRA con fines de restauración y recuperación de suelos.</t>
  </si>
  <si>
    <t>2.1.1.3 Implementar un programa de deforestación evitada que incluya al menos las siguientes lineas de acción: articulación con sectores o entes territoriales para incentivar modelos agroambientales, alternativas de eficiencia energetica en hogares y restaurantes y educación ambiental para disminuir la extracción de leña y carbon vegetal</t>
  </si>
  <si>
    <t>2.1.1.4. Ejecutar un programa comunitario de medidas de adaptación al cambio climático basadas en la conservación de los ecosistemas estrategicos (bosque seco y manglar) y enfocadas a la reconversión hacia sistemas sostenibles de producción</t>
  </si>
  <si>
    <t>2.1.1.5 Implementar un programa de conservación de suelos y promoción de sistemas sostenibles de producción</t>
  </si>
  <si>
    <t>2.1.2.1.Realizar el diagnóstico de las especies invasoras del departamento y diseñar una estrategia regional para el control de especies invasoras, exóticas y trasplantadas</t>
  </si>
  <si>
    <t>2.1.2.2. Implementar medidas de prevención, control y manejo de las principales especies invasoras del departamento</t>
  </si>
  <si>
    <t>2.1.2.3. Implementar proyectos comunitarios para la conservación y uso sostenible de especies amenazadas priorizadas para el departamento del Atlántico.</t>
  </si>
  <si>
    <t>2.1.2.4. Actualizar el inventario de Fauna y Flora Silvestre del Departamento del Atlántico</t>
  </si>
  <si>
    <t>2.1.2.5. Diseñar y ejecutar acciones de conservación y manejo para 6 especies amenazadas</t>
  </si>
  <si>
    <t>2.2.1.1. Adoptar e implementar el Plan de Ordenación y Manejo-POMIUAC de la Unidad Ambiental Costera-UAC del Rio Magdalena</t>
  </si>
  <si>
    <t>2.2.1.2. Adelantar e implementar acciones encaminadas a impulsar el ecoturismo sostenible en zonas de la franja costera del departamento del Atlántico.</t>
  </si>
  <si>
    <t>2.2.2.1. Definir e implementar acciones para controlar y mitigar el estado de la Erosión Costera en el Departamento del Atlàntico.</t>
  </si>
  <si>
    <t>2.2.3.1. Diseñar y ejecutar un programa educativo dirigido a la conservación de la Biodiversidad Marino-Costera del departamento del Atlántico, con enfasis en el cumplimiento de las leyes y orientado a controlar la destrucción de barreras naturales de protección de las costas, tales como manglares, arrecifes coralinos, islas de barrera y otras características geomorfológicas de protección.</t>
  </si>
  <si>
    <t>2.2.3.2. Establecer un Programa de Control y Monitoreo de la Unidad Ambiental Costera</t>
  </si>
  <si>
    <t>2.3.1.1. Actualizar y ejecutar los Planes de Manejo Ambiental de las Áreas Protegidas del Departamento</t>
  </si>
  <si>
    <t>2.3.1.2. Establecer acciones para promover la conservación efectiva y el cumplimiento del plan de manejo de las áreas protegidas declaradas.</t>
  </si>
  <si>
    <t>2.3.1.3. Implementar proyectos de restauraciòn y conectividad del Bosque Seco enmarcadas en el SIRAP, SIDAP, SILAP, en el Atlántico.</t>
  </si>
  <si>
    <t>2.3.1.4. Adquirir predios privados localizados al interior de las Áreas protegidas</t>
  </si>
  <si>
    <t>2.3.1.5. Declarar nuevas Áreas Protegidas en el Departamento con registro ante el RUNAP</t>
  </si>
  <si>
    <t>2.3.1.6. Formular y ejecutar Programas de asistencia técnica para la implementación de estrategias educativo ambientales y de participación encaminadas a la conservación de las áreas protegidas declaradas en el departamento del Atlántico.</t>
  </si>
  <si>
    <t>2.3.1.7. Formular e implementar actividades de protección y recuperación de las zonas de acuiferos ubicadas en las áreas protegidas, para prevenir y mitigar el impacto negativo en en el recurso hídrico</t>
  </si>
  <si>
    <t>2.3.1.8. Desarrollar estrategias de participación efectiva dirigidas a los propietarios de predios privados y comunidades de las áreas protegidas enfocadas a la conservación y a la implementación de sistemas productivos sostenibles como medida de adaptación al cambio climático</t>
  </si>
  <si>
    <t>2.3.1.9. Formular e implementar proyectos Ecoturísticos de acuerdo con los lineamientos establecidos por la Unidad Administrativa de Parques Nacionales de Colombia (UASPNN), como alternativa sostenible en las áreas protegidas y sus zonas aledañas</t>
  </si>
  <si>
    <t>2.3.1.10. Desarrollar e implementar estudios técnicos que definan la capacidad de carga para el control de ingreso e impactos ambientales generados por los visitantes de las áreas protegidas en el Atlántico</t>
  </si>
  <si>
    <t>2.3.1.11. Gestión del riesgo de desastre por incendio de cobertura vegetal en áreas declaradas como áreas protegidas.</t>
  </si>
  <si>
    <t>2.3.2.1. Actualizar la ventanilla nodo de negocios verdes creada para el departamento del Atlántico.</t>
  </si>
  <si>
    <t>2.3.2.2. Diseñar la Asistencia técnica que permita la consolidación, fortalecimiento de los Negocios Verdes en el Atlántico</t>
  </si>
  <si>
    <t>2.3.2.3. Desarrollar Ferias para la promoción, divulgaciòn y realización de Negocios Verdes en el departamento del Atlántico.</t>
  </si>
  <si>
    <t>2.3.2.4. Celebrar Convenios de Cooperación o alianzas con el sector público o privado nacional o internacional que permita fortalecer la oferta de asitencia técnica y de marketing de los Negocios Verdes existentes en el departamento del Atlántico.</t>
  </si>
  <si>
    <t>2.3.3.1. Estructurar e implementar la primera fase del Programa Regional de compensaciones ambientales agrupadas denominado Bolsa Verde Atlántico, con el objetivo de preservar y restaurar las áreas prioritarias de conservación de la biodiversidad del Atlántico</t>
  </si>
  <si>
    <t>3.1.1.1. Brindar asistencia técnica a los CIDEA municipales para apoyar la formulación del Plan Municipal de Educación Ambiental PMEA</t>
  </si>
  <si>
    <t>3.1.1.2. Apoyar dos acciones contempladas en los PMEA del CIDEA en cada uno de los 22 municipios</t>
  </si>
  <si>
    <t>3.1.1.3. Apoyar la realización de acciones coordinadas y aprobadas por el comité técnico del CIDEA Departamental.</t>
  </si>
  <si>
    <r>
      <rPr>
        <sz val="10"/>
        <color rgb="FF000000"/>
        <rFont val="Arial, sans-serif"/>
      </rPr>
      <t xml:space="preserve">3.1.2.1. Brindar </t>
    </r>
    <r>
      <rPr>
        <sz val="10"/>
        <color rgb="FFFF0000"/>
        <rFont val="Arial, sans-serif"/>
      </rPr>
      <t>asistencia</t>
    </r>
    <r>
      <rPr>
        <sz val="10"/>
        <color rgb="FF000000"/>
        <rFont val="Arial, sans-serif"/>
      </rPr>
      <t xml:space="preserve"> técnica a los Proyectos Ambientales Escolares (PRAE) y apoyar acciones para su implementación.</t>
    </r>
  </si>
  <si>
    <t>3.1.2.2. Impulsar la conformación y/o operatividad de Semilleros de Investigación, Grupos Ecológicos o Clubes de Ciencia y dinamizadores ambientales de los municipios del departamento.</t>
  </si>
  <si>
    <t>3.1.2.3. Establecer alianzas estratégicas con Instituciones de Educación Superior para apoyar la realización de acciones que promuevan la dimensión ambiental.</t>
  </si>
  <si>
    <t>3.1.2.4. (A)Promover la investigación en educación ambiental en el departamento en el marco de la política nacional de educación ambiental (PNEA).</t>
  </si>
  <si>
    <t>3.1.2.4. (B) Promover la investigación en educación ambiental en el departamento en el marco de la política nacional de educación ambiental (PNEA).</t>
  </si>
  <si>
    <t>3.1.3.1. Brindar apoyo y acompañamiento a los PROCEDA como motivadores de cultura ambiental ciudadana y promotores de la gestión y la resolución de los conflictos socioambientales a nivel local.</t>
  </si>
  <si>
    <t>3.1.3.2. Desarrollar un programa de capacitación para formar a jóvenes como gestores ambientales urbanos GAU en el departamento</t>
  </si>
  <si>
    <t>3.1.4.1. Posicionar el tema de la prevención y gestión del riesgo del desastre desde una visión educativa integradora en los Consejos Municipales de Gestión del Riesgo-CMGR de los municipios del Atlántico</t>
  </si>
  <si>
    <t>3.1.4.2. Apoyar a las Instituciones Educativas para la formulación y/o actualización de los Planes Escolares de Gestión del Riesgo-PEGR.</t>
  </si>
  <si>
    <t>3.2.1.1. Brindar el servicio de talleres de educación en temas ambientales relacionados a: Conservación de la biodiversidad, servicios ecosistémicos, manejo y uso sostenible de los ecosistemas marino-costeros, gestión del cambio climático, contaminación de suelo, agua y aire, gestión integral de residuos y Economía Circular, contaminación con metales pesados (mercurio), salud ambiental (COTSA), normatividad ambiental.</t>
  </si>
  <si>
    <t>3.2.1.2. Implementar jornadas pedagógicas a través de las Aulas Ambientales itinerantes para promover una conciencia y cultura ambiental en las comunidades del departamento.</t>
  </si>
  <si>
    <t>3.2.2.1. (A) Apoyar las iniciativas de las ONG´s ambientalistas que coadyuve a gestión ambiental de la Corporación CRA en los municipios del Departamento.</t>
  </si>
  <si>
    <t>3.2.2.1. (B) Apoyar las iniciativas de las ONG´s ambientalistas que coadyuve a gestión ambiental de la Corporación CRA en los municipios del Departamento.</t>
  </si>
  <si>
    <t>3.2.2.2. Apoyo a proyectos productivos para la seguridad alimentaria de las comunidades de pescadores y agricultores del departamento.</t>
  </si>
  <si>
    <t>3.2.3.1. (A) Optimizar el servicio de divulgación de la información que genera la Corporación sobre las iniciativas en las temáticas de educación ambiental y participación y los temas ambientales en general.</t>
  </si>
  <si>
    <t>3.2.3.1.(B) Optimizar el servicio de divulgación de la información que genera la Corporación sobre las iniciativas en las temáticas de educación ambiental y participación y los temas ambientales en general.</t>
  </si>
  <si>
    <t>3.2.3.2. Desarrollar jornadas anuales, a nivel departamental, de recolección de residuos posconsumo peligrosos, especiales y RAEE (envases y bolsas de agroquímicos, medicamentos vencidos, baterías usadas plomo ácido, bombillas, pilas, computadores y llantas usadas).</t>
  </si>
  <si>
    <t>3.2.3.3. Promover la utilización de las TICs, a través de la implementación de proyectos virtuales de educación ambiental en busca de innovación, agilidad y cobertura en el acceso a la información y la construcción de conocimiento ambiental.</t>
  </si>
  <si>
    <t>3.2.3.4. (A) Promocionar escenarios de divulgación e intercambio de conocimientos e iniciativas innovadoras en el marco de la educación ambiental, a nivel regional, nacional e internacional.</t>
  </si>
  <si>
    <t>3.2.3.4. (B) Promocionar escenarios de divulgación e intercambio de conocimientos e iniciativas innovadoras en el marco de la educación ambiental, a nivel regional, nacional e internacional.</t>
  </si>
  <si>
    <t>3.2.4.1. Apoyar iniciativas con enfoque diferencial que incorporen la perspectiva de género asociados a la gestión ambiental de la Corporación CRA.</t>
  </si>
  <si>
    <t>3.3.1.1. Apoyar con enfoque diferencial de las iniciativas integrales de emprendimientos produtivos (plantas medicinales, frutales, huertas caseras, y piscicultura entre otras) o iniciativas de protección de la biodiversidad (reforestación, siembra de manglares entre otras)</t>
  </si>
  <si>
    <t>3.3.1.2. Implementación de acciones con enfoque diferencial para fortalecer los conocimientos, usos, costumbres, saberes y prácticas tradicionales ambientales de las comunidades indígenas y Rom del departamento.</t>
  </si>
  <si>
    <t>3.3.1.3. Implementación de acciones con enfoque diferencial para fortalecer los conocimientos, usos, costumbres, saberes y prácticas tradicionales ambientales de las comunidades negras, afrocolombianas, raizales y palenqueras NARP del departamento.</t>
  </si>
  <si>
    <t>3.3.1.4. Apoyar iniciativas productivas con enfoque diferencial de las comunidades negras, afrocolombianas, raizales y palenqueras NARP del departamento articuladas al PAI de la Corporación CRA.</t>
  </si>
  <si>
    <t>3.4.1.1. Crear los comités municipales de guardianes del medio ambiente -GUMA para apoyar la gestión ambiental de la CRA</t>
  </si>
  <si>
    <t>3.4.2.1. Elaborar una matriz para realizar el seguimiento a los indicadores sociales, económicos y ambientales articulados a los ODS en los municipios del departamento del atlántico.</t>
  </si>
  <si>
    <t>4.1.1.1. Implementar Convenios de Producción más Limpia con los sectores de equipamiento urbano</t>
  </si>
  <si>
    <t>4.2.1.1. Fomentar el conocimiento sobre el Potencial energético de la generación de biogás a partir de residuos pecuarios en el Departamento del Atlántico</t>
  </si>
  <si>
    <t>4.2.2.1. Impulsar proyectos de generación de Fuentes No convencionales de Energía Renovable-FNCER, cogeneración a partir de la misma generación distribuida y de gestión eficiente de la energía.</t>
  </si>
  <si>
    <t>4.2.3.1. Conocer el potencial de energía eólica en el Departamento del Atlántico</t>
  </si>
  <si>
    <t>4.3.1.1. Asesorar a los municipios del Dpto. en la inclusión del componente ambiental en los procesos de planificación y ordenamiento territorial, con énfasis en la incorporación de las determinantes ambientales</t>
  </si>
  <si>
    <t>4.3.1.2. Construir el Plan de Gestión Regional. Ambiental - PGAR para la vigencia 2023-2032</t>
  </si>
  <si>
    <t>4.3.2.1. Asistir a los municipios en la implementación y seguimiento de esquemas de pago por servicios ambientales</t>
  </si>
  <si>
    <t>4.3.3.1. Ejecutar acciones orientadas a actualizar la información ambiental en el marco del ordenamiento ambiental y territorial que sirvan de insumo para la elaboración de los POT.</t>
  </si>
  <si>
    <t>4.3.4.1. Ejecutar acciones orientadas a implementar la Política Integral del Salud Ambiental en la jurisdicción de la CRA</t>
  </si>
  <si>
    <t>4.4.1.1. Realizar acciones tendientes a actualizar la situación de concentración de contaminantes criterio en la calidad del aire del Departamento del Atlántico</t>
  </si>
  <si>
    <t>4.4.1.2. Realizar un rediseño del sistema de vigilancia de la calidad del aire en el Departamento del Atlántico.</t>
  </si>
  <si>
    <t>4.4.1.3. Realizar informes mensuales para el Sistema de Calidad del Aire -SISAIRE (Resolución 651 de 29 de marzo de 2010).</t>
  </si>
  <si>
    <t>4.4.1.4. Tramitar y obtener certificado de acreditación del Sistema de Vigilancia de la Calidad del Aire acreditado con NTC ISO 17025 por el IDEAM ( Par. 2 del artículo 2.2.8.9.1.5 del Decreto Único 1076 de 2015).</t>
  </si>
  <si>
    <t>4.4.1.5. Realizar evaluación, seguimiento y control ambiental de las emisiones atmosféricas en el Departamento.</t>
  </si>
  <si>
    <t>4.4.1.6. Estimar las emisiones de Gases de Efecto Invernadero (GEI) sectorial en el Departamento del Atlántico.</t>
  </si>
  <si>
    <t>4.4.1.7. Elaborar el Inventario de emisiones atmosféricas aplicando la Guía para la elaboración de Inventario de Emisiones Atmosféricas</t>
  </si>
  <si>
    <t>4.4.2.1. Controlar las actividades productoras de olores ofensivos en el Departamento</t>
  </si>
  <si>
    <t>4.4.3.1. Actualizar los mapas de ruido diurno y nocturno en los municipios con más de 100.000 habitantes del Departamento</t>
  </si>
  <si>
    <t>4.4.3.2. Promover la adecuada gestión ambiental de las actividades generadoras de emisiones de ruido en el Departamento del Atlántico</t>
  </si>
  <si>
    <t>4.4.3.3. (A) Proporcionar apoyo técnico a los municipios del Departamento del Atlántico en las mediciones de emisión de ruido</t>
  </si>
  <si>
    <t>4.4.3.3. (B) Proporcionar apoyo técnico a los municipios del Departamento del Atlántico en las mediciones de emisión de ruido</t>
  </si>
  <si>
    <t>4.4.4.1. Fomentar el aprovechamiento local del plástico y otros materiales reciclables en los municipios costeros del Departamento del Atlántico</t>
  </si>
  <si>
    <t>4.4.4.2. Realizar seguimiento a la implementación del PGIRS municipios de la jurisdicción de la CRA.</t>
  </si>
  <si>
    <t>4.4.4.3. Realizar seguimiento a la implementación del Plan de Gestión de Residuos Peligrosos de los municipios de la jurisdicción de la CRA.</t>
  </si>
  <si>
    <t>4.4.4.4. Actualizar el registro y reporte de usuarios generadores de RESPEL</t>
  </si>
  <si>
    <t>4.4.4.5. Crear una Agenda Departamental de Economía Circular: materiales industriales y productos de uso masivo (RAEE, RESPEL, llantas usadas), Materiales de envases y empaques; Flujos de Biomasa, Flujos de Agua, Fuentes y flujos de energía, materiales de construcción.</t>
  </si>
  <si>
    <t>4.4.4.6. Ejecutar proyectos en el marco de la Agenda Departamental de Economía</t>
  </si>
  <si>
    <t>4.5.1.1. Promover la eficiencia en la evaluación, seguimiento y control de trámites ambientales</t>
  </si>
  <si>
    <t>4.5.1.2. Atender oportuna y eficazmente las quejas ambientales y procesos sancionatorios</t>
  </si>
  <si>
    <t>4.5.1.3. Realizar seguimiento a medidas de compensación</t>
  </si>
  <si>
    <t>4.5.1.4. Promover instrumentos de formalización minera para identificar actividades ilegales en los Sectores productivos de alto impacto</t>
  </si>
  <si>
    <t>4.5.1.5. Promover instrumentos de formalización minera para identificar y monitorear actividades ilegales en los Sectores productivos de alto impacto</t>
  </si>
  <si>
    <t>4.5.1.6. Atender oportuna y eficazmente las quejas ambientales</t>
  </si>
  <si>
    <t>4.5.1.7. Controlar el tráfico ilegal de especies de Fauna y Flora en el Atlántico</t>
  </si>
  <si>
    <t>4.5.1.8 Atender oportuna y eficazmente las quejas ambientales</t>
  </si>
  <si>
    <t>4.5.2.1. Implementar instrumentos económicos dependiendo de la actividad y su afectación al ambiente</t>
  </si>
  <si>
    <t>4.6.1.1. Elaborar estudios técnicos para el conocimiento y reducción del riesgo e incorporación de la gestión del riesgo en el ordenamiento territorial de los municipios</t>
  </si>
  <si>
    <t>4.6.1.2. Actualizar estudios técnicos para el conocimiento y reducción del riesgo elaborados e incorporación de la gestión del riesgo en el ordenamiento territorial de los municipios</t>
  </si>
  <si>
    <t>4.6.1.3. Promover asesorías para el conocimiento y reducción del riesgo de desastres e incorporación de la gestión del riesgo en el ordenamiento territorial de los municipios</t>
  </si>
  <si>
    <t>4.6.1.4. Brindar acompañamiento y asistencia a las entidades territoriales del Departamento del Atlántico, susceptibles de amenazas por incendios de cobertura vegetal</t>
  </si>
  <si>
    <t>4.7.1.1. Formular e implementar intervenciones locales orientadas a reducir la vulnerabilidad y el aumento de la resiliencia a la variabilidad y al cambio climático, en articulación con la Política Nacional de Cambio Climático y el PGICCTA del Departamento del Atlántico.</t>
  </si>
  <si>
    <t>5.1.1.1. Realizar un estudio para el fortalecimiento Institucional de la Entidad encaminado a la ampliación de la planta de personal y la creación de nuevos cargos.</t>
  </si>
  <si>
    <t>5.1.1.2. Garantizar la libre asociación de los funcionarios de la Entidad</t>
  </si>
  <si>
    <t>5.1.1.3. Elaborar y ejecutar el programa de capacitación y bienestar social de la Entidad para fortalecer los conocimientos, habilidades y destrezas de los funcionarios de la Corporación teniendo en cuenta los tres ejes del Plan Nacional de Formación y Capacitación: Gobernanza para la paz, Gestión del conocimiento, Creación del valor público</t>
  </si>
  <si>
    <t>5.1.1.4. Otorgar auxilios de tipo educativo y otros, a funcionarios que cumplen ciertos requisitos.</t>
  </si>
  <si>
    <t>5.2.1.1. Mantener calificación superior a 90 sobre 100 en la continuidad y mejoramiento del SG-SST (Resolución 312 de 2019 y el decreto 1072 de 2015)</t>
  </si>
  <si>
    <t>5.2.1.2. Realizar diagnostico del perfil sociodemográfico y de las condiciones de salud de los trabajadores</t>
  </si>
  <si>
    <t>5.2.1.3. Realizar informes de ejecución de las actividades de medicina preventiva y del trabajo, promoción y prevención y programas de vigilancia epidemiológica</t>
  </si>
  <si>
    <t>5.2.1.4. Realizar reportes periódicos sobre la práctica de exámenes médicos ocupacionales de ingreso, control periódico y retiro de todos los trabajadores y de control periódico para los colaboradores con contratos iguales o superiores a seis meses</t>
  </si>
  <si>
    <t>5.2.1.5. Realizar reportes anuales sobre los funcionarios y trabajadores en misión, los elementos de protección personal y colectiva que se requieren para el desarrollo de una labor segura y los elementos de protección frente a brotes pandémicos generadores de emergencias económicas, sociales y ecológicas</t>
  </si>
  <si>
    <t>5.2.1.6. Garantizar, conforme a la matriz de peligros y riesgos de la CRA la realización de estudios que contengan las mediciones ambientales de iluminación, ruido, agentes biológicos, químicos y demás establecidos en dicha matriz</t>
  </si>
  <si>
    <t>5.2.1.7. Garantizar la capacitación de trabajo en alturas a funcionarios y contratistas de la Corporación para la mejora de la gestión del riesgo de seguridad y salud</t>
  </si>
  <si>
    <t>5.2.2.1. Garantizar el mantenimiento, continuidad y mejora del Plan Estratégico de Seguridad vial de la CRA (Resolución 1565 de 2014, Resolución 1231 de 2016 y Decreto 2106 de 2019, Resolución 0312 de 2019. Decreto 1079 de 2015.)</t>
  </si>
  <si>
    <t>5.3.1.1. Formular el Plan estratégico de Tecnologías de Información PETI 2020-2023. 
 Formulación de la Política de Gobierno Digital y el Marco de Referencia de Arquitectura Empresarial</t>
  </si>
  <si>
    <t>5.3.1.2. Garantizar la divulgación y ejecución del Plan de Comunicaciones del PETI</t>
  </si>
  <si>
    <t>5.3.1.3. Diseñar e implementar un sistema de gestión de seguridad de la información basado en la norma ISO 27001</t>
  </si>
  <si>
    <t>5.3.2.1. Adquirir, mantener y dar soporte a los equipos de cómputo, periféricos y sistema eléctricos de respaldo a las labores de la Entidad</t>
  </si>
  <si>
    <t>5.3.2.2. Implementar servicios de voz, datos corporativos y servidores virtualizados en la entidad</t>
  </si>
  <si>
    <t>5.3.2.3. Actualizar el software de base de la Corporación</t>
  </si>
  <si>
    <t>5.3.2.4. Implementar servicios tecnológicos que dinamicen la realización de actividades internas y externas de la entidad</t>
  </si>
  <si>
    <t>5.4.1.1. Diseñar e implementar estrategias de comunicación para fortalecer la imagen institucional de la CRA</t>
  </si>
  <si>
    <t>5.4.1.3. Realizar campañas institucionales en medios de comunicación tradicionales y nuevas tecnologías</t>
  </si>
  <si>
    <t>5.4.1.4. Promover la participacion de la comunidad en las actividades de la corporación.</t>
  </si>
  <si>
    <t>5.4.1.2. Aumentar el número de visitas y seguidores en canales virtuales de la entidad</t>
  </si>
  <si>
    <t>5.5.1.1. Gestionar recursos externos nacionales e internacionales a partir de la formulación y ejecución de proyectos ambientales</t>
  </si>
  <si>
    <t>5.5.1.2. Apoyar la formulación, radicación y evaluación de proyectos ambientales radicados en la entidad.</t>
  </si>
  <si>
    <t>5.5.1.3. Adoptar herramientas para el seguimiento de los Instrumentos de Planeación y Administración de proyectos en la entidad</t>
  </si>
  <si>
    <t>5.6.1.1. Renovar y licenciar el Software para el desarrollo de las actividades misionales y administrativas de la entidad.</t>
  </si>
  <si>
    <t>5.6.1.2. Mantener la pagina web, intranet y subportales de la Entidad</t>
  </si>
  <si>
    <t>5.6.1.3. Implementar Software de soporte para la Oficina Jurídica</t>
  </si>
  <si>
    <t>5.6.1.4. Implementar Software de soporte para PQRS</t>
  </si>
  <si>
    <t>5.6.1.5. Formular e Implementar la Política de Seguridad y Manejo de la Informacion y el Marco de Interoperabilidad</t>
  </si>
  <si>
    <t>5.6.2.1. Implementar, mantener y mejorar estrategias para la consolidacion del sistema de informacion geografico ambiental y su articulacion con las diferentes entidades del SINA.</t>
  </si>
  <si>
    <t>5.6.2.2. Dar cumplimiento a la normatividad vigente en materia de Mantenimiento y operación de los subsistemas de SIAC a través de la entrega de información ambiental en: VITAL, RESPEL, RUA, PCBS, SISAIRE, SNIF, SIRH, SIB, SIAM, SMBYC, SIPGA CAR, SINAP-RUNAP, SIUR</t>
  </si>
  <si>
    <t>5.7.1.1. Realizar ciclos de auditoría interna de conformidad con la metodología vigente</t>
  </si>
  <si>
    <t>5.7.1.2. Mantener la certificación del sistema de gestión de la calidad según NTC ISO 9001:2015</t>
  </si>
  <si>
    <t>5.7.1.3. Implementar un sistema de seguridad y salud en el trabajo, según norma NTC 45001:2015</t>
  </si>
  <si>
    <t>5.7.1.4. Implementar un sistema de gestión ambiental según la norma NTC ISO 14001:2015</t>
  </si>
  <si>
    <t>5.7.2.1. Implementar una norma para la calibración de equipos según ISO 17025: 2017 (Ensayo y Calibración)</t>
  </si>
  <si>
    <t>5.7.3.1. Implementar un modelo integrado de planeación y gestión, de conformidad con el Decreto 1499/17</t>
  </si>
  <si>
    <t>5.8.1.1. Disponer de un Archivo Central en condiciones de funcionamiento adecuadas</t>
  </si>
  <si>
    <t>5.8.1.2. Adelantar procesos de digitalización de información sensible y de importancia en la entidad</t>
  </si>
  <si>
    <t>5.8.1.3. Elaborar instrumentos archivísticos y de gestión de la información para la planificación de la gestión documental</t>
  </si>
  <si>
    <t>5.8.1.4. Revisar y Actualizar los instrumentos archivísticos y de gestión de la información que existen en la entidad</t>
  </si>
  <si>
    <t>5.8.1.5. Garantizar el cumplimiento de la normatividad de la gestión documental en cada uno de los archivos de gestión de la entidad</t>
  </si>
  <si>
    <t>5.8.1.6. Fomentar el saneamiento de expedientes</t>
  </si>
  <si>
    <t>5.9.1.1. Atender los trámites jurídico procesales de la Entidad.</t>
  </si>
  <si>
    <t>5.9.1.2. Formular e implementar la política de prevención del daño antijurídico.</t>
  </si>
  <si>
    <t>5.9.2.1. Atender las PQRS radicadas en la Entidad.</t>
  </si>
  <si>
    <t>5.9.3.1. Atender los trámites procesales contractuales requeridos por la Dirección de la Entidad</t>
  </si>
  <si>
    <t>5.10.1.1. Realizar auditorías energéticas a la CRA para desarrollar un programas de eficiencia energética</t>
  </si>
  <si>
    <t>5.10.2.1. Garantizar la funcionalidad de la infraestructura de la Entidad a partir de su mantenimiento preventivo o reposición</t>
  </si>
  <si>
    <t>5.10.2.2. Garantizar el mantenimiento y adecuación (bienes inmuebles) de la sede principal y otras sedes de la corporación</t>
  </si>
  <si>
    <t>5.10.2.3. Disponer de vehículos para las áreas misionales y administrativas de la entidad.</t>
  </si>
  <si>
    <t>Número de documentos que consolide las acciones realizadas en marco de la ordenación de la cuenca del Mar Caribe</t>
  </si>
  <si>
    <t>Número de documentos con el Plan de Manejo de humedales formulado.</t>
  </si>
  <si>
    <t>Número de Documentos técnicos que contenga la actualización del índice de uso de agua</t>
  </si>
  <si>
    <t>Número de Documentos técnicos que contenga la priorización de cuerpos de agua que van hacer acotada su ronda</t>
  </si>
  <si>
    <t>Número de documentos técnicos con los acotamiento de ronda hídrica definidas.</t>
  </si>
  <si>
    <t>Número de Planes de ordenamiento del recurso Hídrico Implementados</t>
  </si>
  <si>
    <t>Número de POMCAS Adoptados bajo el Marco Normativo del 1076 del 2015</t>
  </si>
  <si>
    <t>Porcentaje de avance en la implementación del POMCA Mallorquín Adoptado bajo el marco Normativo del 1076 del 2015</t>
  </si>
  <si>
    <t>Porcentaje de avance en la implementación del POMCA Rio Magdalena Adoptado bajo el marco Normativo del 1076 del 2015</t>
  </si>
  <si>
    <t>Porcentaje de avance de la meta anual de implementación del POMCA Canal del Dique Adoptado bajo el marco Normativo del 1076 del 2015</t>
  </si>
  <si>
    <t>Número de Planes de Manejo de Acuífero.</t>
  </si>
  <si>
    <t>Número de Documentos técnicos que contenga Planes de ordenamiento del recurso hídrico formulados</t>
  </si>
  <si>
    <t>Número de equipo Conformado anualmente</t>
  </si>
  <si>
    <t>Número  de Consejos de Cuenca conformados y en actividad</t>
  </si>
  <si>
    <t>Número de mantenimiento anual a las compuertas Villa Rosa y el Porvenir</t>
  </si>
  <si>
    <t>Número de intervenciones para la Recuperación ambiental de los humedales asociados a la Cuenca del Canal del Dique</t>
  </si>
  <si>
    <t>Número de intervenciones para la Recuperación ambiental de los humedales asociados a la vertiente occidental del Rio Magdalena</t>
  </si>
  <si>
    <t>Número de intervenciones para la Recuperación ambiental de la cuenca de Mallorquín</t>
  </si>
  <si>
    <t>Número de Repoblamientos anuales para la recupoeración de especies nativas asociadas al recurso hídrico en los humedales</t>
  </si>
  <si>
    <t>Porcentaje de usuarios del recurso Hídrico con planes de ahorro y uso eficiente del agua.</t>
  </si>
  <si>
    <t>Número de proyectos elaborados e implementados para las zonas priorizadas como zonas abastecedora de recurso Hídrico.</t>
  </si>
  <si>
    <t>Porcentaje de usuarios del recurso Hídrico con seguimiento anual</t>
  </si>
  <si>
    <t>Monitoreo anual de la calidad fisicoquímica, microbiológica e hidrobiológica  a las aguas Continentales del departamento</t>
  </si>
  <si>
    <t>Monitoreo anual de la calidad fisicoquímica, microbiológica a las aguas Marinas.</t>
  </si>
  <si>
    <t>Seguimiento anual a las metas de carga contaminantes</t>
  </si>
  <si>
    <t>Inventario georreferenciado de corregimientos que carecen de saneamiento básico en el departamento</t>
  </si>
  <si>
    <t>Informe Técnico anual de seguimiento a los corregimientos que carecen de saneamiento básico</t>
  </si>
  <si>
    <t>Porcentaje de usuarios reportados en el SIRH, producto del inventario de usuarios registrados en la CRA</t>
  </si>
  <si>
    <t>Documento con el estado de los cuerpos de agua/objetivos de calidad hídrica en el departamento</t>
  </si>
  <si>
    <t>Informe anual de Seguimiento a las obras de saneamiento ambiental (Planta de tratamiento de aguas residuales-PTARS) para verificar el cumplimiento de las actividades priorizadas en los PSMV.</t>
  </si>
  <si>
    <t>Municipios con reducción de los aportes de contaminantes puntuales a los cuerpos de agua de acuerdo con la implementación de los PSMV</t>
  </si>
  <si>
    <t>Número de proyectos con apoyo en la implemenatción de PTARS</t>
  </si>
  <si>
    <t>Documento técnico con la identificación de ecosistemas claves e inventario de los riesgos sobre infraestructuras de abastecimiento de agua</t>
  </si>
  <si>
    <t>Número de proyectos de mitigación y adaptación de gestión del riesgo asociado a recurso Hídrico</t>
  </si>
  <si>
    <t>Metros lineales construidos y canalizados para la recuperación paisajística y ambiental del arroyo</t>
  </si>
  <si>
    <t>Documento Técnico de Seguimiento Anual de la recuperación paisajística y ambiental del arroyo</t>
  </si>
  <si>
    <t>Informe Técnico con el seguimiento a las obras de canalización de los arroyos del Distrito de Barranquilla</t>
  </si>
  <si>
    <t>Número de Plantulas de maderables y frutales producidas</t>
  </si>
  <si>
    <t>Número de Municipios y/o sectores con estrategias de reconversión hacia sistemas sostenibles de producción implementados</t>
  </si>
  <si>
    <t>Número de hectáreas en restauración, rehabilitación y reforestación</t>
  </si>
  <si>
    <t>Número de Medidas de adaptación al cambio climático implementadas</t>
  </si>
  <si>
    <t>Número de Hectáreas de suelos degradados en recuperación o rehabilitación</t>
  </si>
  <si>
    <t>Número de Documentos Diagnóstico realizados</t>
  </si>
  <si>
    <t>Número de Proyectos comunitarios implementados</t>
  </si>
  <si>
    <t>Número de Inventarios realizados</t>
  </si>
  <si>
    <t>Número de Municipios intervenidos para las 6 medidas de conservaciòn de especies amanazadas</t>
  </si>
  <si>
    <t>Número de acciones de manejo de la Unidad Ambiental Costera</t>
  </si>
  <si>
    <t>Número de playas con estrategias de manejo sostenible implementadas.</t>
  </si>
  <si>
    <t>Número de Acciones Implementadas</t>
  </si>
  <si>
    <t>Número de programas Educativos dirigidos a la Conservación de la Biodiversidad Marino-Costera ejecutados</t>
  </si>
  <si>
    <t>Número de mantenimientos realizados a la Red de Monitoreo formulada, implementada y con seguimiento</t>
  </si>
  <si>
    <t>Números de hectáreas adquiridas al interior de las áreas protegidas</t>
  </si>
  <si>
    <t>Número de protocolos implementados</t>
  </si>
  <si>
    <t>Número de Planes de Manejo Actualizados</t>
  </si>
  <si>
    <t>Número de Acciones realizadas en el cumplimiento de los planes de manejo de las áreas protegidas</t>
  </si>
  <si>
    <t>Número de hectáreas en proceso de restauración para conservación de áreas protegidas</t>
  </si>
  <si>
    <t>Número de hectáreas protegidas regionales declaradas, homologadas o recategorizadas, inscritas en el RUNAP</t>
  </si>
  <si>
    <t>Número de programas formulados y ejecutados en la conservación de las áreas protegidas</t>
  </si>
  <si>
    <t>Número de Estrategias desarrolladas</t>
  </si>
  <si>
    <t>Número de fuentes hídricas intervenidas</t>
  </si>
  <si>
    <t>Número de proyectos formulados e implementados.</t>
  </si>
  <si>
    <t>Número de estudios realizados</t>
  </si>
  <si>
    <t xml:space="preserve"> Número de ventanillas actualizada</t>
  </si>
  <si>
    <t>Número de de negocios verdes consolidados</t>
  </si>
  <si>
    <t>Número de Ferias realizadas</t>
  </si>
  <si>
    <t>Número de convenios establecidos</t>
  </si>
  <si>
    <t>Seguimiento anual a la implementación del Programa Bolsa Verde</t>
  </si>
  <si>
    <t xml:space="preserve"> Número de PMEA formulados</t>
  </si>
  <si>
    <t>Números de acciones ejecutadas en CIDEAS municipales</t>
  </si>
  <si>
    <t>Número de acciones apoyadas del CIDEA departamental.</t>
  </si>
  <si>
    <t>Números de Proyectos Ambientales Escolares asesorados técnicamente y apoyados en su implementación</t>
  </si>
  <si>
    <t>Ejecución de Acciones en Educación Ambiental.</t>
  </si>
  <si>
    <t>Número de acciones que promueven la dimensión ambiental con las IES</t>
  </si>
  <si>
    <t xml:space="preserve"> Documento con el estado del arte de la educación ambiental en el departamento</t>
  </si>
  <si>
    <t>Número publicaciones del estado del arte de la educación ambiental</t>
  </si>
  <si>
    <t>Número de PROCEDA apoyados y/o implementados</t>
  </si>
  <si>
    <t>Número de jóvenes como gestores ambientales urbanos</t>
  </si>
  <si>
    <t>Número de proyectos implementados</t>
  </si>
  <si>
    <t>Número de instituciones educativas apoyadas</t>
  </si>
  <si>
    <t>Porcentajes de talleres de capacitación realizados.</t>
  </si>
  <si>
    <t>Número de jornadas pedagógicas itinerantes realizadas</t>
  </si>
  <si>
    <t>Número de proyectos educativo ambientales implementados</t>
  </si>
  <si>
    <t>Número de eventos y/o ferias realizados</t>
  </si>
  <si>
    <t>Número de proyectos productivos implementados</t>
  </si>
  <si>
    <t>Número de estrategias de comunicación y cultura ciudadana sobre separación en la fuente desarrolladas</t>
  </si>
  <si>
    <t>Número de campañas de comunicación sobre gestión de cambio climático desarrolladas.</t>
  </si>
  <si>
    <t>Número de jornadas de recolección de residuos posconsumo peligrosos, especiales y RAEE realizadas</t>
  </si>
  <si>
    <t>Número de proyectos virtuales implementados</t>
  </si>
  <si>
    <t>Número de escenarios realizados o apoyados.</t>
  </si>
  <si>
    <t>Número de participación y asistencia a eventos nacionales y/o internacionales en educación ambiental</t>
  </si>
  <si>
    <t>Número de proyectos con perspectivas de géneros</t>
  </si>
  <si>
    <t>Número de iniciativas productivas implementadas</t>
  </si>
  <si>
    <t>Número de informes anuales de seguimiento a los ODS</t>
  </si>
  <si>
    <t>Número de estudios de evaluación geoespacial</t>
  </si>
  <si>
    <t>Número de documento elaborado</t>
  </si>
  <si>
    <t>Número de entidades asesoradas</t>
  </si>
  <si>
    <t>Números de actualizaciones de determinantes ambientales actualizados</t>
  </si>
  <si>
    <t>Número de acciones de implementación</t>
  </si>
  <si>
    <t>Número de sistema de vigilancia de calidad de Aire acreditado</t>
  </si>
  <si>
    <t>Porcentaje de seguimiento y evaluación de emisiones atmosféricas</t>
  </si>
  <si>
    <t>Número de estudios técnicos de estimación de GEI</t>
  </si>
  <si>
    <t>Número de documentos técnicos elaborados</t>
  </si>
  <si>
    <t>Número de operativos de actividades generadoras de olores ofensivos realizados por año</t>
  </si>
  <si>
    <t>Porcentaje de quejas atendidas</t>
  </si>
  <si>
    <t>Número de equipos adquiridos</t>
  </si>
  <si>
    <t>Número de equipos calibrados</t>
  </si>
  <si>
    <t>Porcentaje de seguimiento en la implementación del PGRESPEL del Departamento</t>
  </si>
  <si>
    <t>Número de agendas de economía circular elaboradas</t>
  </si>
  <si>
    <t>Número de proyectos de economía circular ejecutados</t>
  </si>
  <si>
    <t>Porcentaje de trámites atendidos para la evaluación, seguimiento y resolución de autorizaciones ambientales otorgadas por la corporación, con cumplimiento de los términos otorgados por la Ley</t>
  </si>
  <si>
    <t>Porcentaje de quejas y procesos sancionatorios resueltos</t>
  </si>
  <si>
    <t>Porcentaje de usuarios ilegales identificados con procesos de formalización de la actividad minera</t>
  </si>
  <si>
    <t>Porcentaje de quejas y de seguimiento a la red amigos de la fauna</t>
  </si>
  <si>
    <t>Número de CAVF implementado</t>
  </si>
  <si>
    <t>Número de bases de datos elaboradas</t>
  </si>
  <si>
    <t>Número de mapas de riesgo elaborados</t>
  </si>
  <si>
    <t>Número de mapas de amenazas actualizados</t>
  </si>
  <si>
    <t>Porcentaje de municipios asesorados anualmente</t>
  </si>
  <si>
    <t>Número de municipios asistidos</t>
  </si>
  <si>
    <t>Número de proyectos para ejecutar acciones para la mitigación y adaptación</t>
  </si>
  <si>
    <t>Numero de estudios realizados</t>
  </si>
  <si>
    <t>Numero de actividades desarrolladas por el grupo de funcionarios que pertenecen al sindicato/actividades planeadas</t>
  </si>
  <si>
    <t>Porcentaje de Funcionarios de planta capacitados</t>
  </si>
  <si>
    <t>Número de auxilios</t>
  </si>
  <si>
    <t>Número de Informes (anuales)</t>
  </si>
  <si>
    <t>Número de Documentos</t>
  </si>
  <si>
    <t>Número de Informes de ejecución de actividades</t>
  </si>
  <si>
    <t>No. de reportes de Información</t>
  </si>
  <si>
    <t>No. de reportes anuales</t>
  </si>
  <si>
    <t>No. de estudios realizados</t>
  </si>
  <si>
    <t>No. de capacitaciones realizadas</t>
  </si>
  <si>
    <t>No. de informes con resultado proyectado</t>
  </si>
  <si>
    <t>No. de Planes Formulados</t>
  </si>
  <si>
    <t>Porcentaje de divulgación y ejecución</t>
  </si>
  <si>
    <t>Sistema de gestión implementado</t>
  </si>
  <si>
    <t>Porcentaje de equipos reemplazados y mantenidos</t>
  </si>
  <si>
    <t>Porcentaje de implementación de servicios tecnológicos</t>
  </si>
  <si>
    <t>Porcentaje de actualización de software</t>
  </si>
  <si>
    <t>Número de servicios tecnológicos implementados</t>
  </si>
  <si>
    <t>Número Estrategias de Comunicación para el fortalecimiento de la imagen institucional</t>
  </si>
  <si>
    <t>Número de campañas institucionales impulsadas</t>
  </si>
  <si>
    <t>Número de interacciones con la comunidad a través de redes sociales</t>
  </si>
  <si>
    <t>Porcentaje de nuevos seguidores en canales virtuales</t>
  </si>
  <si>
    <t>Número de proyectos con financiación nacional o internacional</t>
  </si>
  <si>
    <t>Porcentaje de proyectos revisados con relación a los radicados</t>
  </si>
  <si>
    <t>Número de herramientas desarrolladas para seguimiento</t>
  </si>
  <si>
    <t>Porcentaje de Renovación y Licenciamiento de Software</t>
  </si>
  <si>
    <t>Porcentaje de mantenimiento</t>
  </si>
  <si>
    <t>(Numero de software adquiridos y/o desarrollados / Numero de software necesario para la gestión institucional)*100))</t>
  </si>
  <si>
    <t>Documento de Política Formulado e implementado</t>
  </si>
  <si>
    <t>Porcentaje de implementación y mantenimiento de la herramienta</t>
  </si>
  <si>
    <t>Numero de Auditorias internas realizadas al sistema de gestión integrado</t>
  </si>
  <si>
    <t>Número de Sistemas de Gestión certificados y mantenidos</t>
  </si>
  <si>
    <t>No. de sistemas implementados según NTC 45001:2018 (Sistema de Gestión de la Seguridad y Salud en el Trabajo)</t>
  </si>
  <si>
    <t>No. de sistemas implementados egún NTC ISO 14001:2015 (Sistema de Gestión Ambiental )</t>
  </si>
  <si>
    <t>Norma ISO Implementada</t>
  </si>
  <si>
    <t>No. de modelos implementados</t>
  </si>
  <si>
    <t>Porcentaje de Documentos custodiados (correspondientes al archivo central)</t>
  </si>
  <si>
    <t>Porcentaje de documentos digitalizados (correspondientes a áreas misionales y estratégicas)</t>
  </si>
  <si>
    <t>Número de Instrumentos archivísticos creados.</t>
  </si>
  <si>
    <t>Número de Instrumentos archivísticos actualizados.</t>
  </si>
  <si>
    <t>Número de Archivos Gestionados.</t>
  </si>
  <si>
    <t>Porcentaje de expedientes con saneamiento</t>
  </si>
  <si>
    <t>Porcentaje de atención de trámites procesales</t>
  </si>
  <si>
    <t>Implementación y Formulación de las políticas de prevención de daño antijurídico.</t>
  </si>
  <si>
    <t>Porcentaje de Atención de las PQRS</t>
  </si>
  <si>
    <t>Porcentaje de Atención a las necesidades contractuales de cada dependencia.</t>
  </si>
  <si>
    <t>Numero de auditorias realizadas</t>
  </si>
  <si>
    <t>Número de vehículos disponibles para las áreas estratégicas, misionales y de apoyo en la entidad.</t>
  </si>
  <si>
    <t>Número de iniciativas apoyadas</t>
  </si>
  <si>
    <t>Número de acciones implementadas</t>
  </si>
  <si>
    <t>Números de comités municipales de medio ambiente</t>
  </si>
  <si>
    <t>Porcentaje de guardianes ambientales GUMA organizados y apoyando la gestión ambiental de la CRA</t>
  </si>
  <si>
    <t>Número de convenios de Producción más Limpia implementados</t>
  </si>
  <si>
    <t>Número de proyectos impulsados</t>
  </si>
  <si>
    <t>Número de municipios asesorados en la incorporación de las determinantes ambientales</t>
  </si>
  <si>
    <t>Número de estaciones de calidad del aire en operación con reportes actualizado para el Sistema de Vigilancia de la Calidad del Aire aplicando el Protocolo para el Monitoreo y Seguimiento</t>
  </si>
  <si>
    <t>Número de informes mensuales el Subsistema de información de calidad del aire-SISAIRE realizados</t>
  </si>
  <si>
    <t>Número de Sistema rediseñado</t>
  </si>
  <si>
    <t>Número de mapas de ruido diurno y nocturno actualizados</t>
  </si>
  <si>
    <t xml:space="preserve"> Número de municipios con seguimiento de los PGIRS</t>
  </si>
  <si>
    <t>Porcentaje de registros y reportes actualizados</t>
  </si>
  <si>
    <t xml:space="preserve">Porcentaje de denuncias atendidas </t>
  </si>
  <si>
    <t>Porcentaje de autorizaciones ambientales con seguimiento.</t>
  </si>
  <si>
    <t xml:space="preserve">100% de mantenimiento a infraestructura </t>
  </si>
  <si>
    <t xml:space="preserve">100% de mantenimiento a inmuebles </t>
  </si>
  <si>
    <t>LÍNEA ESTRATÉGICA 3. SOSTENIBILIDAD DEMOCRÁTICA</t>
  </si>
  <si>
    <r>
      <t>Calcule el porcentaje del avance de la Meta física acumulada. Divida el valor de la columna  (11) con el valor de la columna (</t>
    </r>
    <r>
      <rPr>
        <sz val="7"/>
        <color rgb="FFFF0000"/>
        <rFont val="Arial Narrow"/>
        <family val="2"/>
      </rPr>
      <t>10</t>
    </r>
    <r>
      <rPr>
        <sz val="7"/>
        <rFont val="Arial Narrow"/>
        <family val="2"/>
      </rPr>
      <t>) y multiplique por 100. Para el cálculo de avance de las líneas, programas y proyectos se debe tener en cuenta el valor de ponderación del PAI que se encuentra en la columna 13</t>
    </r>
  </si>
  <si>
    <t>$ 0</t>
  </si>
  <si>
    <t>35~Grado de aplicación de la ordenación integrada de los recursos hídricos (0-100)</t>
  </si>
  <si>
    <t>64~Nivel de estrés hídrico: extracción de agua dulce como proporción de los recursos de agua dulce disponibles</t>
  </si>
  <si>
    <t>1~No aplica</t>
  </si>
  <si>
    <t>144~Porcentaje del cambio en la extensión de los ecosistemas relacionados con el agua a lo largo del tiempo</t>
  </si>
  <si>
    <t>190~Proporción de poblaciones de peces que están dentro de niveles biológicamente sostenibles</t>
  </si>
  <si>
    <t>9~Cambio en la eficiencia del uso del agua con el tiempo</t>
  </si>
  <si>
    <t>126~Porcentaje de masas de agua de buena calidad</t>
  </si>
  <si>
    <t>103~Porcentaje de aguas residuales tratadas de manera segura</t>
  </si>
  <si>
    <t>89~Número de países que han comunicado el fortalecimiento de la capacidad institucional, sistémica e individual para implementar la adaptación, la mitigación y la transferencia de tecnología, y acciones desarrolladas</t>
  </si>
  <si>
    <t>80~Número de países menos adelantados y pequeños Estados insulares en desarrollo que están recibiendo apoyo especializado para los mecanismos encaminados a aumentar la capacidad de planificación y gestión eficaces en relación con el cambio climático, incluidos los centrados en las mujeres, los jóvenes y las comunidades locales y marginadas</t>
  </si>
  <si>
    <t>39~Hacia la ordenación forestal sostenible</t>
  </si>
  <si>
    <t>143~Porcentaje de tierras degradadas en comparación con la superficie total</t>
  </si>
  <si>
    <t>184~Proporción de países que adoptan legislación nacional relevante y adecuadamente dotan de recursos a la prevención o control de especies exóticas invasoras</t>
  </si>
  <si>
    <t>57~La asistencia oficial para el desarrollo y el gasto público en la conservación y el uso sostenible de la diversidad biológica y los ecosistemas</t>
  </si>
  <si>
    <t>47~Índice de la Lista Roja</t>
  </si>
  <si>
    <t>84~Número de países que avanzan en ratificar, aceptar e implementar mediante mecanismos legales, normativos e institucionales, instrumentos relacionados con los océanos que implementan el derecho internacional, como se refleja en la Convención, para la conservación y el uso sostenible de los océanos y sus recursos</t>
  </si>
  <si>
    <t>70~Número de estrategias sostenibles de turismo o políticas y planes de acción implementados, con un seguimiento acordado, y herramientas de evaluación.</t>
  </si>
  <si>
    <t>75~Número de países con estrategias nacionales y locales para la reducción del riesgo de desastres</t>
  </si>
  <si>
    <t>191~Proporción de sitios importantes para la biodiversidad terrestre y de agua dulce que están cubiertos por las áreas protegidas, por tipo de ecosistema</t>
  </si>
  <si>
    <t>37~Grado en el que (i) la educación para la ciudadanía global y (ii) la educación para el desarrollo sostenible (incluyendo educación sobre el cambio climático) son establecidos en (a) las políticas nacionales de educación (b) los planes de estudio (c) la formación del profesorado y (d) evaluación de los alumnos</t>
  </si>
  <si>
    <t>85~Número de países que comunican avances en la efectividad del desarrollo de marcos de seguimiento de múltiples partes interesadas que apoyan el logro de objetivos de desarrollo sostenible</t>
  </si>
  <si>
    <t>201~Residuos peligrosos generados per cápita, proporción de residuos peligrosos tratados y por tipo de tratamiento</t>
  </si>
  <si>
    <t>38~Grado en el que (i) la educación para la ciudadanía global y (ii) la educación para el desarrollo sostenible, incluida la igualdad de género y los derechos humanos, son integrados en todos los niveles en (a) las políticas nacionales de educación (b) los planes de estudio (c) la formación del profesorado y (d) evaluación de los alumnos</t>
  </si>
  <si>
    <t>138~Porcentaje de países que cuentan con sistemas para dar seguimiento a la igualdad de género y el empoderamiento de la mujer y asignar fondos públicos para ese fin</t>
  </si>
  <si>
    <t>30~Gasto total (público y privado) per cápita dedicado a la preservación, protección y conservación de todo el patrimonio cultural y natural. por tipo de patrimonio (cultural, natural, mixto, designación del Centro del Patrimonio Mundial), nivel de gobierno (nacional, regional y local / municipal), el tipo de gastos: gastos de funcionamiento / de inversión y tipo de financiación privada (donaciones en especie, privado sector sin fines de lucro, patrocinio)</t>
  </si>
  <si>
    <t>105~Porcentaje de ciudades con una estructura de participación directa de la sociedad civil en la planificación y la gestión urbanas que opera regular y democráticamente</t>
  </si>
  <si>
    <t>161~Proporción de la energía renovable en el consumo final total de energía</t>
  </si>
  <si>
    <t>166~Proporción de la población que vive en ciudades que implementan planes de desarrollo urbano y regional integrando las proyecciones de población y las necesidades de recursos, por tamaño de la ciudad</t>
  </si>
  <si>
    <t>65~Niveles medios anuales de partículas finas (por ejemplo, PM2.5 y PM10) en las ciudades (ponderados según la población)</t>
  </si>
  <si>
    <t>88~Número de países que han comunicado el establecimiento o la puesta en funcionamiento de una estrategia/plan/política integrada que aumenta su capacidad para adaptarse a los efectos adversos del cambio climático y fomenta la resiliencia al cambio climático de bajas emisiones de gases efecto invernadero de una manera que no amenace la producción de comida (incluyendo un plan nacional de adaptación, contribución determinada a nivel nacional, comunicación nacional, informe bienal de actualización, u otros) .</t>
  </si>
  <si>
    <t>222~Tasa nacional de reciclado, toneladas de material reciclado</t>
  </si>
  <si>
    <t>141~Porcentaje de residuos sólidos urbanos recolectados periódicamente con descarga final adecuada con respecto al total de los desechos generados por la ciudad</t>
  </si>
  <si>
    <t>174~Proporción de la vida silvestre que fue cazado furtivamente u objeto de tráfico ilícito</t>
  </si>
  <si>
    <t>6~Aumento en el cumplimiento nacional de los derechos laborales (libertad de asociación y negociación colectiva) sobre la base de fuentes textuales de la OIT y la legislación nacional, por sexo y la condición de migrante</t>
  </si>
  <si>
    <t>164~Proporción de la población que se siente satisfecha con su última experiencia de los servicios públicos</t>
  </si>
  <si>
    <t>110~Porcentaje de jóvenes y adultos con conocimientos de tecnología de la información y las comunicaciones (TIC) por tipo de conocimiento técnico</t>
  </si>
  <si>
    <t>224~Tasas de frecuencia de lesiones ocupacionales mortales y no mortales, por sexo y situación migratoria</t>
  </si>
  <si>
    <t>55~Inversiones extranjeras directas (IED), asistencia oficial para el desarrollo y cooperación sur-sur como proporción del presupuesto nacional total</t>
  </si>
  <si>
    <t>81~Número de países que adoptan y aplican garantías constitucionales, legales y / o de política para el acceso público a la información</t>
  </si>
  <si>
    <t>Durante el año 2021, se vienen implementando los siguientes programas del Plan de Ordenación y manejo de la cuenca hidrográfica de la Ciénaga de Mallorquín y los Arroyos Grande y León:
	PROGRAMA 1: ADMINISTRACIÓN Y GESTIÓN DEL RECURSO HÍDRICO
	PROGRAMA 2: MANEJO Y CONSERVACIÓN DE LA ESTRUCTURA ECOLÓGICA
Estos dos programas se vienen cumpliendo con la ejecución del proyecto de Operación del sistema integral de captación, tratamiento con Biotecnología y reúso de las aguas del arroyo león.</t>
  </si>
  <si>
    <t>Dado que la implementación del POMCA Río Magdalena se encuentra sujeta a la adopción de éste bajo el marco normativo del 1076 del 2015, es necesario acotar que dicha adopción no se ha realizado, por lo cual durante la vigencia del año 2021 no se realizó implementación del instrumento, obteniendose un 0% de avance en la meta programada.</t>
  </si>
  <si>
    <t>Dado que la implementación del POMCA Canal del Dique se encuentra sujeto a la adopción de éste bajo el marco normativo del Decreto No. 1076 del 2015, es necesario acotar que dicha adopción no se ha realizado por lo cual durante la vigencia del año 2021 no se realizó implementacion del instrumento obteniendose un 0% de avance en la meta programada.</t>
  </si>
  <si>
    <t>Al cierre de la vigencia 2021, se da cumplimiento a la meta dado que se encuentran conformados  3 Consejos de Cuenca en actividad, representado en las acciones detalladas en adelante.
Como mecanismo de participación efectiva de los usuarios en la Planeación, Administración, Vigilancia y Monitoreo del recurso Hídrico se encuentran conformados tres (3) Consejos de Cuencas:
­	Ciénaga de Mallorquín y los arroyos Grande y León
­	Complejo de humedales de la vertiente occidental del Río Magdalena en el departamento del Atlántico. 
­	Canal del Dique</t>
  </si>
  <si>
    <t xml:space="preserve">En el marco del Contrato No. 000155 de 2021 cuyo objeto es: “Desarrollar un programa de educación ambiental que influya en la reducción de procesos de transformación y pérdida de ecosistemas especialmente influenciados por el cambio climático en las áreas protegidas del Departamento del Atlántico”, se da cumplimiento al 100% de la meta a través del desarrollo de estrategias dirigidas a los propietarios de predios ubicados en las áreas protegidas (Luruaco, Piojó, Repelón y Usiacurí). Para lograr el cumplimiento de la meta, se realizaron talleres en los municipios mencionados. </t>
  </si>
  <si>
    <t xml:space="preserve">Con la formulación e implementación de dos (2) Proyectos Ecoturísticos como alternativa sostenible en las áreas protegidas y sus zonas aledañas, cumplimos con el 100% de la meta programada para la vigencia 2021
Los proyectos se lograron como resultado final de un proceso de capacitación que se desarrolló con la participación de la comunidad de los municipios de Luruaco y Piojó, buscando impulsar el desarrollo económico local, con base en actividades de conservación como el ecoturismo. Durante los procesos formativos se identificaron las múltiples potencialidades que tienen estos municipios, para desarrollar actividades relacionadas con el turismo de comunidad (naturaleza, ecoturismo, cultural, etc.). </t>
  </si>
  <si>
    <t>Se adelantaron gestiones para desarrollar un (1) estudio  técnico  que  defina  la capacidad  de  carga  para  el  control  de  ingreso  e  impactos  ambientales generados por los visitantes de las áreas protegidas en el Atlántico. 
Al cierre del presente informe, la Subdirección de Gestión Ambiental elaboró los estudios previos para iniciar el proceso de contratación. Al finalizar la vigencia 2021 la meta tiene un avance del 3%.</t>
  </si>
  <si>
    <t>TOTAL GASTOS DE INVERSIÓN</t>
  </si>
  <si>
    <t xml:space="preserve">Programa 21. Sostenibilidad del recurso hídrico </t>
  </si>
  <si>
    <t xml:space="preserve">Programa 22. Programa Sostenibilidad del recurso natural </t>
  </si>
  <si>
    <t xml:space="preserve">Programa 23. Programa Sostenibilidad democrática </t>
  </si>
  <si>
    <t xml:space="preserve">Programa 24. Programa Sostenibilidad sectorial </t>
  </si>
  <si>
    <t xml:space="preserve">Programa 25. Programa Sostenibilidad Institucional </t>
  </si>
  <si>
    <t>Programa 26. Programa Deficit vigencias anteriores</t>
  </si>
  <si>
    <t>TOTAL PRESUPUESTO DE GASTOS</t>
  </si>
  <si>
    <t>Sobretasa ambiental - Urbano-Vigencia actual</t>
  </si>
  <si>
    <t>Seguimiento a licencias y trámites ambientales - Vigencia Actual</t>
  </si>
  <si>
    <t>Tasa por el uso del agua - Vigencia Actual</t>
  </si>
  <si>
    <t>Tasa por el uso del agua - Vigencia Anterior</t>
  </si>
  <si>
    <t>Tasa por aprovechamiento forestal - Vigencia Actual</t>
  </si>
  <si>
    <t>Tasa por aprovechamiento forestal - Vigencia Anterior</t>
  </si>
  <si>
    <t>Multas ambientales - Vigencia Actual</t>
  </si>
  <si>
    <t>Multas ambientales - Vigencia Anterior</t>
  </si>
  <si>
    <t>Participación ambiental en el porcentaje de recaudo del impuesto predial - Vigencia Actual</t>
  </si>
  <si>
    <t>Participación ambiental en el porcentaje de recaudo del impuesto predial - Vigencia Anterior</t>
  </si>
  <si>
    <t>Aportes Presupuesto General de la Nación - Inversión</t>
  </si>
  <si>
    <t>Germán Escaf Payares -Tayro Pimienta</t>
  </si>
  <si>
    <t>Subdirección de Planeación - Subdirección Financiera</t>
  </si>
  <si>
    <t xml:space="preserve">Subdirector de Planeación - Subdirector Financiero (e) </t>
  </si>
  <si>
    <t>gescaf@crautonoma.gov.co -  jbohorquez@crautonoma.gov.co</t>
  </si>
  <si>
    <t>(57-5) 3492482 - 3492686</t>
  </si>
  <si>
    <t>2.2.1.1. Adoptar e implementar el Plan de Ordenación y Manejo-POMIUAC  de la Unidad Ambiental Costera-UAC del Rio Magdalena</t>
  </si>
  <si>
    <t>2.2.3.2. Establecer un  Programa de  Control y Monitoreo de la Unidad Ambiental Costera</t>
  </si>
  <si>
    <t>2.3.2.2.  Diseñar la Asistencia técnica que permita la consolidación, fortalecimiento  de los Negocios Verdes en el Atlántico</t>
  </si>
  <si>
    <t xml:space="preserve">2.3.2.4. Celebrar Convenios de Cooperación o alianzas con el sector público o privado nacional o internacional que permita fortalecer la oferta de asitencia técnica y de marketing de los Negocios Verdes existentes en el departamento del Atlántico. </t>
  </si>
  <si>
    <t>(14) PONDERACIONES DE PROGRAMAS  Y PROYECTOS VIGENCIA 2022</t>
  </si>
  <si>
    <t>3.4.1.1.(B) Capacitar y formar a los Guardianes del Medio Ambiente GUMA en los 22 municipios del Departamento del Atlántico.</t>
  </si>
  <si>
    <t>PROGRAMA No. 5.11 DEFICIT DE VIGENCIAS ANTERIORES (Anexo: informe de gastos)</t>
  </si>
  <si>
    <t xml:space="preserve">CORPORACIÓN AUTÓMA REGIONAL DEL ATLANTICO </t>
  </si>
  <si>
    <t>RECURSOS VIGENCIA :  2022</t>
  </si>
  <si>
    <t>Los ingresos son recursos monetarios recaudados en una vigencia fiscal por quienes corresponda administrarlos según la ley.
Se consideran ingresos las entradas de caja efectivas, en moneda nacional, que incrementan las disponibilidades para el gasto. Así, se deben cumplir las siguientes condiciones para reconocer una transacción como ingreso:
1.	Afectación efectiva de caja. Los ingresos se reconocen bajo el principio de caja. Es decir, cuando hay desembolso de los recursos a favor de las entidades beneficiarias.
2.	La afectación de caja se produce en moneda nacional.
3.	Respaldo de un gasto. No se reconocen como ingresos aquellas entradas efectivas de caja que no están habilitadas para realizar gastos.</t>
  </si>
  <si>
    <t>-</t>
  </si>
  <si>
    <t>Se reconocen por su regularidad, además se caracterizan porque: i) su base de cálculo y su trayectoria histórica permiten estimar con cierto grado de certidumbre el volumen de ingresos; ii) si bien pueden constituir una base aproximada, esta sirve de referente para la elaboración del presupuesto anual.</t>
  </si>
  <si>
    <t>Son aquellos establecidos como impuestos y estampillas por la ley. Estos representan la obligación de hacer un pago, sin que exista una retribución particular por parte del Estado.</t>
  </si>
  <si>
    <t>Corte Constitucional, Sentencia C-545/1994.</t>
  </si>
  <si>
    <t>Son aquellos que gravan directamente los ingresos o el patrimonio de las personas naturales y jurídicas, es decir, recaen sobre la capacidad económica de los sujetos. En los impuestos directos se identifica al contribuyente respectivo, y se conoce su capacidad de pago,  mediante las informaciones relativas a sus rentas y patrimonio.</t>
  </si>
  <si>
    <t>Corte Constitucional, Sentencia C- 426/2005.</t>
  </si>
  <si>
    <t xml:space="preserve">la Sobretasa Ambiental se creó como un mecanismo de compensación a la afectación y deterioro derivado de las vías del orden nacional actualmente construidas y que llegaren a construirse, próximas o situadas en Areas de Conservación y Protección Municipal, sitios de Ramsar o Humedales de Importancia Internacional definidos en la Ley 357 de 1997 y Reservas de Biosfera, así como sus respectivas Zonas de Amortiguación de conformidad con los criterios técnicos que para el efecto establezca el Ministerio de Ambiente, Vivienda y Desarrollo Territorial. </t>
  </si>
  <si>
    <t>Ley 981 de 2005 modificada por Ley 1718 de 2014 y Ley 1753 de 2015</t>
  </si>
  <si>
    <t>Sobretasa ambiental - Peajes (vigencia actual)</t>
  </si>
  <si>
    <t>Sobretasa ambiental - Peajes (vigencia anterior)</t>
  </si>
  <si>
    <t>Participación de intereses de mora sobre la sobretasa ambiental-peajes</t>
  </si>
  <si>
    <t>Son las transferencias de recursos de los intereses recaudados por la mora en el pago de la sobretasa ambiental. Los intereses que se causen por mora en el pago del Impuesto Predial Unificado, también se causan para el pago y transferencia de la sobretasa ambiental.</t>
  </si>
  <si>
    <t>Decreto Reglamentario 1339 de 1994, artículo 2.</t>
  </si>
  <si>
    <t>Participación de intereses de mora sobre la sobretasa ambiental-peajes (vigencia actual)</t>
  </si>
  <si>
    <t>Participación de intereses de mora sobre la sobretasa ambiental-peajes (vigencia anterior)</t>
  </si>
  <si>
    <t>Son los ingresos corrientes que por ley no están definidos como impuestos y comprenderán las tasas y las multas. Los ingresos no tributarios se clasifican en: 
1) Contribuciones 
2) Tasas y derechos administrativos 
3) Multas, sanciones e intereses de mora 
4) Derechos económicos por uso de recursos naturales 
5) Venta de bienes y servicios 
6) Transferencias corrientes
7) Participación y derechos de monopolio</t>
  </si>
  <si>
    <t>Decreto 111 de 1996, art. 27</t>
  </si>
  <si>
    <t xml:space="preserve">Las contribuciones son “las cargas fiscales al patrimonio particular, sustentadas en la potestad tributaria del Estado”. Las contribuciones corresponden a “la recuperación de los costos de los servicios que les presten o participación en los beneficios que les proporcionen”. El principio de legalidad del tributo se extiende a las contribuciones, razón por cual y como establece la Constitución Política, el método de definición de costos y beneficios y su forma de reparto deben ser definidos por Ley. Asimismo, la ley, ordenanza o acuerdo, debe definir los sujetos pasivos y activos, y la base gravable aplicable a la contribución. Sin embargo, la ley puede dar potestad administrativa a las autoridades para que fijen la tarifa que cobren a los contribuyentes. La unica excepción al principio de legalidad del tributo son las contribuciones especiales, las cuales no están definidas como contribuciones, pero de acuerdo con sentencia emitida por la Corte Constitucional, se ajusta a su definición.
</t>
  </si>
  <si>
    <t xml:space="preserve">Corte Constitucional, Sentencia C-545/1994.
Constitución política Art. 338 </t>
  </si>
  <si>
    <t>Las contribuciones diversas comprenden los ingresos por concepto de las demás contribuciones que no se clasifican dentro de las demás categorías de contribuciones descritas anteriormente, es decir, a las contribuciones sociales 1-01-02-01-001, contribuciones inherentes a la nómina 1-01-02-01-002, contribuciones especiales 1-01-02-01-003, contribuciones parafiscales, agropecuarias y pesqueras 1-01-02-01-004.</t>
  </si>
  <si>
    <t>Son los recursos por contribución del sector eléctrico a las que se refiere el artículo 45 de la Ley 99 de 1993. De acuerdo con este artículo, las empresas generadoras de energía hidroeléctrica cuya potencia nominal supera los 10.000 kilovatios, deben transferir el 6% de las ventas brutas de energia por generación propia de acuerdo con las distribuciones establecidas por la ley. En el caso de centrales térmicas el porcentaje de los recursos a transferir es del 4%. Los destinatarios de estos recursos son: las Corporaciones Autonómas Regionales o los Parques Nacionales Naturales que tengan jurisdicción en el área donde se encuentra localizada la cuenca hidrográfica y del área de influencia del proyecto o el área donde este ubicada la central térmica; y los municipios y distritos localizados de la cuenca que surte el embalse de las generadoras de energía hidroeléctrica o el municipio donde este ubicada la central térmica. COMPLEMENTAR PLAN DE DESARROLLO ART.289 DE 2019</t>
  </si>
  <si>
    <t xml:space="preserve"> Ley 99 de 1993, art. 45</t>
  </si>
  <si>
    <t>Contribución sector eléctrico - Hidroeléctrica</t>
  </si>
  <si>
    <t>Contribución sector eléctrico - Hidroeléctrica (vigencia actual)</t>
  </si>
  <si>
    <t>Contribución sector eléctrico - Hidroeléctrica (vigencia anterior)</t>
  </si>
  <si>
    <t>Contribución sector eléctrico - Termoeléctrica</t>
  </si>
  <si>
    <t>Contribución sector eléctrico - Termoeléctrica (vigencia actual)</t>
  </si>
  <si>
    <t>Contribución sector eléctrico - Termoeléctrica (vigencia anterior)</t>
  </si>
  <si>
    <t>Contribución sector eléctrico - Energia Alternativa</t>
  </si>
  <si>
    <t>Contribución sector eléctrico - Energia Alternativa (vigencia actual)</t>
  </si>
  <si>
    <t>Contribución sector eléctrico - Energia Alternativa (vigencia anterior)</t>
  </si>
  <si>
    <t>Participación de intereses de mora sobre contribución sector eléctrico</t>
  </si>
  <si>
    <t>Participación de intereses de mora sobre contribución sector eléctrico (vigencia actual)</t>
  </si>
  <si>
    <t>Participación de intereses de mora sobre contribución sector eléctrico (vigencia anterior)</t>
  </si>
  <si>
    <t>Tasas</t>
  </si>
  <si>
    <t>Tasas retributivas y compensatorias</t>
  </si>
  <si>
    <t xml:space="preserve">Corresponden a las tasas retributivas por la utilización directa o indirecta de la atmósfera, del agua y del suelo, para introducir o arrojar desechos o desperdicios agrícolas, mineros o industriales, aguas negras o servidas de cualquier origen, humos, vapores y sustancias nocivas que sean resultado de actividades antrópicas o propiciadas por el hombre, o actividades económicas o de servicio, sean o no lucrativas. También a las tasas para compensar los gastos de mantenimiento de la renovabilidad de los recursos naturales renovables.  </t>
  </si>
  <si>
    <t>Ley 99 de 1993, art. 42. Decreto 1390 de 2018. Decreto 1272 de 2016</t>
  </si>
  <si>
    <t>Tasa retributiva (vigencia actual)</t>
  </si>
  <si>
    <t>Tasa retributiva (vigencia anterior)</t>
  </si>
  <si>
    <t>Recursos recibidos por concepto del uso y aprovechamiento que hacen las personas naturales, jurídicas, públicas o privadas, de las aguas que componen los recursos naturales renovables asociados a cualquier área del Sistema de Parques Nacionales Naturales. Estos recursos, están destinados por Ley al pago de los gastos de protección y renovación de los recursos hídricos.</t>
  </si>
  <si>
    <t>Ley 99 de 1993, art. 43, reglamentada por el Decreto Ley 155 de 2004</t>
  </si>
  <si>
    <t>Tasa por el uso del agua (vigencia actual)</t>
  </si>
  <si>
    <t>Tasa por el uso del agua (vigencia anterior)</t>
  </si>
  <si>
    <t>Tasa de aprovechamiento Forestal</t>
  </si>
  <si>
    <t>Tasa de aprovechamiento Forestal (vigencia actual)</t>
  </si>
  <si>
    <t>Tasa de aprovechamiento Forestal (vigencia anterior)</t>
  </si>
  <si>
    <t>Tasa compensatoria por caza de Fauna Silvestre</t>
  </si>
  <si>
    <t>se dirige a las autoridades ambientales competentes a que se refiere el artículo 2.2.9.10.1 .3, y a
léls personas naturales o jurídicas que cacen la fauna silvestre nativa en el país, en adelante denominadas usuarios</t>
  </si>
  <si>
    <t>Decreto 1272 de 2016, adiciona un capítulo al Título 9 de la Parte 2 del Libro 2 del Decreto 1076 de 2015, destinarán a la protección y renovación del recurso fauna silvestre, lo cual comprende actividades tales como la formulación e implementación de planes y programas de conservación y de uso
sostenible de especies animales silvestres, la repoblación, el control poblacional, estrategias para el control al tráFico ilegal, la restauración de áreas de importancia faunística, entre otras, así como el monitoreo y la elaboración de estudios de investigación básica y aplicada, estas últimas prioritarias para efectos de la inversión de la tasa, teniendo en cuenta las directrices del Ministerio de Ambiente y Desarrollo Sostenible</t>
  </si>
  <si>
    <t>Tasa compensatoria por caza de Fauna Silvestre (vigencia actual)</t>
  </si>
  <si>
    <t>Tasa compensatoria por caza de Fauna Silvestre (vigencia anterior)</t>
  </si>
  <si>
    <t>Otras tasas</t>
  </si>
  <si>
    <t>Otras tasas (vigencia actual)</t>
  </si>
  <si>
    <t>Otras tasas (vigencia anterior)</t>
  </si>
  <si>
    <t>Derechos Administrativos</t>
  </si>
  <si>
    <t xml:space="preserve">Corresponde a los ingresos por concepto de la venta de bienes y la prestación de servicios que realizan las entidades en desarrollo de sus funciones y competencias legales, independientemente de que las mismas estén o no relacionadas con actividades de producción, o si se venden o no a precios económicamente significativos. Las ventas de bienes y servicios se registran sin deducir los costos de su recaudo (Decreto 111 de 1996, art. 35). </t>
  </si>
  <si>
    <t>Decreto 111 de 1996, art. 35</t>
  </si>
  <si>
    <t>Evaluación de licencias, permisos, concesiones, autorizaciones y demás trámites ambientales</t>
  </si>
  <si>
    <t>Ley 633 de 2002</t>
  </si>
  <si>
    <t>Evaluación de licencias, permisos, concesiones, autorizaciones y demás trámites ambientales (vigencia actual)</t>
  </si>
  <si>
    <t>Evaluación de licencias, permisos, concesiones, autorizaciones y demás trámites ambientales (vigencia anterior)</t>
  </si>
  <si>
    <t>Seguimiento a licencias, permisos, concesiones, autorizaciones y demás trámites ambientales</t>
  </si>
  <si>
    <t>Seguimiento a licencias, permisos, concesiones, autorizaciones y demás trámites ambientales (vigencia actual)</t>
  </si>
  <si>
    <t>Seguimiento a licencias, permisos, concesiones, autorizaciones y demás trámites ambientales (vigencia anterior)</t>
  </si>
  <si>
    <t>Salvoconductos</t>
  </si>
  <si>
    <t>Salvoconductos (vigencia actual)</t>
  </si>
  <si>
    <t>Salvoconductos (vigencia anterior)</t>
  </si>
  <si>
    <t>Venta de productos forestales</t>
  </si>
  <si>
    <t>Venta de productos forestales (vigencia actual)</t>
  </si>
  <si>
    <t>Venta de productos forestales (vigencia anterior)</t>
  </si>
  <si>
    <t>Venta de Servicios de Laboratorio e Información</t>
  </si>
  <si>
    <t>Venta de Servicios de Laboratorio e Información (vigencia actual)</t>
  </si>
  <si>
    <t>Venta de Servicios de Laboratorio e Información (vigencia anterior)</t>
  </si>
  <si>
    <t>Pruebas de Bombeo y Videos de Pozos</t>
  </si>
  <si>
    <t>Pruebas de Bombeo y Videos de Pozos (vigencia actual)</t>
  </si>
  <si>
    <t>Pruebas de Bombeo y Videos de Pozos (vigencia anterior)</t>
  </si>
  <si>
    <t>Aprovechamientos por parques</t>
  </si>
  <si>
    <t>Aprovechamientos por parques (vigencia actual)</t>
  </si>
  <si>
    <t>Aprovechamientos por parques (vigencia anterior)</t>
  </si>
  <si>
    <t>Otros servicios</t>
  </si>
  <si>
    <t>Otros servicios (vigencia actual)</t>
  </si>
  <si>
    <t>Otros servicios (vigencia anterior)</t>
  </si>
  <si>
    <t>El recaudo por multas y sanciones es generado por penalidades pecuniarias que derivan del poder punitivo del Estado, y que se establecen por el incumplimiento de leyes o normas administrativas, con el fin de prevenir un comportamiento considerado indeseable.
Por su parte, los intereses de mora hacen referencia a aquellos que se recaudan por el resarcimiento tarifado o indemnización de los perjuicios que padece el acreedor por no tener consigo el dinero en la oportunidad debida. La mora genera que se hagan correr en contra del deudor los daños y perjuicios llamados moratorios que representan el perjuicio causado al acreedor por el retraso en la ejecución de la obligación.
Los intereses de mora se incluyen en esta cuenta debido al componente indemnizatorio reconocido en la Sentencia C-604/2012. En este sentido, al igual que las multas y sanciones, el cobro de intereses de mora se hace en parte con el fin de prevenir la reiteración de una conducta indeseable.
Las multas, sanciones e intereses moratorios se clasifican en:
1) Multas y sanciones 
2) Intereses de mora</t>
  </si>
  <si>
    <t>Ley 6 de 1992, art. 124; Decreto 410 de 1971, art. 10, 20 y 78; Decreto 393 de 2002, art. 25</t>
  </si>
  <si>
    <t>Recursos por concepto de penalidades pecuniarias que derivan del poder punitivo del Estado, y que se establecen con el fin de prevenir un comportamiento considerado indeseable. Vale la pena precisar que las multas y sanciones se distinguen nítidamente de las contribuciones fiscales y parafiscales, pues estas últimas son consecuencia del poder impositivo, y no punitivo, del Estado. Esta diferencia de naturaleza jurídica se articula a la diversidad de finalidades de las mismas.
Así, una multa se establece con el fin de prevenir un comportamiento considerado indeseable, mientras que una contribución es un medio para financiar los gastos del Estado.
Las multas y sanciones se desagregan de igual manera para la Nación, los establecimientos públicos, los fondos especiales y las contribuciones parafiscales.</t>
  </si>
  <si>
    <t>Sentencia C-134/2009
Decreto 1609 de 2015</t>
  </si>
  <si>
    <t>Corresponde al pago de una suma de dinero que las autoridades ambientales imponen a quien con su acción u omisión infrinja las normas ambientales.
Las autoridades ambientales son: El Ministerio de Ambiente y Desarrollo Sostenible, la Unidad Administrativa Especial del Sistema de Parques Nacionales Naturales, las Corporaciones Autónomas Regionales y las de Desarrollo Sostenible, las Unidades Ambientales Urbanas, la Armada Nacional, así como los departamentos, municipios y distritos.  Estas autoridades están habilitadas para imponer y ejecutar las medidas preventivas y sancionatorias consagradas en la ley, sin perjuicio de las competencias legales de otras autoridades.</t>
  </si>
  <si>
    <t>Ley 1333 de 2009. Ley 99 de 1993</t>
  </si>
  <si>
    <t>Multas ambientales (vigencia actual)</t>
  </si>
  <si>
    <t>Multas ambientales (vigencia anterior)</t>
  </si>
  <si>
    <t>Recaudo por concepto del retraso en que ha incurrido un tercero dentro de los plazos establecidos para el pago de una obligación. Los intereses de mora representan el resarcimiento tarifado o indemnización de los perjuicios que padece el acreedor por no tener consigo el dinero en la oportunidad debida.</t>
  </si>
  <si>
    <t>Sentencia C-604/2012</t>
  </si>
  <si>
    <t>Intereses de mora (vigencia actual)</t>
  </si>
  <si>
    <t>Intereses de mora (vigencia anterior)</t>
  </si>
  <si>
    <t xml:space="preserve">Son los ingresos por ventas de bienes y servicios resultantes del desarrollo de funciones misionales de producción o comercialización. Es decir, aquellas funciones de producción o comercialización dispuestas legalmente como competencias principales de la entidad. Esta categoría se desagrega siguiendo la Clasificación Central de Productos (CPC) del DANE.
</t>
  </si>
  <si>
    <t>Productos de la silvicultura y de la explotación forestal</t>
  </si>
  <si>
    <t>Madera en bruto</t>
  </si>
  <si>
    <t>Madera en bruto (vigencia actual)</t>
  </si>
  <si>
    <t>Madera en bruto  (vigencia anterior)</t>
  </si>
  <si>
    <t>Productos forestales diferentes a la madera</t>
  </si>
  <si>
    <t>Productos forestales diferentes a la madera (vigencia actual)</t>
  </si>
  <si>
    <t>Productos forestales diferentes a la madera  (vigencia anterior)</t>
  </si>
  <si>
    <t>Otras ventas incidentales de establecimiento de mercado</t>
  </si>
  <si>
    <t>Otras ventas incidentales de establecimiento de mercado (vigencia actual)</t>
  </si>
  <si>
    <t>Otras ventas incidentales de establecimiento de mercado (vigencia anterior)</t>
  </si>
  <si>
    <t>Ventas incidentales de establecimiento de no mercado</t>
  </si>
  <si>
    <t>Son los ingresos por ventas de bienes y servicios que no resultan del desarrollo de funciones misionales de producción o comercialización. Es decir, que la venta de dichos bienes y servicios no se relaciona con las competencias legales de la entidad. Generalmente, estas ventas de bienes y servicios tienen un carácter incidental en las entidades. Esta categoría se desagrega siguiendo la Clasificación Central de Productos (CPC) del DANE.</t>
  </si>
  <si>
    <t xml:space="preserve">Son los ingresos asociados a la venta de metales básicos o productos metálicos elaborados; maquinaria  de  uso  general  o  especial;  máquinas  para  oficina  y  contabilidad;  aparatos  eléctricos; aparatos de radio, televisión y comunicaciones; aparatos médicos y equipo de transporte. </t>
  </si>
  <si>
    <t xml:space="preserve"> Clasificación Central de Productos (CPC Ver. 2.0)</t>
  </si>
  <si>
    <t>Productos metálicos, maquinaria y equipo (vigencia actual)</t>
  </si>
  <si>
    <t>Productos metálicos, maquinaria y equipo (vigencia anterior)</t>
  </si>
  <si>
    <t>Alquiler de Maquinaria y Equipos</t>
  </si>
  <si>
    <t>Alquiler de Maquinaria y Equipos (vigencia actual)</t>
  </si>
  <si>
    <t>Alquiler de Maquinaria y Equipos (vigencia anterior)</t>
  </si>
  <si>
    <t>Aprovechamiento por arriendos</t>
  </si>
  <si>
    <t>Aprovechamiento por arriendos (vigencia actual)</t>
  </si>
  <si>
    <t>Aprovechamiento por arriendos (vigencia anterior)</t>
  </si>
  <si>
    <t>Otras ventas incidentales de establecimiento no de mercado</t>
  </si>
  <si>
    <t>Otras ventas incidentales de establecimiento no de mercado (vigencia actual)</t>
  </si>
  <si>
    <t>Otras ventas incidentales de establecimiento no de mercado (vigencia anterior)</t>
  </si>
  <si>
    <t>Transferencias del sector central Nacional - PGN</t>
  </si>
  <si>
    <t>Agrupación que comprende las transferencias de recursos que reciben las unidades del PGSP y cuyo origen es el sector central Nacional, entendido como el Presupuesto General de Nación.</t>
  </si>
  <si>
    <t xml:space="preserve">Participaciones </t>
  </si>
  <si>
    <t>Son las transferencias que reciben las entidades territoriales por sus derechos de participación en los ingresos tributarios y no tributarios distintos del SGP. incluye transferencias de participaciones en ingresos tributarios y no tributarios (derivados de impuestos, contribuciones, multas y sanciones y derechos económicos por uso de recursos naturales), cuya administración mantiene la Nación u otra entidad territorial, pero tiene la obligación legal de realizar el giro de estos recursos (en su totalidad o un porcentaje) a las entidades territoriales.</t>
  </si>
  <si>
    <t>Participación de la sobretasa ambiental - Corporaciones Autónomas Regionales</t>
  </si>
  <si>
    <t xml:space="preserve">Son las transferencias de recursos de la sobretasa ambiental para las Corporaciones Autónomas Regionales (Art. 1. Decreto 1339 de 1994).  De acuerdo con el Artículo 44 de la Ley 99 de 1993, el giro de estos recursos debe realizarse de forma trimestral y excepcionalmente, por anualidades antes del 30 de marzo de cada año siguiente al periodo de recaudo. </t>
  </si>
  <si>
    <t>Ley  99 de 1993, art. 44; Decreto 1339 de 1994, art.1</t>
  </si>
  <si>
    <t>Participación de la sobretasa ambiental - Corporaciones Autónomas Regionales (vigencia actual)</t>
  </si>
  <si>
    <t>Participación de la sobretasa ambiental - Corporaciones Autónomas Regionales (vigencia anterior)</t>
  </si>
  <si>
    <t>Participación del porcentaje ambiental - Corporaciones Autónomas Regionales</t>
  </si>
  <si>
    <t>Participación del porcentaje ambiental - Corporaciones Autónomas Regionales (vigencia actual)</t>
  </si>
  <si>
    <t>Participación del porcentaje ambiental - Corporaciones Autónomas Regionales (vigencia anterior)</t>
  </si>
  <si>
    <t>Participación de intereses de mora sobre la sobretasa ambiental</t>
  </si>
  <si>
    <t>Participación de intereses de mora sobre la sobretasa ambiental (vigencia actual)</t>
  </si>
  <si>
    <t>Participación de intereses de mora sobre la sobretasa ambiental (vigencia anterior)</t>
  </si>
  <si>
    <t>Participación de intereses de mora sobre el porcentaje ambiental</t>
  </si>
  <si>
    <t>Participación de intereses de mora sobre el porcentaje ambiental (vigencia actual)</t>
  </si>
  <si>
    <t>Participación de intereses de mora sobre el porcentaje ambiental (vigencia anterior)</t>
  </si>
  <si>
    <t>Aportes Nación</t>
  </si>
  <si>
    <t>Corresponde a los recursos del Presupuesto de la Nación que el gobierno transfiere a las entidades descentralizadas del orden nacional con el objeto de contribuir a la atención de sus compromisos y al cumplimiento de sus funciones.</t>
  </si>
  <si>
    <t>Aportes Nación para Funcionamiento</t>
  </si>
  <si>
    <t>Aportes de la Nación para Inversión</t>
  </si>
  <si>
    <t xml:space="preserve">Otras Unidades de gobierno general </t>
  </si>
  <si>
    <t>Los recursos de capital se diferencian de los ingresos corrientes por su regularidad. Si bien el EOP no da una definición conceptual de estos recursos, la Corte Constitucional, mediante la Sentencia C-1072 de 2002, establece que los recursos de capital son aquellos “que entran a las arcas públicas de manera esporádica, no porque hagan parte de un rubro extraño, sino porque su cuantía es indeterminada, lo cual difícilmente asegura su continuidad durante amplios periodos presupuestales” (Corte Constitucional, Sentencia C-1072 de 2002).</t>
  </si>
  <si>
    <t>Recursos que obtiene una entidad del presupuesto general del sector público provenientes del traslado de derecho y dominio parcial o total de activos con destino a la financiación del presupuesto (Ministerio de Hacienda y Crédito Público, 2011, p. 245). En el CONPES 3281 de 2004 el gobierno nacional estableció la estrategia de aprovechamiento y disposición de activos con el objetivo de “reducir la magnitud del pasivo mediante la liquidación o venta de activos del balance con los cuales se corrija de manera efectiva el déficit fiscal, con un efecto permanente en el mediano plazo” (CONPES 3281 de 2004).</t>
  </si>
  <si>
    <t>Corresponde a los ingresos por concepto de transacciones de capital referentes a la venta de activos no financieros . Sobre estos activos se ejerce un derecho de propiedad, y generan beneficios económicos por mantenerlos o utilizarlos durante un período de tiempo. Los activos no financieros incluyen tanto activos producidos como no producidos y los productos de la propiedad intelectual.</t>
  </si>
  <si>
    <t xml:space="preserve">Ingresos por concepto de la venta de activos no financieros producidos que se utilizan de forma repetida o continua en procesos de producción por más de un año y cuyo precio es significativo para la entidad del PGSP.
En este rubro se deben registrar las mejoras mayores de los activos fijos existentes, como los edificios o los programas de informática; siempre que, estas mejoras incrementen su capacidad productiva, amplíen su vida útil o ambas cosas. Se consideran mejoras mayores aquellas que recuperan o aumentan el valor del activo fijo, como las renovaciones significativas, reconstrucciones o agrandamientos. 
</t>
  </si>
  <si>
    <t>Ingresos por concepto de la venta de todo de edificaciones y estructuras, incluidos los accesorios y adecuaciones que forman parte integral de la estructura. Se compone de viviendas, edificios que no sean viviendas, otras estructuras y mejoras de la tierra.
Esta cuenta también incluye  los monumentos públicos, identificables por su significado histórico, nacional, regional, local, religioso o simbólico (FMI, 2014, pág. 179), los cuales se clasifican en otras estructuras.</t>
  </si>
  <si>
    <t>Ingresos por la concepto de la venta de activos como equipo de transporte, maquinaria relacionada con tecnologías de la información y las comunicaciones y otras maquinarias y equipos no clasificados en otra partida.</t>
  </si>
  <si>
    <t xml:space="preserve">Ingresos por la disposición de activos no mencionados en los rubros anteriores, a saber, recursos biológicos cultivados y productos de propiedad intelectual. </t>
  </si>
  <si>
    <t xml:space="preserve">Ingresos por la disposición de  productos de la propiedad intelectual, los cuales son el resultado de la investigación, el desarrollo o la innovación conducente a conocimientos que pueden venderse en el mercado.  </t>
  </si>
  <si>
    <t>Ingresos por la disposición de activos no producidos, los cuales incluyen los activos de origen natural e intangible. Los activos de origen natural son recursos naturales sobre los que se ejercen derechos de propiedad (Fondo Monetario Internacional, 2014, pág. 207).</t>
  </si>
  <si>
    <t>Ingresos por la disposición de tierras y terrenos propiamente dichas, incluyendo la cubierta de suelo y las aguas superficiales asociadas, sobre los que se han establecido derechos de propiedad y de las cuales pueden derivarse beneficios económicos para los propietarios por su posesión o uso.</t>
  </si>
  <si>
    <t>Son los ingresos que se reciben las unidades del PGSP en retorno por poner ciertos activos financieros a disposición de terceros, sin trasladar el derecho o dominio, total o parcial del activo. De acuerdo con el MEFP 2014, los activos financieros son aquellos que tienen un pasivo como contrapartida, es decir, el propietario de dicho activo (acreedor) tiene derecho a recibir recursos o fondos de otra unidad institucional (deudor), de acuerdo con las condiciones del pasivo.</t>
  </si>
  <si>
    <t>Rendimientos financieros de títulos participativos</t>
  </si>
  <si>
    <t>Corresponde a los ingresos por concepto de rendimientos financieros sobre títulos participativos. Los títulos participativos otorgan al titular la calidad de copropietario e  incorporan derechos sobre los resultados obtenidos por la entidad emisora.</t>
  </si>
  <si>
    <t>Rendimientos financieros de depósitos</t>
  </si>
  <si>
    <t>Son los ingresos por rendimientos financieros de los depósitos que tengan las entidades de gobierno en las entidades vigiladas por la Superintendencia Financiera.</t>
  </si>
  <si>
    <t>Rendimientos financieros de otros depósitos</t>
  </si>
  <si>
    <t>Corresponden a los ingresos por rendimientos financieros de otros depósitos distintos a los de la Cuenta Única Nacional.</t>
  </si>
  <si>
    <t>Rendimientos financieros Ingresos tributarios</t>
  </si>
  <si>
    <t>Rendimientos financieros Impuestos directos</t>
  </si>
  <si>
    <t>Rendimientos financieros Contribuciones</t>
  </si>
  <si>
    <t>Rendimientos financieros Tasas retributivas y compensatorias</t>
  </si>
  <si>
    <t>Rendimientos financieros Tasa retributiva</t>
  </si>
  <si>
    <t>Rendimientos financierosTasa por el uso del agua</t>
  </si>
  <si>
    <t>Rendimientos financieros Tasa de aprovechamiento Forestal</t>
  </si>
  <si>
    <t>Rendimientos financieros Tasa compensatoria por caza de Fauna Silvestre</t>
  </si>
  <si>
    <t>Rendimientos financieros Otras tasas</t>
  </si>
  <si>
    <t>Rendimientos financiero Multas, sanciones e intereses de mora</t>
  </si>
  <si>
    <t>Rendimientos financiero Venta de bienes y servicios</t>
  </si>
  <si>
    <t>Rendimientos financiero Recursos de crédito externo</t>
  </si>
  <si>
    <t>Rendimientos financiero Recursos de crédito interno</t>
  </si>
  <si>
    <t>Rendimientos financieros Compensaciones</t>
  </si>
  <si>
    <t>Rendimientos financieros Compensación resguardos indígenas</t>
  </si>
  <si>
    <t>Rendimientos financieros Transferencias de capital</t>
  </si>
  <si>
    <t>Rendimientos financieros Convenios</t>
  </si>
  <si>
    <t>Rendimientos financieros  Convenios con Departamentos</t>
  </si>
  <si>
    <t xml:space="preserve">Rendimientos financieros  Convenios con Municipios </t>
  </si>
  <si>
    <t>Rendimientos financieros  Otros Convenios</t>
  </si>
  <si>
    <t>Rendimientos financieros Transferencias del sector central Nacional - PGN</t>
  </si>
  <si>
    <t>Rendimientos financieros Transferencias del sector descentralizado - Estapublicos Nacionales</t>
  </si>
  <si>
    <t>Rendimientos financieros Transferencias del sector descentralizado - Empresas Nacionales</t>
  </si>
  <si>
    <t>Rendimientos financieros Transferencias del sector central Territorial</t>
  </si>
  <si>
    <t>Rendimientos financieros Transferencias del sector descentralizado - Estapublicos Territoriales</t>
  </si>
  <si>
    <t>Rendimientos financieros Transferencias del sector descentralizado - Empresas Territoriales</t>
  </si>
  <si>
    <t>Rendimientos financieros Transferencias de esquemas asociativos</t>
  </si>
  <si>
    <t>Rendimientos financieros Transferencias de órganos autónomos e independientes</t>
  </si>
  <si>
    <t>Rendimientos financieros Transferencias de  privados que administran recursos públicos</t>
  </si>
  <si>
    <t>Rendimientos financieros Indemnizaciones relacionadas con seguros no de vida</t>
  </si>
  <si>
    <t>Rendimientos financieros Donaciones</t>
  </si>
  <si>
    <t>Rendimientos financieros de valores distintos de acciones</t>
  </si>
  <si>
    <t>Corresponde a los ingresos por concepto de rendimientos de los valores distintos a las acciones. Los valores distintos a las acciones se definen como instrumentos financieros negociables, que sirven de evidencia de la obligación de liquidarlos mediante el suministro de efectivo.</t>
  </si>
  <si>
    <t>Rendimientos financieros Intereses por préstamos</t>
  </si>
  <si>
    <t>Corresponde a los ingresos por el concepto de intereses de fondos en préstamos que tienen las entidades de gobierno. Los intereses son una forma de renta de inversión cobradas por el acreedor del préstamo.</t>
  </si>
  <si>
    <t xml:space="preserve">Comprende los recursos provenientes de operaciones de crédito público realizadas con agentes residentes fuera del país. Entiéndase por operaciones de crédito público todo acto o contrato que tienen por objeto dotar a la entidad del PGSP de recursos, bienes o servicios con plazo para su pago. </t>
  </si>
  <si>
    <t>Corresponde a los recursos provenientes de contratos de empréstitos externos realizados por las entidades del PGSP. Los contratos de empréstito tienen por objeto proveer a la entidad contratante (órgano del PGN, entidad territorial, órgano autónomo o particular) de recursos con plazo para su pago. Para el caso de las entidades estatales, el Decreto 1068 de 2015 reglamente los contratos de empréstitos externos.</t>
  </si>
  <si>
    <t>Decreto 1068 de 2015</t>
  </si>
  <si>
    <t>Comprende los recursos provenientes de los créditos adquiridos con bancos comerciales residentes fuera del país. Un banco comercial es un intermediario financiero que capta recursos de quienes tienen dinero disponible para colocarlos en manos de quienes lo necesitan</t>
  </si>
  <si>
    <t>Decreto 1068 de 2015, art. 2.2.1.2.1.2</t>
  </si>
  <si>
    <t>Comprende los recursos provenientes de los créditos adquiridos con entidades de fomento residentes fuera del país. Una entidad de fomento es una institución que capta recursos de los mercados externos e internos para promover sectores específicos de la economía, a través de la elaboración y ejecución de proyectos de inversión en bienes de capital,  y la prestación de servicios de asistencia técnica necesarios para el desarrollo de los mismos</t>
  </si>
  <si>
    <t>Recursos de crédito de títulos de deuda pública externa</t>
  </si>
  <si>
    <t>Corresponde a los ingresos por emisión y colocación de bonos y demás valores de contenido crediticio y con plazo para su redención, emitidos por las entidades de gobierno en el exterior o empresas financieros y no financieras.</t>
  </si>
  <si>
    <t>Recursos de crédito de proveedores</t>
  </si>
  <si>
    <t xml:space="preserve">Comprende los créditos obtenidos con agentes residentes fuera del país,  mediante los cuales se contrata la adquisición de bienes o servicios con plazo para su pago. Esta cuenta es de uso exclusivo de la nación. No aplica para la entrega de bienes y/o servicios de manera directa por el proveedor. </t>
  </si>
  <si>
    <t>Decreto 1068 de 2015, art. 2.2.1.2.3.1</t>
  </si>
  <si>
    <t xml:space="preserve">Comprende los recursos provenientes de operaciones de crédito público que realizan las entidades del PGSP con agentes residentes en el país. Entiéndase por operaciones de crédito público todo acto o contrato que tienen por objeto dotar a la entidad (órgano del PGN, entidad territorial, órgano autónomo, empresa o particular) de recursos, bienes o servicios con plazo para su pago. </t>
  </si>
  <si>
    <t>Corresponde a los recursos provenientes de contratos de empréstitos internos de las entidades del PGSP. Para las entidades de gobierno, estas operaciones están reguladas por el Decreto 1068 de 2015 y el Decreto 2681 de 1993, art. 22.</t>
  </si>
  <si>
    <t>Decreto 1068 de 2015; Decreto 2681 de 1993, art. 22</t>
  </si>
  <si>
    <t>Recursos de contratos de empréstitos internos con bancos comerciales</t>
  </si>
  <si>
    <t>Corresponde a los ingresos por adquisición de deuda con aquellos bancos comerciales que ofrecen sus recursos a tasas y condiciones vigentes del mercado. Estos recursos pueden dirigirse a cualquier sector.</t>
  </si>
  <si>
    <t>Recursos de contratos de empréstitos internos con bancos comerciales públicos</t>
  </si>
  <si>
    <t>Corresponde a los ingresos por concepto de los desembolsos realizados por bancos comerciales públicos en razón de los créditos otorgados a la entidad del PGSP.</t>
  </si>
  <si>
    <t>Recursos de contratos de empréstitos internos con bancos comerciales privados</t>
  </si>
  <si>
    <t>Corresponde a los ingresos por concepto de los desembolsos realizados por bancos comerciales privados en razón de los créditos otorgados a la entidad del PGSP.</t>
  </si>
  <si>
    <t>Recursos de contratos de empréstitos internos con entidades del sector público</t>
  </si>
  <si>
    <t>Ingresos por contratación de créditos públicos con entidades del sector público, excluyendo a los bancos comerciales públicos que están en otra categoría.</t>
  </si>
  <si>
    <t>Recursos de contratos de empréstitos internos con la Nación</t>
  </si>
  <si>
    <t>Corresponde a los ingresos por desembolsos de créditos otorgados por la Nación a las entidades del gobierno (nivel nacional y subnacional). Estos créditos están sujetos a condonación según los términos pactados en los convenios de desempeño y/o en los documentos que hagan sus veces.</t>
  </si>
  <si>
    <t>Recursos de contratos de empréstitos internos con Findeter</t>
  </si>
  <si>
    <t>Corresponde a los ingresos por desembolsos de créditos realizados durante la vigencia por la Financiera de Desarrollo Territorial S.A. (FINDETER).</t>
  </si>
  <si>
    <t>Recursos de contratos de empréstitos internos con Fonade</t>
  </si>
  <si>
    <t>Corresponde a los ingresos por desembolsos de créditos realizados durante la vigencia por el Fondo Financiero de Proyectos de Desarrollo (FONADE).</t>
  </si>
  <si>
    <t>Recursos de contratos de empréstitos internos con Institutos de Desarrollo Departamental y/o Municipal</t>
  </si>
  <si>
    <t>Corresponde a los ingresos por desembolsos realizados durante la vigencia por concepto de los créditos concedidos a la entidad de gobierno por parte de los fondos o institutos de desarrollo.</t>
  </si>
  <si>
    <t>Banco de la República</t>
  </si>
  <si>
    <t>Comprende los recursos provenientes de los préstamos adquiridos con el Banco de la República, el cual tiene, entre sus funciones, ser prestamista de última instancia del Gobierno Nacional. Los créditos otorgados por el Banco de la República a la Nación sólo se permiten en casos de extrema necesidad, y deben ser aprobados por todos los miembros de la Junta directiva del Banco.</t>
  </si>
  <si>
    <t>Constitución de 1991,  art. 371</t>
  </si>
  <si>
    <t>Recursos de contratos de empréstitos internos con otras instituciones financieras y otros</t>
  </si>
  <si>
    <t xml:space="preserve">Corresponde a los ingresos por contratación de créditos con entidades financieras distintas a las mencionadas. También incluyre los montos de dinero transferidos al Tesoro Nacional por concepto de cuentas inactivas, por parte de las entidades financieras. </t>
  </si>
  <si>
    <t>Recursos de crédito de títulos de deuda pública interna</t>
  </si>
  <si>
    <t>Comprende los recursos provenientes de los títulos de deuda pública (bonos y demás valores de contenido crediticio) emitidos por las entidades de gobierno en el mercado local de capitales con plazo para su rendición</t>
  </si>
  <si>
    <t>Decreto 1068 de 2015, art. 2.2.1.3.1.</t>
  </si>
  <si>
    <t>Colocación y títulos TES clase B del Gobierno Nacional</t>
  </si>
  <si>
    <t xml:space="preserve">Comprende los recursos provenientes de la colocación de Títulos de Tesorería - TES Clase B que realiza el Gobierno Nacional mediante los mecanismos de subasta, operación convenida u operación forzosa, para financiar apropiaciones presupuestales. Los TES Clase B pueden ser administrados directamente por la Nación o ésta puede celebrar con el Banco de la República o con otras entidades nacionales o extranjeras, contratos de administración fiduciaria para la edición, emisión, colocación y garantía de los mismos.  </t>
  </si>
  <si>
    <t xml:space="preserve">Comprende los recursos provenientes de la colocación de TES Clase B que hace el Gobierno Nacional con  el  fin de efectuar operaciones  de  tesorería,  cuando  el  vencimiento de  los mismos  excede  la respectiva vigencia fiscal. Los TES Clase B a corto plazo tienen un término no mayor a un (1) año y no menor a treinta (30) días. </t>
  </si>
  <si>
    <t xml:space="preserve">Comprende los recursos provenientes de la colocación de TES Clase B que hace el Gobierno Nacional mediante subasta, operación forzosa u operación convenida, con el fin de financiar apropiaciones presupuestales. Los TES Clase B a largo plazo tienen un término de uno o más años calendario. </t>
  </si>
  <si>
    <t>Bonos y otros títulos emitidos por el Gobierno Nacional</t>
  </si>
  <si>
    <t xml:space="preserve">Comprende  los  recursos provenientes  de  la  colocación  de  bonos  definidos  por  ley,  y  de  títulos diferentes a los TES, que tienen un contenido crediticio con plazo para su redención. </t>
  </si>
  <si>
    <t>Bonos y otros títulos de deuda emitidos por las entidades territoriales</t>
  </si>
  <si>
    <t>Corresponde a los ingresos por emisión y colocación de bonos y demás valores de contenido crediticio y con plazo para su redención, emitidos por las entidades territoriales.</t>
  </si>
  <si>
    <t xml:space="preserve">Comprende los créditos obtenidos con agentes residentes en territorio colombiano,  mediante los cuales se contrata la adquisición de bienes o servicios con plazo para su pago. Esta cuenta es de uso exclusivo de la nación. No aplica para la entrega de bienes y/o servicios de manera directa por el proveedor. </t>
  </si>
  <si>
    <t xml:space="preserve">Transferencias de capital </t>
  </si>
  <si>
    <t>Son las transferencias de recursos que reciben las entidades del PGSP, sin ser regulares o predecibles, y sin dar ningún bien, servicio o activo como contraprestación directa. 
En oposición a las transferencias corrientes, las transferencias de capital se caracterizan por:
•	No permitir un cálculo predecible o una estimación de estos gastos
•	No son disponibilidades regulares 
•	Dependen de la discrecionalidad de la entidad que realiza la transferencia.
•	Tener un plazo limitado de vigencia</t>
  </si>
  <si>
    <t>Convenios</t>
  </si>
  <si>
    <t>Convenios con Departamentos</t>
  </si>
  <si>
    <t xml:space="preserve">Convenios con  Municipios </t>
  </si>
  <si>
    <t>Otros Convenios</t>
  </si>
  <si>
    <t>Transferencias a  órganos autónomos e independientes</t>
  </si>
  <si>
    <t>Transferencias del sector descentralizado - Estapublicos Nacionales</t>
  </si>
  <si>
    <t>Transferencias del sector descentralizado - Empresas Nacionales</t>
  </si>
  <si>
    <t>Transferencias del sector central Territorial</t>
  </si>
  <si>
    <t>Transferencias de Departamentos</t>
  </si>
  <si>
    <t xml:space="preserve">Transferencias de Municipios </t>
  </si>
  <si>
    <t>Transferencias del sector descentralizado - Estapublicos Territoriales</t>
  </si>
  <si>
    <t>Transferencias del sector descentralizado - Empresas Territoriales</t>
  </si>
  <si>
    <t>Transferencias de esquemas asociativos</t>
  </si>
  <si>
    <t>Transferencias de órganos autónomos e independientes</t>
  </si>
  <si>
    <t>Transferencias de  privados que administran recursos públicos</t>
  </si>
  <si>
    <t>Son las transferencias de recursos que reciben las entidades del orden nacional y territorial por concepto de las indemnizaciones que se generan en el desarrollo de contratos de seguros no de vida, tras la ocurrencia de un siniestro.</t>
  </si>
  <si>
    <t>Son las transferencias que reciben las entidades o unidades por concepto de donaciones. De acuerdo con el MHCP, son donaciones los “ingresos sin contraprestación, pero con la destinación que establezca el donante, recibidos de otros gobiernos o instituciones públicas o privadas de carácter nacional o internacional” (Ministerio de Hacienda y Crédito Público, 2011, pág. 246).</t>
  </si>
  <si>
    <t>Donaciones de gobiernos extranjeros</t>
  </si>
  <si>
    <t>Son las transferencias por concepto de donaciones que realizan los gobiernos extranjeros a las entidades o unidades.  Se consideran gobiernos extranjeros aquellos que se encuentran fuera del territorio económico colombiano y ejercen soberanía sobre un área determinada del resto del mundo.</t>
  </si>
  <si>
    <t>Donaciones de organizaciones internacionales</t>
  </si>
  <si>
    <t>Son las transferencias por concepto de donaciones que realizan las organizaciones internacionales a las entidades o unidades.  Se entiende por organizaciones internacionales aquellas que cumplen con las siguientes características (FMI, 2009, p. 71):
*Sus miembros son Estados nacionales u otros organismos internacionales cuyos miembros son Estados nacionales.
*Se establecen mediante acuerdos políticos formales entre sus miembros, que tiene el rango de tratados internacionales; su existencia es reconocida por ley en sus países miembros.
*Se crean con una finalidad específica</t>
  </si>
  <si>
    <t>Donaciones del sector privado nacional y extranjero</t>
  </si>
  <si>
    <t>Son las transferencias de recursos por concepto de donaciones que realizan las personas naturales o personas jurídicas del sector privado nacional o extranjero a las entidades.</t>
  </si>
  <si>
    <t>Compensaciones</t>
  </si>
  <si>
    <t>Son las transferencias de recursos por pagos de gran cuantía, no recurrentes, para compensar daños extensos o lesiones graves, como las que resultan de desastres naturales no cubiertos por pólizas de seguros.</t>
  </si>
  <si>
    <t xml:space="preserve">Compensación resguardos indígenas </t>
  </si>
  <si>
    <t>Corresponde al impuesto predial unificado de los resguardos indígenas de la jurisdicción del municipio con cargo al presupuesto general de la Nación</t>
  </si>
  <si>
    <t>Compensación resguardos indígenas (vigencia actual)</t>
  </si>
  <si>
    <t>Compensación resguardos indígenas (vigencia anterior)</t>
  </si>
  <si>
    <t>Intereses de mora Compensación resguardos indígenas</t>
  </si>
  <si>
    <t xml:space="preserve">Cooperación </t>
  </si>
  <si>
    <t xml:space="preserve">Acuerdos </t>
  </si>
  <si>
    <t>Subacuerdos</t>
  </si>
  <si>
    <t>Recuperación de cartera</t>
  </si>
  <si>
    <t>Ingresos por concepto de la amortización de préstamos realizados por las unidades del PGSP Gobierno nacional, las entidades territoriales, las empresas financieras y no financieras, los órganos autónomos y particulares que administran recursos públicos</t>
  </si>
  <si>
    <t>Ley 1066 de 2006</t>
  </si>
  <si>
    <t>Recuperación de cartera Ingresos tributarios</t>
  </si>
  <si>
    <t>Recuperación de cartera Impuestos directos</t>
  </si>
  <si>
    <t>Recuperación de cartera Contribuciones</t>
  </si>
  <si>
    <t>Recuperación de cartera Tasas retributivas y compensatorias</t>
  </si>
  <si>
    <t>Recuperación de carteraTasa retributiva</t>
  </si>
  <si>
    <t>Recuperación de cartera Tasa por el uso del agua</t>
  </si>
  <si>
    <t>Recuperación de cartera Tasa de aprovechamiento Forestal</t>
  </si>
  <si>
    <t>Recuperación de cartera Tasa compensatoria por caza de Fauna Silvestre</t>
  </si>
  <si>
    <t>Recuperación de cartera Otras tasas</t>
  </si>
  <si>
    <t>Recuperación de cartera Multas, sanciones e intereses de mora</t>
  </si>
  <si>
    <t>Recuperación de cartera Venta de bienes y servicios</t>
  </si>
  <si>
    <t>Recursos provenientes del saldo del ejercicio fiscal de la vigencia inmediatamente anterior, que quedan disponibles para la vigencia siguiente.</t>
  </si>
  <si>
    <t>Mayores Ingresos No Aforados</t>
  </si>
  <si>
    <t>Mayores Ingresos No Aforados Ingresos tributarios</t>
  </si>
  <si>
    <t>Mayores Ingresos No Aforados Impuestos directos</t>
  </si>
  <si>
    <t>Mayores Ingresos No Aforados Contribuciones</t>
  </si>
  <si>
    <t>Mayores Ingresos No Aforados Tasas retributivas y compensatorias</t>
  </si>
  <si>
    <t>Mayores Ingresos No Aforados Tasa retributiva</t>
  </si>
  <si>
    <t>Mayores Ingresos No Aforados Tasa por el uso del agua</t>
  </si>
  <si>
    <t>Mayores Ingresos No Aforados Tasa de aprovechamiento Forestal</t>
  </si>
  <si>
    <t>Mayores Ingresos No Aforados Tasa compensatoria por caza de Fauna Silvestre</t>
  </si>
  <si>
    <t>Mayores Ingresos No Aforados Otras tasas</t>
  </si>
  <si>
    <t>Mayores Ingresos No Aforados Multas, sanciones e intereses de mora</t>
  </si>
  <si>
    <t>Mayores Ingresos No Aforados Venta de bienes y servicios</t>
  </si>
  <si>
    <t>Menores Ejecuciones en Gasto</t>
  </si>
  <si>
    <t>Menores Ejecuciones en Gasto Ingresos tributarios</t>
  </si>
  <si>
    <t>IMenores Ejecuciones en Gasto mpuestos directos</t>
  </si>
  <si>
    <t>Menores Ejecuciones en Gasto Contribuciones</t>
  </si>
  <si>
    <t>Menores Ejecuciones en Gasto Tasas retributivas y compensatorias</t>
  </si>
  <si>
    <t>Menores Ejecuciones en Gasto Tasa retributiva</t>
  </si>
  <si>
    <t>Menores Ejecuciones en Gasto Tasa por el uso del agua</t>
  </si>
  <si>
    <t>Menores Ejecuciones en Gasto Tasa de aprovechamiento Forestal</t>
  </si>
  <si>
    <t>Menores Ejecuciones en Gasto Tasa compensatoria por caza de Fauna Silvestre</t>
  </si>
  <si>
    <t>Menores Ejecuciones en Gasto Otras tasas</t>
  </si>
  <si>
    <t>Menores Ejecuciones en Gasto Multas, sanciones e intereses de mora</t>
  </si>
  <si>
    <t>Menores Ejecuciones en Gasto Venta de bienes y servicios</t>
  </si>
  <si>
    <t>Cancelación de reservas</t>
  </si>
  <si>
    <t>Cancelación de reservas Ingresos tributarios</t>
  </si>
  <si>
    <t>Cancelación de reservas Impuestos directos</t>
  </si>
  <si>
    <t>Cancelación de reservas Contribuciones</t>
  </si>
  <si>
    <t>Cancelación de reservas Tasas retributivas y compensatorias</t>
  </si>
  <si>
    <t>Cancelación de reservas Tasa retributiva</t>
  </si>
  <si>
    <t>Cancelación de reservas Tasa por el uso del agua</t>
  </si>
  <si>
    <t>Cancelación de reservas Tasa de aprovechamiento Forestal</t>
  </si>
  <si>
    <t>Cancelación de reservas Tasa compensatoria por caza de Fauna Silvestre</t>
  </si>
  <si>
    <t>Cancelación de reservas Otras tasas</t>
  </si>
  <si>
    <t>Cancelación de reservas Multas, sanciones e intereses de mora</t>
  </si>
  <si>
    <t>Cancelación de reservas Venta de bienes y servicios</t>
  </si>
  <si>
    <t>Cancelación de reservas Recursos de crédito externo</t>
  </si>
  <si>
    <t>Cancelación de reservas Recursos de crédito interno</t>
  </si>
  <si>
    <t>Cancelación de reservas Transferencias de capital</t>
  </si>
  <si>
    <t>Cancelación de reservas Convenios</t>
  </si>
  <si>
    <t>Cancelación de reservas Convenios Departamentos</t>
  </si>
  <si>
    <t xml:space="preserve">Cancelación de reservas Convenios Municipios </t>
  </si>
  <si>
    <t>Cancelación de reservas Otros convenios</t>
  </si>
  <si>
    <t>Cancelación de reservas Compensaciones</t>
  </si>
  <si>
    <t>Cancelación de reservas Compensación resguardos indígenas</t>
  </si>
  <si>
    <t>Proyecto 21.1. PLANIFICACIÓN, ADMINISTRACIÓN Y GESTIÓN DEL RECURSO HÍDRICO PARA LA PROTECCIÓN DE LOS ECOSISTEMAS</t>
  </si>
  <si>
    <t>Proyecto 21.2. PLANIFICACIÓN, ADMINISTRACIÓN Y GESTIÓN DEL RECURSO HÍDRICO PARA LA PROTECCIÓN DE LOS ECOSISTEMAS</t>
  </si>
  <si>
    <t>Proyecto 21.3. GESTIÓN INTEGRAL DE LOS RIESGOS ASOCIADOS AL RECURSO HÍDRICO</t>
  </si>
  <si>
    <t>Proyecto 22.1. BIODIVERSIDAD Y RIQUEZA DE LOS ECOSISTEMAS TERRESTRES</t>
  </si>
  <si>
    <t>Proyecto 22.2.  BIODIVERSIDAD Y RIQUEZA DE LOS ECOSISTEMAS MARINO COSTERO</t>
  </si>
  <si>
    <t>Proyecto 22.3. ESTRATEGIAS REGIONALES DE CONSERVACIÓN</t>
  </si>
  <si>
    <t>Proyecto 23.1. LA EDUCACIÓN AMBIENTAL COMO PROCESO DE TRANSFORMACIÓN CULTURAL PARA LA SOSTENIBILIDAD.</t>
  </si>
  <si>
    <t>Proyecto 23.2.  LA PARTICIPACIÓN SOCIAL COMO FUNDAMENTO DE LA GESTIÓN AMBIENTAL TERRITORIAL.</t>
  </si>
  <si>
    <t>Proyecto 23.3. LA DIVERSIDAD ETNOCULTURAL DEL DEPARTAMENTO DEL ATLÁNTICO COMO POTENCIAL ESTRATÉGICO PARA LA SOSTENIBILIDAD AMBIENTAL.</t>
  </si>
  <si>
    <t>Proyecto 23.4. PARTICIPACIÓN PARA EL SEGUIMIENTOS ODS MUNICIPALES DEL COMPENENTE AMBIENTAL</t>
  </si>
  <si>
    <t xml:space="preserve">Proyecto 24.1. EQUIPAMENTOS SOSTENIBLES </t>
  </si>
  <si>
    <t xml:space="preserve">Proyecto 24.2.  POR UN DEPARTAMENTO CON ENERGIAS RENOVABLES </t>
  </si>
  <si>
    <t xml:space="preserve">Proyecto 24.3. TERRITORIOS CON PLANIFICACIÓN AMBIENTAL </t>
  </si>
  <si>
    <t>Proyecto 24.4. PREVENCIÓN, CONTROL Y MONITOREO DEL  AIRE Y SUELO</t>
  </si>
  <si>
    <t xml:space="preserve">Proyecto 24.5.  INSTRUMENTOS ECONÓMICOS Y DE CONTROL AMBIENTAL </t>
  </si>
  <si>
    <t xml:space="preserve">Proyecto 24.6. COMUNIDADES Y TERRITORIOS CON CONOCIMIENTO Y ADAPTACIÓN A LA GESTIÓN DEL RIESGO </t>
  </si>
  <si>
    <t>Proyecto 24.7. COMUNIDADES Y TERRITORIOS CON CONOCIMIENTO Y ADAPTACIÓN CAMBIO CLIMÁTICO</t>
  </si>
  <si>
    <t>Proyecto 25.1. GESTIÓN HUMANA (PERSONAL COMPETENTE PARA LA SOSTENIBILIDAD AMBIENTAL EN EL DEPARTAMENTO)</t>
  </si>
  <si>
    <t>Proyecto 25.2. SEGURIDAD Y SALUD EN EL TRABAJO</t>
  </si>
  <si>
    <t>Proyecto 25.3. TECNOLOGÍA (TECNOLOGIA DE PUNTA PARA LA AUTORIDAD AMBIENTAL)</t>
  </si>
  <si>
    <t>Proyecto 25.4. COMUNICACIONES (FORTALECIMIENTO DE LA PRESENCIA INSTITUCIONAL EN MEDIOS DE COMUNICACIÓN)</t>
  </si>
  <si>
    <t>Proyecto 25.5. BANCO DE PROYECTOS (CREATIVIDAD PARA LA EJECUCION DE PROYECTOS AMBIENTALES)</t>
  </si>
  <si>
    <t xml:space="preserve">Proyecto 25.6.SISTEMAS DE INFORMACIÓN AMBIENTAL </t>
  </si>
  <si>
    <t>Proyecto 25.7.SISTEMAS DE GESTIÓN INTEGRADOS</t>
  </si>
  <si>
    <t xml:space="preserve">Proyecto 25.8. GESTIÓN DOCUMENTAL Y ARCHIVO </t>
  </si>
  <si>
    <t>Proyecto 25.9. SOPORTE JURIDICO (UNA ENTIDAD QUE CUIDA SUS RECURSOS)</t>
  </si>
  <si>
    <t>Proyecto 25.10. GESTIÓN DE INFRAESTRUCTURA (CONDICIONES ADECUADAS PARA PRESTAR UN MEJOR SERVICIO)</t>
  </si>
  <si>
    <t>Proyecto 26.1. DEFICIT FISCAL VIGENCIAS ANTERIORES</t>
  </si>
  <si>
    <t>VIGENCIA 2022</t>
  </si>
  <si>
    <t>Sobretasa ambiental - Urbano-Vigencia anterior</t>
  </si>
  <si>
    <t>Contribución sector eléctrico - Generadores de energía convencional -TEBSA- Vigencia Actual</t>
  </si>
  <si>
    <t>Contribución sector eléctrico - Generadores de energía convencional -TEBSA- Vigencia Anterior</t>
  </si>
  <si>
    <t>Contribución sector eléctrico - Generadores de energía convencional -TERMOFLORES- Vigencia Actual</t>
  </si>
  <si>
    <t>Contribución sector eléctrico - Generadores de energía convencional -TERMOFLORES- Vigencia anterior</t>
  </si>
  <si>
    <t>Contribución sector eléctrico - Generadores de energía no convencional - Monomeros- Vigencia Actual</t>
  </si>
  <si>
    <t>Contribución sector eléctrico - Generadores de energía no convencional - Monomeros-Vigencia Anterior</t>
  </si>
  <si>
    <t>TASA RETRIBUTIVA VIGENCIA ACTUAL</t>
  </si>
  <si>
    <t>TASA RETRIBUTIVA  VIGENCIA ANTERIOR</t>
  </si>
  <si>
    <t>Rendimientos financiero Depósitos - Sobretasa Ambiental Urbano</t>
  </si>
  <si>
    <t>Condicionadas a la adquisición de un activo-Vigencia anterior</t>
  </si>
  <si>
    <t>Condicionadas a la adquisición de un activo-Vigencia actual</t>
  </si>
  <si>
    <t xml:space="preserve">TOTAL </t>
  </si>
  <si>
    <t>ACCIÓN ESTRATÉGICA</t>
  </si>
  <si>
    <t>1.1.1.5. Implementar el Plan de Ordenación y Manejo de Cuencas Hidrográficas del Canal del Dique.</t>
  </si>
  <si>
    <t>1.1.1.12. Implementar los Planes de Ordenamiento del Recurso Hídrico que se encuentra elaborados en el departamento (Embalse del Guájaro, la ciénaga de  Luruaco y la ciénaga de Mallorquín).</t>
  </si>
  <si>
    <t xml:space="preserve">1.1.3.1. Realizar el mantenimiento a las compuertas de Villa Rosa y el Porvenir que regulan el Embalse del Guájaro. </t>
  </si>
  <si>
    <t>1.1.3.2.  Realizar intervenciones para la Recuperación Ambiental de los Humedales asociados a la Cuenca del Canal del Dique (Hidrodinámica del Embalse El Guajaro y los afluentes del ecosistema).</t>
  </si>
  <si>
    <t>1.1.3.3.  Realizar intervenciones en los Humedales asociados a la vertiente occidental del Rio Magdalena. (Ciénagas de Malambo, Sabanagrande, Santo Tomás y Palmar de Varela).</t>
  </si>
  <si>
    <t xml:space="preserve">1.1.3.4.  Realizar intervenciones para la Recuperación ambiental de la Cuenca de la Ciénaga de Mallorquín (Cienaga de Mallorquin y Cienaga Rincon o Lago El Cisne). </t>
  </si>
  <si>
    <t>1.1.3.5.  Realizar repoblamientos anuales como estrategia de implementación de recuperación de poblaciones naturales de especies nativas asociadas al recurso hidrobiológico en los humedales del departamento.</t>
  </si>
  <si>
    <t xml:space="preserve">1.2.1.2. Realizar seguimiento a la implementación de los Programas de Ahorro y uso eficiente del agua de los usuarios del Recurso Hídrico. </t>
  </si>
  <si>
    <t xml:space="preserve">1.2.2.1. Realizar inventario y registro de usuario (Legales y por legalizar) del recurso Hídrico, en relación con las aguas superficiales y subterráneas. </t>
  </si>
  <si>
    <t xml:space="preserve">1.2.3.2. A Reducir los aportes de contaminación puntual a los cuerpos de agua a través de sistemas de tratamiento de agua residuales. </t>
  </si>
  <si>
    <t xml:space="preserve">1.2.3.2. B Reducir los aportes de contaminación puntual a los cuerpos de agua a través de sistemas de tratamiento de agua residuales. </t>
  </si>
  <si>
    <t xml:space="preserve">1.3.1.5. Realizar seguimiento ambiental a las Obras de canalización de los arroyos del Distrito de Barranquilla. </t>
  </si>
  <si>
    <t>2.1.1.1 Implementar el Plan de Acción Regional de Lucha contra la Desertificación y la Sequia que  contribuya a la restauración de ecosistemas en zonas secas</t>
  </si>
  <si>
    <t>2.1.1.2 Producir 150.000 plantulas, adecuar el sitio y fortalecer técnica y ambientalmente la producción de plantulas en los viveros  de la CRA con fines de restauración y recuperación de suelos.</t>
  </si>
  <si>
    <t xml:space="preserve">2.1.1.3 Implementar un programa de deforestación evitada que incluya al menos las siguientes lineas de acción: articulación con sectores o entes territoriales para incentivar modelos agroambientales, alternativas de eficiencia energetica en hogares y restaurantes y educación ambiental para disminuir la extracción de leña y carbon vegetal </t>
  </si>
  <si>
    <t>2.1.1.4. Ejecutar un programa comunitario de medidas de adoptación al cambio climático basadas en la conservación de los ecosistemas estrategicos (bosque seco y manglar) y enfocadas a la reconverción hacia sistemas sostenibles de producción</t>
  </si>
  <si>
    <t xml:space="preserve">2.1.1.5 Implementar un programa de conservación de suelos y promoción de sistemas sostenibles de producción </t>
  </si>
  <si>
    <t>2.1.2.3. Implementar proyectos comunitarios  para la conservación y uso sostenible de especies amenazadas priorizadas para el departamento del Atlántico.</t>
  </si>
  <si>
    <t>2.1.2.5. Diseñar  y ejecutar acciones de conservación y manejo para 6 especies amanezadas</t>
  </si>
  <si>
    <t>2.2.1.2. Adelantar e implentar acciones encaminadas a impulsar el ecoturismo sostenible en zonas de la franja costera del departamento del Atlántico.</t>
  </si>
  <si>
    <t xml:space="preserve">2.3.1.2. Establecer acciones para promover la conservación efectiva y el cumplimiento del plan de manejo de las áreas protegidas declaradas. </t>
  </si>
  <si>
    <t xml:space="preserve">2.3.1.3. Implementar proyectos de restauraciòn  y conectividad del  Bosque Seco enmarcadas en el SIRAP, SIDAP, SILAP, en el Atlántico.  </t>
  </si>
  <si>
    <t xml:space="preserve">2.3.1.4. Adquirir predios privados localizados al interior de las Áreas protegidas </t>
  </si>
  <si>
    <t xml:space="preserve">2.3.1.6. Formular y ejecutar Programas de asistencia técnica para la implementación de estrategias educativo ambientales y de participación encaminadas a la conservación de las áreas protegidas declaradas en el departamento del Atlántico. </t>
  </si>
  <si>
    <t>2.3.1.8. Desarrollar estrategias de participación efectiva dirigidas a  los propietarios de predios privados y comunidades de las áreas protegidas enfocadas a la conservación y a la implementación de sistemas productivos sostenibles como medida de adaptación al cambio climático</t>
  </si>
  <si>
    <t>2.3.1.9. Formular e implementar  proyectos Ecoturísticos  de acuerdo con los lineamientos establecidos por la Unidad Administrativa de Parques Nacionales de Colombia (UASPNN), como alternativa sostenible en las áreas protegidas y sus zonas aledañas</t>
  </si>
  <si>
    <t>3.1.1.2.  Apoyar dos acciones contempladas en los PMEA del CIDEA en cada uno de los 22 municipios</t>
  </si>
  <si>
    <t>3.1.1.3.  Apoyar la realización de acciones coordinadas y aprobadas por el comité técnico del CIDEA Departamental.</t>
  </si>
  <si>
    <t>3.1.2.1.  Brindar asesoría técnica a los Proyectos Ambientales Escolares (PRAE) y apoyar acciones para su implementación.</t>
  </si>
  <si>
    <t>3.1.2.2.  Impulsar la conformación y/o operatividad de Semilleros de Investigación, Grupos Ecológicos o Clubes de Ciencia y dinamizadores ambientales de los municipios del departamento.</t>
  </si>
  <si>
    <t>3.1.2.3.  Establecer alianzas estratégicas con Instituciones de Educación Superior para apoyar la realización de acciones que promuevan la dimensión ambiental.</t>
  </si>
  <si>
    <t>3.1.2.4 B.  Promover la investigación en educación ambiental en el departamento en el marco de la política nacional de educación ambiental (PNEA).</t>
  </si>
  <si>
    <t>3.1.3.2.  Desarrollar un programa de capacitación para formar a jóvenes como gestores ambientales urbanos GAU en el departamento</t>
  </si>
  <si>
    <t>3.1.4.1.  Posicionar el tema de la prevención y gestión del riesgo del desastre desde una visión educativa integradora en los Consejos Municipales de Gestión del Riesgo-CMGR de los municipios del Atlántico</t>
  </si>
  <si>
    <t>3.1.4.2.  Apoyar a las Instituciones Educativas para la formulación y/o actualización de los Planes Escolares de Gestión del Riesgo-PEGR.</t>
  </si>
  <si>
    <t>3.2.1.1.  Brindar el servicio de talleres de educación en temas ambientales relacionados a: Conservación de la biodiversidad, servicios ecosistémicos, manejo y uso sostenible de los ecosistemas marino-costeros, gestión del cambio climático, contaminación de suelo, agua y aire, gestión integral de residuos y Economía Circular, contaminación con metales pesados (mercurio), salud ambiental (COTSA), normatividad ambiental.</t>
  </si>
  <si>
    <t>3.2.2.1A.  Apoyar las iniciativas de las ONG´s ambientalistas que coadyuve a gestión ambiental de la Corporación CRA en los municipios del Departamento.</t>
  </si>
  <si>
    <t>3.2.2.2.  Apoyo a proyectos productivos para la seguridad alimentaria de las comunidades de pescadores y agricultores del departamento.</t>
  </si>
  <si>
    <t xml:space="preserve">3.2.3.1.A  Optimizar el servicio de divulgación de la información que genera la Corporación sobre las iniciativas en las temáticas de educación ambiental y participación y los temas ambientales en general. </t>
  </si>
  <si>
    <t xml:space="preserve">3.2.3.1.B  Optimizar el servicio de divulgación de la información que genera la Corporación sobre las iniciativas en las temáticas de educación ambiental y participación y los temas ambientales en general. </t>
  </si>
  <si>
    <t>3.2.3.2.  Desarrollar jornadas anuales, a nivel departamental, de recolección de residuos posconsumo peligrosos, especiales y RAEE (envases y bolsas de agroquímicos, medicamentos vencidos, baterías usadas plomo ácido, bombillas, pilas, computadores y llantas usadas).</t>
  </si>
  <si>
    <t>3.2.3.3.  Promover la utilización de las TICs, a través de la implementación de proyectos virtuales de educación ambiental en busca de innovación, agilidad y cobertura en el acceso a la información y la construcción de conocimiento ambiental.</t>
  </si>
  <si>
    <t>3.2.3.4.B  Promocionar escenarios de divulgación e intercambio de conocimientos e iniciativas innovadoras en el marco de la educación ambiental, a nivel regional, nacional e internacional.</t>
  </si>
  <si>
    <t>3.2.4.1.  Apoyar iniciativas con enfoque diferencial que incorporen la perspectiva de género asociados a la gestión ambiental de la Corporación CRA.</t>
  </si>
  <si>
    <t>3.3.1.1.  Apoyar con enfoque diferencial de las iniciativas integrales de emprendimientos produtivos (plantas medicinales, frutales, huertas caseras, y piscicultura entre otras) o iniciativas de protección de la biodiversidad (reforestación, siembra de manglares entre otras)</t>
  </si>
  <si>
    <t>3.3.1.2.  Implementación de acciones con enfoque diferencial para fortalecer los conocimientos, usos, costumbres, saberes y prácticas tradicionales ambientales de las comunidades indígenas y Rom del departamento.</t>
  </si>
  <si>
    <t>3.3.1.3.  Implementación de acciones con enfoque diferencial para fortalecer los conocimientos, usos, costumbres, saberes y prácticas tradicionales ambientales de las comunidades negras, afrocolombianas, raizales y palenqueras NARP del departamento.</t>
  </si>
  <si>
    <t xml:space="preserve">3.3.1.4.  Apoyar iniciativas productivas con enfoque diferencial de las comunidades negras, afrocolombianas, raizales y palenqueras NARP del departamento articuladas al PAI de la Corporación CRA. </t>
  </si>
  <si>
    <t>3.4.1.1.(B) Crear los comités municipales de guardianes del medio ambiente -GUMA para apoyar la gestión ambiental de la CRA</t>
  </si>
  <si>
    <t>3.4.2.1.  Elaborar una matriz para realizar el seguimiento a los indicadores sociales, económicos y ambientales articulados a los ODS en los municipios del departamento del atlántico.</t>
  </si>
  <si>
    <t xml:space="preserve">4.1.1.1. Implementar Convenios de Producción más Limpia con los sectores de equipamiento urbano </t>
  </si>
  <si>
    <t xml:space="preserve">4.2.2.1. Impulsar proyectos de generación de Fuentes No convencionales de Energía Renovable-FNCER, cogeneración a partir de la misma generación distribuida y de gestión eficiente de la energía. </t>
  </si>
  <si>
    <t xml:space="preserve">4.3.1.1. Asesorar a los municipios del Dpto. en la inclusión del componente ambiental en los procesos de planificación y ordenamiento territorial, con énfasis en la incorporación de las determinantes ambientales </t>
  </si>
  <si>
    <t xml:space="preserve">4.3.2.1. Asistir a los municipios en la implementación y seguimiento de esquemas de pago por servicios ambientales </t>
  </si>
  <si>
    <t>4.3.3.1. Ejecutar acciones orientadas a actualizar la información ambiental en el marco del ordenamiento ambiental y territorial que sirvan de insumo para la elaboración de los POT.</t>
  </si>
  <si>
    <t xml:space="preserve">4.4.2.1. Controlar las actividades productoras de olores ofensivos en el Departamento </t>
  </si>
  <si>
    <t>4.4.3.1. Actualizar  los mapas de ruido diurno y nocturno en los municipios con más de 100.000 habitantes del Departamento</t>
  </si>
  <si>
    <t>4.4.3.3. B Proporcionar apoyo técnico a los municipios del Departamento del Atlántico en las mediciones de emisión de ruido</t>
  </si>
  <si>
    <t>4.4.4.2. Realizar seguimiento a la  implementación del PGIRS  municipios de la jurisdicción de la CRA.</t>
  </si>
  <si>
    <t>4.4.4.3. Realizar seguimiento a la  implementación  del Plan de Gestión de Residuos Peligrosos de los municipios de la jurisdicción de la CRA.</t>
  </si>
  <si>
    <t xml:space="preserve">4.4.4.4. Actualizar el registro y reporte de usuarios generadores de RESPEL </t>
  </si>
  <si>
    <t xml:space="preserve">4.4.4.6. Ejecutar proyectos en el marco de la Agenda Departamental de Economía </t>
  </si>
  <si>
    <t>4.5.1.1. Promover la eficiencia en la evaluación, seguimiento y control de  trámites ambientales</t>
  </si>
  <si>
    <t xml:space="preserve">4.5.1.2. Atender oportuna y eficazmente las quejas ambientales y procesos sancionatorios </t>
  </si>
  <si>
    <t>4.5.1.5. Promover instrumentos de formalización minera  para identificar y monitorear actividades ilegales en los Sectores productivos de alto impacto</t>
  </si>
  <si>
    <t xml:space="preserve">4.5.1.7.  Controlar el tráfico ilegal de especies de Fauna y Flora en el Atlántico </t>
  </si>
  <si>
    <t>4.6.1.3. Promover asesorías para el conocimiento y reducción del riesgo de desastres  e incorporación de la gestión del riesgo en el ordenamiento territorial de los municipios</t>
  </si>
  <si>
    <t>4.7.1.1. Formular e implementar intervenciones locales orientadas a reducir  la vulnerabilidad y el  aumento de la resiliencia a la variabilidad y al cambio climático, en articulación con la Política Nacional de Cambio Climático y el PGICCTA del Departamento del Atlántico.</t>
  </si>
  <si>
    <t xml:space="preserve">5.1.1.3. Elaborar y ejecutar el programa de capacitación y bienestar social de la Entidad para fortalecer los conocimientos, habilidades y destrezas de los funcionarios de la Corporación teniendo en cuenta los tres ejes del Plan Nacional de Formación y Capacitación: Gobernanza para la paz, Gestión del conocimiento, Creación del valor público. </t>
  </si>
  <si>
    <t>5.2.1.1. Mantener calificación superior a 90 sobre 100 en la  continuidad y mejoramiento del SG-SST (Resolución 312 de 2019 y el decreto 1072 de 2015)</t>
  </si>
  <si>
    <t xml:space="preserve">5.2.1.3. Realizar informes de ejecución de las actividades de medicina preventiva y del trabajo, promoción y prevención y programas de vigilancia epidemiológica </t>
  </si>
  <si>
    <t xml:space="preserve">5.3.2.1. Adquirir, mantener y dar soporte a los equipos de cómputo, periféricos y sistema eléctricos de respaldo a las labores de la Entidad </t>
  </si>
  <si>
    <t xml:space="preserve">5.3.2.2. Implementar servicios de voz, datos corporativos y servidores virtualizados en la entidad </t>
  </si>
  <si>
    <t xml:space="preserve">5.3.2.3. Actualizar el software de base de la Corporación </t>
  </si>
  <si>
    <t>5.4.1.1. Diseñar e implementar estrategias  de comunicación para fortalecer la imagen institucional de la CRA</t>
  </si>
  <si>
    <t>5.4.1.2. Aumentar el número de visitas y seguidores en  canales virtuales de la entidad</t>
  </si>
  <si>
    <t>5.5.1.1. Gestionar recursos externos nacionales e internacionales  a partir de la formulación y ejecución de proyectos ambientales</t>
  </si>
  <si>
    <t>5.6.1.1. Renovar y licenciar el Software para el desarrollo de las actividades misionales y administrativas de la entidad:</t>
  </si>
  <si>
    <t xml:space="preserve">5.6.1.3. Implementar Software de soporte para la Oficina Jurídica </t>
  </si>
  <si>
    <t xml:space="preserve">5.6.1.4. Implementar Software de soporte para PQRS </t>
  </si>
  <si>
    <t>5.6.1.5. Formular e Implementar la Política de Seguridad y Manejo de la Informacion y  el Marco de Interoperabilidad</t>
  </si>
  <si>
    <t>5.6.2.2. Dar cumplimiento a la normatividad vigente en materia de Mantenimiento y operación de los subsistemas de SIAC a través de la  entrega de información ambiental en: VITAL, RESPEL, RUA, PCBS, SISAIRE, SNIF, SIRH, SIB, SIAM, SMBYC, SIPGA CAR, SINAP-RUNAP, SIUR</t>
  </si>
  <si>
    <t xml:space="preserve">5.7.1.1. Realizar ciclos de auditoría interna de conformidad con la metodología vigente </t>
  </si>
  <si>
    <t xml:space="preserve">5.7.1.2. Mantener la certificación del sistema de gestión de la calidad según NTC ISO 9001:2015 </t>
  </si>
  <si>
    <t>5.7.2.1. Implementar una norma para la calibración de equipos según  ISO 17025: 2017 (Ensayo y Calibración)</t>
  </si>
  <si>
    <t xml:space="preserve">5.8.1.1. Disponer de un Archivo Central en condiciones de funcionamiento adecuadas </t>
  </si>
  <si>
    <t xml:space="preserve">5.9.3.1. Atender los trámites procesales contractuales requeridos por la Dirección de la Entidad </t>
  </si>
  <si>
    <t xml:space="preserve">5.10.2.1. Garantizar la funcionalidad de la infraestructura de la Entidad a partir de su mantenimiento preventivo o reposición </t>
  </si>
  <si>
    <t>5.10.2.2. Garantizar el mantenimiento y adecuación  (bienes inmuebles) de la sede principal y otras sedes de la corporación</t>
  </si>
  <si>
    <t>Deficit fiscal vigencias anteriores</t>
  </si>
  <si>
    <r>
      <t>(13)               PONDERACIONES DE PROGRAMAS, PROYECTOS</t>
    </r>
    <r>
      <rPr>
        <b/>
        <sz val="8"/>
        <color rgb="FFFF0000"/>
        <rFont val="Arial Narrow"/>
        <family val="2"/>
      </rPr>
      <t xml:space="preserve"> Y ACTIVIDADES</t>
    </r>
    <r>
      <rPr>
        <b/>
        <sz val="8"/>
        <rFont val="Arial Narrow"/>
        <family val="2"/>
      </rPr>
      <t>-2021</t>
    </r>
  </si>
  <si>
    <t>(28)
INDICADOR ODS AL QUE LE APORTA</t>
  </si>
  <si>
    <r>
      <t>(13)               PONDERACIONES DE PROGRAMAS, PROYECTOS</t>
    </r>
    <r>
      <rPr>
        <b/>
        <sz val="8"/>
        <color rgb="FFFF0000"/>
        <rFont val="Arial Narrow"/>
        <family val="2"/>
      </rPr>
      <t xml:space="preserve"> Y ACTIVIDADES</t>
    </r>
  </si>
  <si>
    <t xml:space="preserve">(14) PONDERACIONES DE PROGRAMAS  Y PROYECTOS VIGENCIA 2021 </t>
  </si>
  <si>
    <r>
      <t>(19) PORCENTAJE DE AVANCE DE LOS RECURSOS OBLIGADOS ((18/</t>
    </r>
    <r>
      <rPr>
        <b/>
        <sz val="10"/>
        <color rgb="FFFF0000"/>
        <rFont val="Arial Narrow"/>
        <family val="2"/>
      </rPr>
      <t>15</t>
    </r>
    <r>
      <rPr>
        <b/>
        <sz val="10"/>
        <rFont val="Arial Narrow"/>
        <family val="2"/>
      </rPr>
      <t>)*100)</t>
    </r>
  </si>
  <si>
    <t>La Corporación contrató la ejecución del programa comunitario de medida de adaptación al cambio climatico basado en la proteccion de las zonas abastecedoras del recurso hídrico como ecosistemas estratégicos y en cumplimiento a las acciones de manejo del POMIUAC- RIO MAGDALENA, en el cual entre sus actividades se encuentra el desarrollo de mesas de trabajo con las comunidades para la revisión de las acciones establecidas en el POMIUAC, presenta una ejecucion del 50%.</t>
  </si>
  <si>
    <t>Para el año 2021 se estableció como meta la adopcion del Ajuste del Planes de Ordenación y Manejo de Cuencas Hidrográficas del Canal del Dique en cumplimiento a lo establecido en el Decreto 1076 del 2015, sin embargo no se logró realizar la adopción, teniendo en consideracion que no se surtieron las consultas previas con 11 comunidades que hacen parte de la cuenca del canal del dique.</t>
  </si>
  <si>
    <t>En marco del Contrato No. 00375 de 2020, cuyo objeto es: “Elaborar el plan de manejo de la ciénaga de mallorquin y la actualización de los estudios para el manejo integrado de los manglares del departamento del atlántico en cumplimiento de lo establecido en el plan de acción institucional 2020-2023”, la meta tuvo cumplimiento del 100% en la vigencia 2021</t>
  </si>
  <si>
    <t>Durante la vigencia 2021, no se logró realizar la contratación de los estudios del plan de ordenamiento del recurso hidrico, ya que no se contó con el presupuesto necesario para tal fin.  A la fecha se cuenta con los estudios previos para realizar la contratacion en el año 2022. En consecuencia, la meta a corte 31 de diciembre de 2021, presente un avance de 3%.</t>
  </si>
  <si>
    <t xml:space="preserve">Se asignaron recursos para adelantar  estudios técnicos que contengan la actualización del Indice de Uso del Agua, dado que esta acción estrategica tiene meta programada para la vigencia 2023, y se hizo necesario realizarlos durante este periodo a fin de conocer el estado actual de este. </t>
  </si>
  <si>
    <r>
      <rPr>
        <b/>
        <sz val="10"/>
        <rFont val="Arial Narrow"/>
        <family val="2"/>
      </rPr>
      <t>REZAGO 2020</t>
    </r>
    <r>
      <rPr>
        <sz val="10"/>
        <rFont val="Arial Narrow"/>
        <family val="2"/>
      </rPr>
      <t>: Se elaboró la Resolución 0145 de 2021 "Por medio de la cual  se priorizan cuerpos de agua para el acotamiento de su ronda hirica, en el Departamento del Atlantico".</t>
    </r>
  </si>
  <si>
    <t>Durante este año 2021 no se logró realizar la contratación de los estudios de Ronda Hidrica, ya que no se contó con el presupuesto necesario para tal fin.  A la fecha se cuenta con los estudios previos elaborados para realizar la contratacion en el año 2022, por lo que la meta presenta un 3% de avance a corte 31 de diciembre de 2021.</t>
  </si>
  <si>
    <t>En la vigencia 2021 se logró el cumplimiento de la meta en el 100%. Las acciones se desarrollaron a través de la ejecución del Contrato No. 281 del 29 de septiembre del 2021 cuyo objeto es: Realizar el monitoreo fisicoquímico, microbiológico e hidrobiológico sobre la calidad y estado actual de las fuentes hídricas del departamento del Atlántico y desarrollo del índice de calidad del embalse el guajaro, en cumplimiento de lo establecido en el Plan de Acción Institucional 2020 – 2023.</t>
  </si>
  <si>
    <t>La Corporación Autónoma Regional del Atlántico conformó para la vigencia 2021, un equipo multidisciplinario que apoya y asesora las actividades de Planificación, Administración y Gestión del recurso hídrico, logrando el cumplimiento de la meta en un 100%. 
Los profesionales contratados para apoyar y fortalecer al equipo interno de trabajo de la CRA, cuentan con una amplia experiencia en el área ambiental y sus perfiles profesionales corresponden a: (1) Ingeniero Ambiental y Sanitario, (Contrato No.039-2021), (1) Ingeniera Civil con Especialización en Saneamiento Básico, (Contrato No.036-2021), (1) Bióloga con Magister en Recurso Naturales, (Contrato No.026-2021), (1) Geógrafo con Magister en Ciencias, Contrato No.132-2021.</t>
  </si>
  <si>
    <r>
      <rPr>
        <b/>
        <sz val="10"/>
        <rFont val="Arial Narrow"/>
        <family val="2"/>
      </rPr>
      <t xml:space="preserve">VIGENCIA 2021: </t>
    </r>
    <r>
      <rPr>
        <sz val="10"/>
        <rFont val="Arial Narrow"/>
        <family val="2"/>
      </rPr>
      <t xml:space="preserve">Con la celebración del Adicional No. 1 del  Contrato No. 377   suscrito el 27 de mayo de 2021, cuyo objeto contractual es: “Obras de mantenimiento de las estructuras de regulación hidrica el porvenir y villarosa, del Embalse el Guajaro, departamento del Atlantico” y, con las acciones desarrolladas para las obras de mantenimiento de las estructuras de regulación hídrica el Porvenir y Villarosa, del embalse el Guájaro se registra un avance del 87% frente a la meta programada para la vigencia, la cual es de un (1) mantenimiento realizado.
</t>
    </r>
    <r>
      <rPr>
        <b/>
        <sz val="10"/>
        <rFont val="Arial Narrow"/>
        <family val="2"/>
      </rPr>
      <t>REZAGO 2020:</t>
    </r>
    <r>
      <rPr>
        <sz val="10"/>
        <rFont val="Arial Narrow"/>
        <family val="2"/>
      </rPr>
      <t xml:space="preserve"> Con la suscripción y ejecución del contrato Contrato No. 377  de 2020 se dío cumplimiento a esta meta. Se desarrollaron actividades de obras civiles (pararrayos, pinturas, etc); iluminación perimetral, sistema de vigilancia y protección, entre otros.</t>
    </r>
  </si>
  <si>
    <t>La Corporación Autónoma Regional del Atlántico celebró con el municipio de Manatí, el Convenio Interadministrativo No. 0000216 del 31 de mayo del 2021 cuyo objeto es “Recuperación de la capacidad de drenaje del canal interceptor del municipio de Manatí en el departamento del Atlántico”, el cual se presenta un avance del 100% de acuerdo a acta de obra de fecha del 17 de diciembre del 2021, firmada por el Municipio de Manati, con esta intervención se da un cumplimiento del 100% del indicador.</t>
  </si>
  <si>
    <r>
      <rPr>
        <b/>
        <sz val="10"/>
        <rFont val="Arial Narrow"/>
        <family val="2"/>
      </rPr>
      <t xml:space="preserve">VIGENCIA 2021: </t>
    </r>
    <r>
      <rPr>
        <sz val="10"/>
        <rFont val="Arial Narrow"/>
        <family val="2"/>
      </rPr>
      <t xml:space="preserve">La meta se cumplió al 100% a través de varias intervenciones realizadas en los humedales asociados a la vertiente occidental del Río Magdalena, a través de los siguientes contratos y convenios (Página 40 del informe de gestión):  
1. Convenio No. 001 del 31 de marzo de 2021, celebrado con el Municipio de Santo Tomás para el desarrollo del Proyecto “Canalización del arroyo puente venancio en el municipio de Santo Tomás departamento del Atlantico”. Ejecución 70% a diciembre 31 de 2021.
2. Adicional No. 01 al Contrato de Obra No. 0000368 de 2020, objeto: Realizar la limpieza de vegetación acuática en las áreas de las estructuras hidráulica construida en el marco del proyecto de regulación hídrica de las ciénagas de Sabanagrande, Santo Tomás y Palmar de Varela - departamento del Atlantico. Ejecución 100%. Con lo cual se da cumplimiento al </t>
    </r>
    <r>
      <rPr>
        <b/>
        <sz val="10"/>
        <rFont val="Arial Narrow"/>
        <family val="2"/>
      </rPr>
      <t>REZAGO 2020.</t>
    </r>
    <r>
      <rPr>
        <sz val="10"/>
        <rFont val="Arial Narrow"/>
        <family val="2"/>
      </rPr>
      <t xml:space="preserve">
3.Convenio Interdaministrativo No. 00008 de 2021, con el municipio de Palmar de Varela. Objeto “Aunar esfuerzos técnicos, administrativos y financieros para realizar el mantenimiento, limpieza y remoción de sedimentos del arroyo de la calle 6 entre carreras 9 y 12 del municipio de Palmar de Varela en el departamento del Atlántico” – fecha de suscripción 11 de octubre de 2021. Ejecución 100%.
</t>
    </r>
  </si>
  <si>
    <t>A corte de 31 de diciembre de 2021 la meta se cumplió al 100%, las actividades ejecutadas para realizar la intervención para la Recuperación ambiental de la cuenca de Mallorquín, se desarrollaron en marco del Contrato No. 0000329 de 2020 el cual presenta un avance del 100% del Contrato inicial y 100% del Adicional No. 1 suscrito el 28 de mayo de 2021, para continuar con las actividades de optimización y operación del sistema integral de captación, tratamiento con biotecnología y reúso de las aguas del arroyo León para garantizar la sostenibilidad hídrica de la Ciénaga del Rincón “Lago El Cisne”.</t>
  </si>
  <si>
    <t>La meta se cumplió en un 100%. El Plan Pescao se inició como una estrategia conjunta entre la CRA, la Secretaría de Desarrollo Económico de la Gobernación del Atlántico, la AUNAP y la Federación de pescadores en el año 2020, el cual contribuyen con el mejoramiento de las poblaciones naturales de especies nativas.</t>
  </si>
  <si>
    <r>
      <rPr>
        <b/>
        <sz val="10"/>
        <rFont val="Arial Narrow"/>
        <family val="2"/>
      </rPr>
      <t>VIGENCIA 2021:</t>
    </r>
    <r>
      <rPr>
        <sz val="10"/>
        <rFont val="Arial Narrow"/>
        <family val="2"/>
      </rPr>
      <t xml:space="preserve"> Al cierre del periodo se cuenta con 51 PUEAA aprobados, logrando un cumplimiento del 52% del 60% programado para la meta del año 2021, lo que corresponde a un cumplimiento del 86,7%.
</t>
    </r>
  </si>
  <si>
    <t>Se realizó seguimiento a los 51 PUEAA aprobados en la vigencia 2021, los cuales se encuentran incluidos en las 164 concesiones (De las cuales 1 fue derogada).</t>
  </si>
  <si>
    <t>A corte 31 de diciembre de 2021, la meta registra un avance del 40% representado en las actividades desarrolladas en marco del Contrato No. 0000261 del 2021, cuyo objeto es: Prestación de servicios profesionales y de apoyo a la gestión para desarrollar un programa comunitario de medida de adaptación al cambio climático, basado en la protección de las zonas abastecedora del recurso hídrico como ecosistemas estratégicos y en cumplimiento a las acciones de manejo del POMIUAC- RIO MAGDALENA, en el cual, entre las actividades desarrolladas podemos mencionar talleres realizados con la comunidad para la elaboración e implementación de dos proyectos comunitarios para las zonas priorizadas como zonas abastecedoras de recurso hídrico, uno de los cuales se elaborará en el municipio de Tubará (Microcuenca Caimán y parte alta del Arroyo Caja) y otro en el municipio de Repelón (Microcuenca arroyo el Limón).</t>
  </si>
  <si>
    <t>Al 31 de diciembre de 2021, la meta tiene cumplimiento del 100%. Esta es una acción de reportar en el SIRH, la cual se debe realizar durante todo el año, hasta el 31 de diciembre del 2021, la corporación cuenta con 30 permisos entre otorgados, renovados y modificados distribuidos de la siguiente manera:
•	Otorgados: 16 permisos
•	Renovados: 7 permisos
•	Modificados: 4 permiso</t>
  </si>
  <si>
    <t xml:space="preserve">A corte 31 de diciembre de 2021, se realizó monitoreo de la calidad fisicoquímica, microbiológica e hidrobiológica a las aguas continentales, dando cumplimiento a la meta programada. Lo anterior, se logró a través de la ejecución del Contrato No. 0000281 del 2021, el cual tiene como Objeto: “Realizar el monitoreo fisicoquimico, microbiologico e hidrobiologico sobre la calidad y estado actual de las fuentes hídricas del departamento del Atlántico y desarrollo del indice de calidad del embalse el guajaro, en cumplimiento de lo establecido en el plan de acción institucional 2020 – 2023.” </t>
  </si>
  <si>
    <t>La Corporacion suscribió el Convenio No. 0010 del 2021, con el INVEMAR para “Aunar esfuerzos técnicos, administrativos y financieros para evaluar la calidad de las aguas marinas y costeras en el marco del monitoreo de la redcam y determinar las condiciones ambientales del ecosistema de pastos marinos en la ensenada de Puerto Velero, Departamento del Atlántico”. 
Se firmó el acta de inicio actividades el 1° de diciembre de 2021; a corte 31 de diciembre no se ha realizado el monitoreo, por lo que la meta presenta un avance de ejecución del 5%.</t>
  </si>
  <si>
    <t>La meta presenta un avance del 100%, toda vez que como resultado del Contrato 360 de 2020 se generó la Resolución No.0000449 de 2021 “Por la cual se establecen los objetivos de calidad para los cuerpos de agua de la jurisdicción de la corporacion autonoma regional del atlantico a corto, mediano y largo plazo”</t>
  </si>
  <si>
    <t xml:space="preserve">A 31 de diciembre de 2021, se registra un cumplimiento del 100% en la meta, el seguimiento a las metas de cargas se realiza a través del diligenciamiento de la matriz en la cual se consigna la información relacionada con las autodeclaraciones de carga en vertimiento, presentadas por los usuarios, información de la entidad de estudios realizados resientemente y la información de las metas de carga establecida para cada tramo; insumos utilizados por la CRA, para la liquidación de la tasa retributiva.  </t>
  </si>
  <si>
    <r>
      <rPr>
        <b/>
        <sz val="10"/>
        <rFont val="Arial Narrow"/>
        <family val="2"/>
      </rPr>
      <t>REZAGO 2020:</t>
    </r>
    <r>
      <rPr>
        <sz val="10"/>
        <rFont val="Arial Narrow"/>
        <family val="2"/>
      </rPr>
      <t xml:space="preserve"> Se ejecutó la meta 100% de un inventario de los corregimientos que carecen de saneamiento a traves del Contrato 379 de 2020.</t>
    </r>
  </si>
  <si>
    <t>La meta programada se cumplió en el 100% a 31 de diciembre del 2021. El cumplimiento a través de la ejecución del Contrato No. 0000379 de 2020 cuyo objeto es: “Realizar el inventario de los sistemas agua potable y saneamiento basico de los corregimientos del departamento del atlantico en el marco de proyecto de control y prevencion de la contaminacion del recurso hidrico”.</t>
  </si>
  <si>
    <t>A corte 31 de diciembre de 2021, la meta tuvo cumplimiento del 100%. Durante el año 2021 y de conformidad con la Resolución No. 1433 de 2004, expedida por el Ministerio de Ambiente, Vivienda y Desarrollo Territorial, hoy Ministerio de Ambiente y Desarrollo Sostenible, se realizaron dos visitas de seguimiento ambiental a cada uno de los sistemas de tratamiento de agua residual de los 22 municipios y el Distrito de Barranquilla, para verificar el cumplimiento de los planes de saneamiento manejo de vertimiento, en cuanto al avance físico de las actividades e inversiones programadas y a la meta individual de reducción de carga contaminante establecida.</t>
  </si>
  <si>
    <t xml:space="preserve">Para la vigencia del 2021, se dejó establecido como cumplimiento de la meta, la finalización de las obras de saneamiento de manejo de vertimiento para los Municipios de Santo Tomás y Palmar de Varela, estas intervenciones se realizan a través del Contrato de obra que se relaciona:
1. Contrato de obra N°440-2019 cuyo objeto contractual es: “Construcción planta de tratamiento de aguas residuales para los municipios de Santo Tomás, Sabanagrande y Palmar de Varela, ubicada en Santo Tomás - departamento del Atlántico” 
El Contrato tuvo su inicio el día 5 de febrero del 2020, con actividades de replanteo topográfico de las impulsiones y replanteo de la PTAR por parte de la firma contratista. 
La construcción de las obras permitirá el saneamiento ambiental de la cabecera municipal, mejorando la calidad de vida de sus habitantes, quienes dejarán de soportar las aguas negras que se acumulaban en diferentes sectores de los municipios, provocando en algunas ocasiones enfermedades respiratorias y cutáneas. </t>
  </si>
  <si>
    <t>Número de proyectos con apoyo en la implementación de PTARS</t>
  </si>
  <si>
    <t>La Corporación Autónoma Regional del Atlántico, celebró el Contrato No. 237 del 2021 para realizar la “Construcción de estación de bombeo y planta de tratamiento de aguas residuales para el municipio de Juan de Acosta y el sector de El Vaiven en el Departamento del Atlántico”, garantizando con su ejecución, el apoyo en la implementación de los Planes de Saneamiento de manejo de vertimientos-PSMV en el municipio de Juan de Acosta, en el marco del Plan Departamental de Agua.</t>
  </si>
  <si>
    <r>
      <rPr>
        <b/>
        <sz val="10"/>
        <rFont val="Arial Narrow"/>
        <family val="2"/>
      </rPr>
      <t>REZAGO 2020</t>
    </r>
    <r>
      <rPr>
        <sz val="10"/>
        <rFont val="Arial Narrow"/>
        <family val="2"/>
      </rPr>
      <t xml:space="preserve">: Se ejecutó el  Contrato 363 de 2020 con el cual se da cumplimiento al 100% de la meta programada. </t>
    </r>
  </si>
  <si>
    <t xml:space="preserve">A corte 31 de diciembre de  2021, se realizó la canalizacion de 273 ml del arroyo el Salao, lo cual representa un 91% de los 300 ml programados como meta para la vigencia a traves del Contrato N°0000367 del 22 de diciembre de 2014 cuyo objeto es “Realizar la construcción de la canalización para la recuperación paisajística y ambiental del arroyo el Salao, ubicado en el municipio de Soledad, Departamento del Atlántico”.  </t>
  </si>
  <si>
    <t>Se realizó informe de seguimiento a las obras establecidas en el proyecto “Realizar la construcción de la canalización para la recuperación paisajística y ambiental del arroyo El Salao ubicado en el municipio de Soledad, Departamento del Atlántico”, correspondiente al Contrato N°0000367 del 22 de diciembre de 2014, dando cumplimiento a la meta programada de Un (1) Informe anual de seguimiento a las Condiciones ambientales del Arroyo Salao.</t>
  </si>
  <si>
    <t>La Corporación dio cumplimiento al 100% de la meta elaborando el informe de seguimiento a las obras de canalización de los arroyos del Distrito de Barranquilla establecidas en el marco del Convenio No. 031 de 2016 entre la Corporación Autónoma Regional del Atlántico y la Alcaldía Distrital de Barranquilla.</t>
  </si>
  <si>
    <t>A 31 de diciembre de 2021 la meta registra un avance del 5% con la suscripción del Contrato No. 0000305 del 28 de diciembre del 2021 cuyo objeto es:  “Realizar las obras de mantenimiento y adecuación de las naves de producción del vivero ARMANDO DUGAND GNECCO ubicado en el municipio de Repelon, a fin de fortalecer técnica y ambientalmente el vivero para la producción, acopio y distribución de plantulas con fines de restauración y recuperacion de suelos”, al cierre de la vigencia el Contrato se encontraba a la espera del cumplimiento de requisitos para dar inicio y ser ejecutado durante la vigencia 2022.</t>
  </si>
  <si>
    <t xml:space="preserve">Con la ejecución de actividades desarrolladas en marco del Contrato No. 0000261 de 2021 cuyo objeto es “Prestación de servicios profesionales y de apoyo a la gestión para desarrollar un programa comunitario de medida de adaptacion al cambio climatico basado en la proteccion de las zonas abastecedora del recurso hidrico como ecosistemas estrategicos y en cumplimiento a las acciones de manejo del POMIUAC- Río Magdalena” se da cumplimiento a la meta de una medida de adaptación al cambio climatico implementada a traves de la ejecución del programa comunitario con la realización de capacitaciones y talleres en el municipio de Juan de Acosta. </t>
  </si>
  <si>
    <r>
      <rPr>
        <b/>
        <sz val="10"/>
        <rFont val="Arial Narrow"/>
        <family val="2"/>
      </rPr>
      <t xml:space="preserve">REZAGO 2020: </t>
    </r>
    <r>
      <rPr>
        <sz val="10"/>
        <rFont val="Arial Narrow"/>
        <family val="2"/>
      </rPr>
      <t>Se ejecutó Contrato No. 351 del 2020 con el cual se da cumplimiento a la meta programada para dicha vigencia.</t>
    </r>
  </si>
  <si>
    <t xml:space="preserve">En el marco del Contrato No. 0000148 de 2021, cuyo objeto es “Desarrollar una estrategia de educación sobre el control de dos (02) especies invasoras y exóticas, la conservación y uso sostenible de especies amenazadas y priorizadas en el plan de acción 2020-2023, a través de la sensibilización ambiental.”  se logró brindar a las comunidades del departamento del Atlántico información sobre las especies exóticas e invasoras presentes en el territorio, las cuales corresponden al Caracol Gigante Africano y el Neem, y entregar a los habitantes del Atlántico, como parte del plan de contingencias, una serie de orientaciones técnicas para el manejo y control de estas dos (02) especies exóticas e invasoras identificadas. </t>
  </si>
  <si>
    <t>En el marco del Contrato No. 00000148 de 2021, se adelantaron acciones de apoyo para el desarrollo de dos (2) proyectos comunitarios para la conservación y uso sostenible de especies amenazadas priorizadas para el departamento del Atlántico, a través del acompañamiento a la Corporación y a los participantes en la elaboración del proyecto, dando cumplimiento a la meta establecida de 2 proyectos durante la vigencia los cuales se encuentran discriminadas en el informe.</t>
  </si>
  <si>
    <r>
      <rPr>
        <b/>
        <sz val="10"/>
        <rFont val="Arial Narrow"/>
        <family val="2"/>
      </rPr>
      <t>REZAGO 2020</t>
    </r>
    <r>
      <rPr>
        <sz val="10"/>
        <rFont val="Arial Narrow"/>
        <family val="2"/>
      </rPr>
      <t>: Se ejecutó Contrato No. 364 del 2020 con el cual se da cumplimiento a la meta programada para dicha vigencia.</t>
    </r>
  </si>
  <si>
    <r>
      <rPr>
        <b/>
        <sz val="10"/>
        <rFont val="Arial Narrow"/>
        <family val="2"/>
      </rPr>
      <t>REZAGO 2020:</t>
    </r>
    <r>
      <rPr>
        <sz val="10"/>
        <rFont val="Arial Narrow"/>
        <family val="2"/>
      </rPr>
      <t xml:space="preserve"> Se ejecutó Contrato No. 351 del 2020 con el cual se da cumplimiento a la meta programada para dicha vigencia.</t>
    </r>
  </si>
  <si>
    <t>Teniendo en cuenta que para la vigencia 2021, se tiene como meta  realizar una (1) acción  de manejo para la adopción e implementación de la Unidad Ambiental Costera, esta se cumplió en un 100% con  una jornada de capacitación sobre la Consulta Previa de este tipo de instrumentos de ordenación, realizada por la Subdirección de Consulta Previa del Ministerio del Interior, la cual se llevó a cabo el día 23 de abril de 2021, organizada por la Corporación Autónoma Regional del Magdalena – CORPAMAG y dirigida a los miembros de la UAC RIO MAGDALENA y de la UAC VERTIENTE NORTE.</t>
  </si>
  <si>
    <t xml:space="preserve">La meta no presenta avances al 31 de diciembre de 2021. Para lograr el cumplimiento de la misma, la Corporación se encuentra revisando la información existente, con el objetivo de estructurar los Estudios Previos y Proyectos de Pliegos que permitan la contratación, a través de un proceso de selección objetiva de mínima cuantía, de un contratista con experiencia para desarrollar las actividades requeridas en el cumplimiento de la meta trazada. </t>
  </si>
  <si>
    <r>
      <rPr>
        <b/>
        <sz val="10"/>
        <rFont val="Arial Narrow"/>
        <family val="2"/>
      </rPr>
      <t xml:space="preserve">VIGENCIA 2021: </t>
    </r>
    <r>
      <rPr>
        <sz val="10"/>
        <rFont val="Arial Narrow"/>
        <family val="2"/>
      </rPr>
      <t xml:space="preserve">Los 2 Planes de Manejo Ambiental de las Áreas Protegidas del Departamento que serán actualizados para el cumplimiento del indicador, corresponden a DRMI Luriza y El Palomar. Con las actividades desarrolladas para lograr la actualización del PMA del Distrito de Manejo Integrado del DMI Luriza, la meta presenta un avance del 25% al cierre del presente informe. 
Las anteriores acciones se desarrollan de conformidad con el convenio marco suscrito con SIRAP CARIBE el pasado 15 de mayo de 2020, el cual se encuentra vigente a la fecha.
</t>
    </r>
    <r>
      <rPr>
        <b/>
        <sz val="10"/>
        <rFont val="Arial Narrow"/>
        <family val="2"/>
      </rPr>
      <t>REZAGO2020:</t>
    </r>
    <r>
      <rPr>
        <sz val="10"/>
        <rFont val="Arial Narrow"/>
        <family val="2"/>
      </rPr>
      <t xml:space="preserve"> A través del Contrato No. 00351 de 2020 cuyo objeto es "Desarrollar e implementar acciones de conservación y Uso sostenible de especies amenazadas y, priorizadas en el Departamento del Atlántico, así como una estrategia de educación y control de las especies invasoras y exóticas, a través de la sensibilización ambiental"  se actualizó el PMA de la Reserva Forestal protectora El Palomar, cumpliendo con la meta programada para la vigencia 2020.</t>
    </r>
  </si>
  <si>
    <t>La acción estratégica 2.3.1.3 correspondiente al Programa 2.3.1: Áreas Protegidas no se tenía programada meta física para la anualidad; sin embargo, se hizo necesario implementar el Acuerdo 04 del SIRAP CARIBE y apoyar la implementación de los Sistemas de Áreas Protegidas en el marco de los acuerdos vigentes del SIRAP CARIBE y en el marco del Plan Operativo 2020-2021 - Convenio marco 001 de 2020, a través de la secretaría ejecutiva del SIRAP, por tal razón la Corporación debió asignar recursos en esta acción estratégica. Se atienden las recomendaciones del Ministerio para hacer los ajustes necesarios, teniendo en cuenta que los seguimientos deben realizarse con suficiente antelación y poder solicitar los ajustes que sean del caso</t>
  </si>
  <si>
    <t>2.3.1.7. Formular e implementar actividades de protección y recuperación de las zonas de acuiferos ubicadas en las áreas protegidas, para prevenir y mitigar el impacto negativo en el recurso hídrico</t>
  </si>
  <si>
    <r>
      <t>En el marco del Contrato No. 0000155 de 2021 cuyo objeto es: “Desarrollar un programa de educación ambiental que influya en la reducción de procesos de transformación y pérdida de ecosistemas especialmente influenciados por el cambio climático en las áreas protegidas del Departamento del Atlántico”</t>
    </r>
    <r>
      <rPr>
        <b/>
        <sz val="10"/>
        <rFont val="Arial Narrow"/>
        <family val="2"/>
      </rPr>
      <t xml:space="preserve">  se da cumplimiento a la meta  con la intervención de las fuentes hidricas en Piojo, Repelón y Usiacurí.</t>
    </r>
    <r>
      <rPr>
        <sz val="10"/>
        <rFont val="Arial Narrow"/>
        <family val="2"/>
      </rPr>
      <t xml:space="preserve">
Al cierre del informe se vienen realizando acciones de sensibilización a poblaciones de los municipios de Usiacurí, Piojo Repelón y actores claves en la conservación de áreas estratégicas ambientales.</t>
    </r>
  </si>
  <si>
    <t>Dentro de las acciones de reducción del riesgo de desastre y articulados con las acciones de conservación del bosque seco del Departamento se requiere contar con protocolos que permitan atender efectivamente cualquier en las  areas protegidas, para contr con dichos protocolos, en marco del Contrato No. 0000154 del 30 de marzo del 2021. La Corporación implementó  protocolos para la atención de incendios en cobertura vegetal en áreas protegidas del departamento, ubicadas particularmente en el municipio de Piojó ( El Palomar y Los Charcones), a través de la elaboración y socialización de dos protocolos, dando cumplimiento al 100% de la meta programada para la vigencia 2021.</t>
  </si>
  <si>
    <t xml:space="preserve">A 31 de diciembre del 2021 la meta logró su cumplimiento al 100%. Las acciones adelantadas han permitido posicionar los negocios verdes como un nuevo renglón de la economía regional. 
Las acciones que permitieron el logro de la meta se han desarrollado en marco del convenio No.004 de 2021 Suscrito con la Alianza Colombiana de Instituciones Públicas de Educación Superior - RED SUMMA. </t>
  </si>
  <si>
    <t xml:space="preserve">Producto del proceso de verificación a través de la realización de visitas técnicas realizadas entre la CRA y el Ministerio y acuerdo con el cumplimento de los criterios de selección para que puedan ser avalados como Negocios Verdes, los siguientes 27 Negocios cumplieron con los requisitos exigidos para poder ser un negocio avalado por la autoridad CRA, con corte a diciembre de 2021, en apoyo con la oficina de negocios verdes del Ministerio de Ambiente y Desarrollo Sostenible. </t>
  </si>
  <si>
    <t xml:space="preserve">La Subdirección de Gestión Ambiental, al cierre de la vigencia 2021 adelantó el proceso de planificación para realizar la Feria de negocios verdes, éstas actividades  se llevaron  a cabo durante la vigencia para ser presentada en el centro Comercial Buenavista 2 de la ciudad de Barranquilla, como una estrategia de promoción, divulgación y realización de Negocios Verdes en el Departamento del Atlántico, la feria se desarrolló en el marco del Convenio 004 de 2021 suscrito con la alianza colombiana de instituciones públicas de educación superior - RED SUMMA. </t>
  </si>
  <si>
    <t>En el marco del Convenio No. 004 del 2021, suscrito con la Alianza Colombiana de Instituciones Públicas de Educación Superior - RED SUMMA, se realizarán las gestiones necesarias para la celebración de Convenios de Cooperación o alianzas con el sector público o privado nacional o internacional que permita fortalecer la oferta de asistencia técnica y de marketing de los Negocios Verdes existentes en el departamento del Atlántico. 
En tal sentido, la meta de establecer un (1) convenio en la vigencia 2021 tuvo cumplimiento del 100%.</t>
  </si>
  <si>
    <t xml:space="preserve">La corporación, dentro del marco del programa de bolsa verde, a pesar de no contar con el respectivo operador del programa, ha avanzado en el desarrollo de las estrategias contempladas en uno de los proyectos priorizados relacionados con bosque seco, para lo cual aprobó la compra de aproximadamente 62 ha. en el área protegida El Palomar y dentro de la misma, la acción de restauración del área a través de la compensación aprobada a la empresa amarillo, de lo cual se hizo entrega formal por parte de dicha empresa y el respectivo seguimiento para la vigencia 2021, lo que nos ha permitido determinar la eficacia del diseño propuesto en el marco de Bolsa Verde. </t>
  </si>
  <si>
    <t xml:space="preserve">La meta tuvo a 31 de diciembre de 2021 un avance del 20%, representado en actividades desarrolladas a lo largo de la vigencia. Brindamos asistencia técnica mediante reuniones virtuales, correos electrónicos y talleres presenciales, en cuanto a la construcción del PMEA a los 22 CIDEA.
Cuentan con diagnóstico en fase de construcción avanzada:  los CIDEA de Piojó, Malambo, Ponedera, Usiacurí y Candelaria. </t>
  </si>
  <si>
    <t>La meta tiene a diciembre 31 de 2021 un avance del 20%, representado en las siguientes actividades.
Participación del Foro “MALAMBO, CONSTRUYENDO CIUDAD VERDE”: desarrollado por el CIDEA de Malambo el 27 de abril de 2021, se presentó una ponencia titulada “Moral y Cuidado de la Tierra”, Cuyo objetivo fue “dar una mirada sobre las “luces” que aporta la Educación Ambiental para entender cómo influye la moral en el cuidado de la Tierra”.</t>
  </si>
  <si>
    <t xml:space="preserve">Con las actividades desarrolladas en la vigencia 2021 cumplimos con el 100% de la meta programada.
Se presentaron los avances para la construcción del Plan Departamental de Educación Ambiental para el Atlántico en reunión del CIDEA departamental, realizada el día 03 de marzo de 2021 en el marco de la construcción del Plan Decenal de Educación Ambiental-PDEA. </t>
  </si>
  <si>
    <r>
      <rPr>
        <b/>
        <sz val="10"/>
        <rFont val="Arial Narrow"/>
        <family val="2"/>
      </rPr>
      <t xml:space="preserve">VIGENCIA 2021: </t>
    </r>
    <r>
      <rPr>
        <sz val="10"/>
        <rFont val="Arial Narrow"/>
        <family val="2"/>
      </rPr>
      <t xml:space="preserve"> A través del Convenio No.003 del 2021  celebrado para aunar esfuerzos administrativos, técnicos y financieros a fin de fortalecer la inclusión de la dimensión ambiental en la educación formal y la estrategia de economía circular en el departamento del Atlántico, la CRA brindó asistencia técnica a 65 PRAE; dando cumplimiento al 100% de la meta programada para la vigencia 2021 (50 PRAE).
</t>
    </r>
    <r>
      <rPr>
        <b/>
        <sz val="10"/>
        <rFont val="Arial Narrow"/>
        <family val="2"/>
      </rPr>
      <t>REZAGO 2020:</t>
    </r>
    <r>
      <rPr>
        <sz val="10"/>
        <rFont val="Arial Narrow"/>
        <family val="2"/>
      </rPr>
      <t xml:space="preserve"> Se cumple el 100% del rezago de la vigencia 2020 con la asistencia técnica a 15 PRAE, a traves del convenio antes mencionado.
</t>
    </r>
  </si>
  <si>
    <r>
      <rPr>
        <b/>
        <sz val="10"/>
        <rFont val="Arial Narrow"/>
        <family val="2"/>
      </rPr>
      <t xml:space="preserve">VIGENCIA 2021: </t>
    </r>
    <r>
      <rPr>
        <sz val="10"/>
        <rFont val="Arial Narrow"/>
        <family val="2"/>
      </rPr>
      <t xml:space="preserve">A través del Convenio No.003 del 2021  celebrado para aunar esfuerzos administrativos, técnicos y financieros a fin de fortalecer la inclusión de la dimensión ambiental en la educación formal y la estrategia de economía circular en el departamento del Atlántico, la Corporación fortaleció veinticinco (25) Semilleros de Investigación, Grupos Ecológicos o Clubes de Ciencia y dinamizadores ambientales en los municipios del departamento del Atlántico, de los cuales, veinte (20) semilleros corresponden a la vigencia 2021.
</t>
    </r>
    <r>
      <rPr>
        <b/>
        <sz val="10"/>
        <rFont val="Arial Narrow"/>
        <family val="2"/>
      </rPr>
      <t xml:space="preserve">REZAGO 2020: </t>
    </r>
    <r>
      <rPr>
        <sz val="10"/>
        <rFont val="Arial Narrow"/>
        <family val="2"/>
      </rPr>
      <t xml:space="preserve">Se cumple el 100% del rezago  con el fortalecimiento de  cinco (5) semilleros de investigación descrito anteriormente en el Convenio 003. </t>
    </r>
  </si>
  <si>
    <t>En alianza con la Uniminuto, la CRA viene participando en el grupo de reflexión curricular, en la planeación de competencias, del futuro profesional en psicología, para el afianzamiento de conductas acordes con el desarrollo ambiental, la educación y la construcción sostenible, de acuerdo con las políticas nacionales e internacionales vigentes. 
Con la acción realizada, la meta se cumplió en el 100% para la vigencia 2021</t>
  </si>
  <si>
    <t>En marco del convenio No.003 del 2021 celebrado para Aunar esfuerzos administrativos, técnicos y financieros a fin de fortalecer la inclusión de la dimensión ambiental en la educación formal y la estrategia de economía circular en el departamento del Atlántico, se llevó a cabo una investigación que nos permitiera conocer el estado del arte de la educación ambiental en el departamento del Atlántico.</t>
  </si>
  <si>
    <r>
      <rPr>
        <b/>
        <sz val="10"/>
        <rFont val="Arial Narrow"/>
        <family val="2"/>
      </rPr>
      <t>VIGENCIA 2021</t>
    </r>
    <r>
      <rPr>
        <sz val="10"/>
        <rFont val="Arial Narrow"/>
        <family val="2"/>
      </rPr>
      <t xml:space="preserve">: A través del Contrato No. 00153 del 30 de marzo del 2021 cuyo objeto es: Prestación de servicios profesionales y de apoyo a la gestión para desarrollar un programa de sensibilización para fortalecer en la comunidad el conocimiento ambiental sobre el departamento del Atlántico, a través de estrategias de comunicación, educación ambiental y del acompañamiento apoyo a los PROCEDA, apoyamos e implementamos 15 Proyectos Ciudadanos de Educación Ambiental en el Departamento, de los cuales 10 corresponden a la vigencia 2021 y  para </t>
    </r>
    <r>
      <rPr>
        <b/>
        <sz val="10"/>
        <rFont val="Arial Narrow"/>
        <family val="2"/>
      </rPr>
      <t>REZAGO 2020</t>
    </r>
    <r>
      <rPr>
        <sz val="10"/>
        <rFont val="Arial Narrow"/>
        <family val="2"/>
      </rPr>
      <t xml:space="preserve">  corresponden 5 proyectos dando cumplimientoal 100% de este.</t>
    </r>
  </si>
  <si>
    <t>Con las actividades desarrolladas a través del Contrato No.151 del 29 de marzo del 2021, cuyo objeto contractual es : “Prestación de servicios profesionales de apoyo a la gestión para desarrollar un programa de formación ciudadana alrededor de liderazgos con capacidad técnica para orientar procesos participativos en función de alcanzar los niveles de sostenibilidad y resiliencia en las comunidades rurales y urbanas del departamento del Atlántico, propuesto en el Plan de Acción Institucional de la CRA” se dio cumplimiento al 100% de la meta establecida para la vigencia 2021.</t>
  </si>
  <si>
    <r>
      <rPr>
        <b/>
        <sz val="10"/>
        <rFont val="Arial Narrow"/>
        <family val="2"/>
      </rPr>
      <t xml:space="preserve">VIGENCIA 2021: </t>
    </r>
    <r>
      <rPr>
        <sz val="10"/>
        <rFont val="Arial Narrow"/>
        <family val="2"/>
      </rPr>
      <t xml:space="preserve">Para dar cumplimiento a la meta de apoyar la implementación de dos (2) proyectos sobre gestión del riesgo propuestos por los CMGR, la Corporación celebró el contrato No.152 del 30 de marzo del 2021 cuyo objeto es: Prestación de servicios profesionales y de apoyo a la gestión para desarrollar estrategias educativas ambientales para la construcción de una cultura de prevención y gestión del riesgo en instituciones educativas oficiales del departamento, así como el apoyo a los proyectos propuestos por los CMGR. En marco del contrato señalado, se construyó una base de datos de los consejos municipales de Gestión del Riesgo de municipios del Atlántico. No se logró el cumplimiento de la meta; sin embargo, al cierre del informe de gestión se tiene un avance del 80% de la misma, a la cual se dará cumplimiento en el primer semestre de la siguiente vigencia.
</t>
    </r>
    <r>
      <rPr>
        <b/>
        <sz val="10"/>
        <rFont val="Arial Narrow"/>
        <family val="2"/>
      </rPr>
      <t>REZAGO 2020:</t>
    </r>
    <r>
      <rPr>
        <sz val="10"/>
        <rFont val="Arial Narrow"/>
        <family val="2"/>
      </rPr>
      <t xml:space="preserve"> La meta programada para la vigencia 2020 no presenta avances dado que presupuestalmente no ha sido posible la contratación que permita dar cumplimiento a la misma. Se considerará la posibilidad de reprogramar la meta .</t>
    </r>
  </si>
  <si>
    <t>La meta programada para la vigencia 2021 tuvo cumplimiento del 100%. El apoyo a las 73 instituciones educativas en la formulación y/o actualización de los PEGR se logró en marco del Contrato N°152 del 30 de marzo del 2021 cuyo objeto es: Prestación de servicios profesionales y de apoyo a la gestión para desarrollar estrategias educativas ambientales para la construcción de una cultura de prevención y gestión del riesgo en instituciones educativas oficiales del departamento, así como el apoyo a los proyectos propuestos por los CMGR.</t>
  </si>
  <si>
    <t>En la vigencia 2021, la meta tuvo cumplimiento del 100% de talleres de capacitación realizados, relacionados con temas ambientales, solicitados en el departamento. 
Atendimos la totalidad de la demanda de talleres de capacitación presentadas por parte de la comunidad, para ello desarrollamos 33 talleres en los temas: Manejo de residuos sólidos ordinarios, emisiones atmosféricas, biodiversidad, caracol africano, logrando capacitar a 815 personas.</t>
  </si>
  <si>
    <t>A diciembre 31 de la vigencia 2021, con la ejecución del Contrato No.190 del 21 de mayo del 2021 cuyo objeto contractual es: “Prestacion de servicios profesionales y de apoyo a la gestion, para, formar agentes ambientales en las comunidades seleccionadas de los municipios de galapa, suan y juan de acosta en la conservación de la biodiversidad desde su aporte local, como una herramienta de conciencia cultural, social y ambiental”, la meta tuvo cumplimiento del 100%.
En marco del Contrato se desarrollaron diez (10) jornadas pedagógicas dirigidas a 150 miembros de las comunidades previamente seleccionadas de los municipios de Galapa, Suan y Juan de Acosta.</t>
  </si>
  <si>
    <t>Con la implementación de siete (7) proyectos educativo ambientales, la meta tuvo cumplimiento del 100%. 
Para el logro de los objetivos trazados, la Corporación Autónoma Regional del Atlántico, celebró el Contrato N° 151 de 2021 cuyo objeto contractual fue: “Prestación de servicios profesionales de apoyo a la gestión para desarrollar un programa de formación ciudadana alrededor de liderazgos con capacidad técnica para orientar procesos participativos en función de alcanzar los niveles de sostenibilidad y resiliencia en las comunidades rurales y urbanas del departamento del Atlántico, propuesto en el Plan de Acción Institucional de la CRA.”.</t>
  </si>
  <si>
    <t>Producto de los talleres teórico prácticos, desarrollados a través de la Primera Escuela Regional de Liderazgo Ambiental, en marco del Contrato N° 151 de 2021 cuyo objeto contractual es: “Prestación de servicios profesionales de apoyo a la gestión para desarrollar un programa de formación ciudadana alrededor de liderazgos con capacidad técnica para orientar procesos participativos en función de alcanzar los niveles de sostenibilidad y resiliencia en las comunidades rurales y urbanas del departamento del Atlántico, propuesto en el Plan de Acción Institucional de la CRA.”, realizamos una feria ambiental con experiencias exitosas en la implementación de los ODS municipales, brindando la oportunidad a los participantes, de mostrar sus iniciativas, capacidades, productos, innovaciones y creatividad sobre estilos de vida biosociales y amigables con el medio ambiente, cumpliendo así la meta programada en un 100%.</t>
  </si>
  <si>
    <t>Podemos decir que, existe seguridad alimentaria cuando las personas tenemos permanentemente acceso físico y económico a suficientes alimentos para satisfacer nuestras necesidades alimenticias, a fin de llevar una vida activa y sana.
A través del Contrato N° 154 del 30 de marzo del  2021, cuyo objeto contractual es: “Prestación de servicios profesionales y de apoyo a la gestión para promover espacios para la participación ciudadana en la gestión ambiental que permitan sensibilizar al ciudadano en la conservación de los ecosistemas de su entorno asociados a su bienestar social y económico”, se dio cumplimiento al 100% de la meta a diciembre 31 de 2021.</t>
  </si>
  <si>
    <t>Con el desarrollo de una (1) estrategia de comunicación y cultura ciudadana sobre separación en la fuente la meta se cumplió en el 100% en la vigencia 2021.
Lo anterior se logró con la ejecución del Contrato N. 00153 del 30 de marzo del 2021 cuyo objeto es: Prestación de servicios profesionales y de apoyo a la gestión para desarrollar un programa de sensibilización para fortalecer en la comunidad el conocimiento ambiental sobre el departamento del Atlántico, a través de estrategias de comunicación, educación ambiental y del acompañamiento apoyo a los PROCEDA.</t>
  </si>
  <si>
    <t xml:space="preserve">La meta tuvo cumplimiento del 100%, ello fue posible a que en marco del Contrato N. 00153 del 30 de marzo del 2021 cuyo objeto es: Prestación de servicios profesionales y de apoyo a la gestión para desarrollar un programa de sensibilización para fortalecer en la comunidad el conocimiento ambiental sobre el departamento del Atlántico, a través de estrategias de comunicación, educación ambiental y del acompañamiento apoyo a los PROCEDA se realizó un concurso de fotografía digital y video de tipo ambiental, abierto, en el que se evidenciaron acciones de mitigación y/o adaptación al cambio climático tanto por la biodiversidad como los seres humanos y/o las potencialidades de los ecosistemas del Departamento. 
En el concurso fueron inscritas 157 fotografías, para lo cual se realizó la exposición de éstas en un Centro comercial de la ciudad de Barranquilla, con gran afluencia de público desde el día 24 de septiembre de 2021 hasta el día 9 de octubre del 2021. </t>
  </si>
  <si>
    <t>La meta tuvo cumplimiento del 100% a 31 de diciembre de 2021, las actividades que permitieron el logro de la meta se desarrollaron en marco del Contrato N. 00153 del 30 de marzo del 2021 cuyo objeto es: Prestación de servicios profesionales y de apoyo a la gestión para desarrollar un programa de sensibilización para fortalecer en la comunidad el conocimiento ambiental sobre el departamento del Atlántico, a través de estrategias de comunicación, educación ambiental y del acompañamiento apoyo a los PROCEDA.
Se desarrolló una campaña de cultura ciudadana sobre separación en la fuente de los residuos sólidos y RAEE. La campaña de recolección de residuos posconsumo peligrosos, especiales y RAEE., se realizó en 10 municipios: Soledad (1 de octubre), Sabanagrande (21 de septiembre), Santo Tomás (22 de septiembre), Palmar de Varela (29 de septiembre), Ponedera (24 de septiembre), Puerto Colombia (25 de septiembre), Tubará (23 de septiembre), Galapa (27 de septiembre), Baranoa (28 de septiembre) y Sabanalarga (30 de septiembre).</t>
  </si>
  <si>
    <t xml:space="preserve">Con la ejecución del Contrato N. 00153 del 30 de marzo del 2021 cuyo objeto es: Prestación de servicios profesionales y de apoyo a la gestión para desarrollar un programa de sensibilización para fortalecer en la comunidad el conocimiento ambiental sobre el departamento del Atlántico, a través de estrategias de comunicación, educación ambiental y del acompañamiento apoyo a los PROCEDA.  La meta se cumplió al 100% durante la vigencia 2021.
Se realizaron dos (2) webinarios, los días 12 y 13 de agosto de 2021 como preámbulo del concurso de fotografía ambiental, cuyas temáticas fueron: 
1.	Fotografía ambiental: https://www.youtube.com/watch?v=swAwZdY_K8s&amp;t=667s  
2.	Potencialidades ambientales del Atlántico y su adaptación al cambio climático: https://www.youtube.com/watch?v=XWJ9pNTWhsw&amp;t=13s  </t>
  </si>
  <si>
    <t>Las actividades planteadas para dar cumplimiento a la meta se desarrollaron favorablemente logrando un cumpimiento del 100% de la misma en la vigencia 2021.
Se promovió un espacio departamental de socialización en el cual se presentaron los resultados de las actividades realizadas por cada uno de los Proyectos Ciudadanos de Educación Ambiental -PROCEDA, que permitió el intercambio de experiencias durante el I Encuentro de Departamental de PROCEDAS. 
En el evento se presentaron representantes de cada Proyecto, quienes tuvieron un espacio para mostrar su iniciativa y la experiencia en la realización del mismo. El evento fue realizado el día 14 de octubre del 2021 en la ciudad de Barranquilla.</t>
  </si>
  <si>
    <t>La Corporación, en cabeza del Director General asistió al evento Comisión Regional de Educación Ambiental del Caribe e Insular -CREACI realizado el día 16 de julio de 2021 en Coveñas, Sucre, y participó en el conversatorio: “La experiencia en educación ambiental de las CAR/CDS del Caribe; una aproximación constructiva hacia el futuro de territorio”. cuyo objetivo es implementar estrategias de trabajo conjunto y articulado en el fortalecimiento de la educación ambiental en la Región Caribe.
Con estas participaciones se cumplió el 100% de la meta programada para la vigencia 2021.</t>
  </si>
  <si>
    <r>
      <rPr>
        <b/>
        <sz val="10"/>
        <rFont val="Arial Narrow"/>
        <family val="2"/>
      </rPr>
      <t>VIGENCIA 2021 y REZAGO 2020</t>
    </r>
    <r>
      <rPr>
        <sz val="10"/>
        <rFont val="Arial Narrow"/>
        <family val="2"/>
      </rPr>
      <t>: En marco del Contrato N°0149 del 29 de marzo del 2021, cuyo objeto es: Prestación de servicios profesionales y de apoyo a la gestión para desarrollar una estrategia de educación ambiental para el fortalecimiento a los jóvenes indígenas, Room y NARP del departamento del Atlántico, en el rescate de su cultura ancestral ambiental, así como fomentar el desarrollo integral en la función de la mujer como dinamizadora ambiental. Con el contrato se dió cumplimiento a la meta de rezago de la vigencia 2020 y a la meta de la vigencia 2021 ejecutando los dos  (2) siguientes proyectos de  emprendimiento:
1. Comunidad NARP: Productos ancestrales derivados del millo, Fabricación de accesorios tejidos y bordados, Platos ancestrales de la yuca. 
2. Etnia indígena: Artesanías en tejido crochet, totumo y fusionadas, artesanías con los tejidos, acabados en totumo y otras variedades de productos propios, y gastronomía local como los pasteles de Pital de Megua.</t>
    </r>
  </si>
  <si>
    <r>
      <t xml:space="preserve">Con la ejecución del Contrato N°00149 del 29 de marzo del 2021 cuyo objeto es: Prestación de servicios profesionales y de apoyo a la gestión para desarrollar una estrategia de educación ambiental para el fortalecimiento a los jóvenes indígenas, Rrom y NARP del departamento del Atlántico, en el rescate de su cultura ancestral ambiental, así como fomentar el desarrollo integral en la función de la mujer como dinamizadora ambiental, se da cumplimiento a la meta de rezago 2020 y a la meta de la vigencia 2021.
</t>
    </r>
    <r>
      <rPr>
        <b/>
        <sz val="10"/>
        <rFont val="Arial Narrow"/>
        <family val="2"/>
      </rPr>
      <t>VIGENCIA 2021:</t>
    </r>
    <r>
      <rPr>
        <sz val="10"/>
        <rFont val="Arial Narrow"/>
        <family val="2"/>
      </rPr>
      <t xml:space="preserve"> Capacitación en Fauna y Flora orientada a la Gastronomía, Jóvenes NARP - Municipio de Palmar de Varela.
Como culminación del proceso de asesoramiento de los emprendimientos y unidades de negocio se desarrolló una feria en la cual se presentaron al público en general las unidades de negocios de los grupos de jóvenes indígenas, NARP y Rrom y los emprendimientos de los grupos de mujeres que participaron del proyecto.
</t>
    </r>
    <r>
      <rPr>
        <b/>
        <sz val="10"/>
        <rFont val="Arial Narrow"/>
        <family val="2"/>
      </rPr>
      <t xml:space="preserve">REZAGO 2020: </t>
    </r>
    <r>
      <rPr>
        <sz val="10"/>
        <rFont val="Arial Narrow"/>
        <family val="2"/>
      </rPr>
      <t xml:space="preserve">Capacitación en Fauna y Flora orientada a la Medicina Ancestral Jóvenes Indígenas - Municipio de Puerto Colombia.   
</t>
    </r>
  </si>
  <si>
    <r>
      <rPr>
        <b/>
        <sz val="10"/>
        <rFont val="Arial Narrow"/>
        <family val="2"/>
      </rPr>
      <t>VIGENCIA 2021 y REZAGO 2020:</t>
    </r>
    <r>
      <rPr>
        <sz val="10"/>
        <rFont val="Arial Narrow"/>
        <family val="2"/>
      </rPr>
      <t xml:space="preserve"> A través del Contrato N°00149 del 29 de marzo del 2021 cuyo objeto es: Prestación de servicios profesionales y de apoyo a la gestión para desarrollar una estrategia de educación ambiental para el fortalecimiento a los jóvenes indígenas, Rrom y NARP del departamento del Atlántico, en el rescate de su cultura ancestral ambiental, así como fomentar el desarrollo integral en la función de la mujer como dinamizadora ambiental, se desarrollaron acciones para el fortalecimiento de los saberes y prácticas tradicionales ambientales de las comunidades indígenas y ROM del departamento se da cumplimiento a las acciones programadas para la vigencia 2021 y de rezago 2020.
En marco del Contrato mencionado, desarrollamos capacitaciones en temas tales como: Fauna y flora orientadas a la medicina ancestral, manifestaciones culturales entre otras de rescate de la cultura de las etnias. </t>
    </r>
  </si>
  <si>
    <r>
      <rPr>
        <b/>
        <sz val="10"/>
        <rFont val="Arial Narrow"/>
        <family val="2"/>
      </rPr>
      <t>VIGENCIA 2021 y REZAGO 2020:</t>
    </r>
    <r>
      <rPr>
        <sz val="10"/>
        <rFont val="Arial Narrow"/>
        <family val="2"/>
      </rPr>
      <t xml:space="preserve"> Con capacitaciones dirigidas a 90 jóvenes NARP desarrolladas en tema de fauna y flora, medicina ancestral, rescate de la cultura de la etnia, en marco del Contrato N°0149 del 29 de marzo del 2021 cuyo objeto es: Prestación de servicios profesionales y de apoyo a la gestión para desarrollar una estrategia de educación ambiental para el fortalecimiento a los jóvenes indígenas, Rrom y NARP del departamento del Atlántico, en el rescate de su cultura ancestral ambiental, así como fomentar el desarrollo integral en la función de la mujer como dinamizadora ambiental se cumplió al 100%  la meta de la vigencia 2021 y rezago 2020 en un 100%
Las acciones para lograr los objetivos propuestos fueron desarrolladas con representantes de los siguientes municipios: Juan de Acosta, Piojó, Palmar de Varela, Polonuevo, Candelaria, Manatí. </t>
    </r>
  </si>
  <si>
    <r>
      <rPr>
        <b/>
        <sz val="10"/>
        <rFont val="Arial Narrow"/>
        <family val="2"/>
      </rPr>
      <t>VIGENCIA 2021 y REZAGO 2020:</t>
    </r>
    <r>
      <rPr>
        <sz val="10"/>
        <rFont val="Arial Narrow"/>
        <family val="2"/>
      </rPr>
      <t xml:space="preserve"> Las acciones se desarrollaron en marco del Contrato N°0149 del 29 de marzo del 2021 cuyo objeto es: Prestación de servicios profesionales y de apoyo a la gestión para desarrollar una estrategia de educación ambiental para el fortalecimiento a los jóvenes indígenas, Rrom y NARP del departamento del Atlántico, en el rescate de su cultura ancestral ambiental, así como fomentar el desarrollo integral en la función de la mujer como dinamizadora ambiental permitieron lograr el cumplimiento del rezago 2020 como la meta programada para la vigencia 2021. 
Para el cumplimiento de la meta se  desarrollaron las asesorías y apoyo a las iniciativas productivas surgidas desde las comunidades NARP del departamento del Atlántico; dichas iniciativas incluyen productos gastronómicos y artesanales, productos basados en las plantas y medicina ancestral natural como jabones, elaboración  y comercialización de productos cuyos principios activos son provenientes de plantas, cultivo, transformación y comercialización de plantas medicinales utilizadas para la medicina tradicional de uso externo (aceites, tinturas, jabones, ungüentos, talcos, planta) condimentos y la comida tradicional de las comunidades afros, elaboración de artesanías. Elaboración de dulces típicos, (yuca, ñame, papaya). gastronomía típica.
</t>
    </r>
  </si>
  <si>
    <t>Con la ejecución del Contrato No.151 del 29 de marzo del 2021, cuyo objeto contractual es : “Prestación de servicios profesionales de apoyo a la gestión para desarrollar un programa de formación ciudadana alrededor de liderazgos con capacidad técnica para orientar procesos participativos en función de alcanzar los niveles de sostenibilidad y resiliencia en las comunidades rurales y urbanas del departamento del Atlántico, propuesto en el Plan de Acción Institucional de la CRA”, creamos 23 comités municipales del medio ambiente dando cumplimiento al 100% de la meta establecida para la vigencia 2021.</t>
  </si>
  <si>
    <t>No aplica</t>
  </si>
  <si>
    <t>3.4.1.2. Capacitar y formar a los Guardianes del Medio Ambiente GUMA en los 22 municipios del Departamento del Atlántico.</t>
  </si>
  <si>
    <t>Con las actividades desarrolladas a través del Contrato No.151 del 29 de marzo del 2021, cuyo objeto contractual es : “Prestación de servicios profesionales de apoyo a la gestión para desarrollar un programa de formación ciudadana alrededor de liderazgos con capacidad técnica para orientar procesos participativos en función de alcanzar los niveles de sostenibilidad y resiliencia en las comunidades rurales y urbanas del departamento del Atlántico, propuesto en el Plan de Acción Institucional de la CRA” se dio cumplimiento al 100% de la meta establecida para la vigencia 2021.
En marco del Contrato, se creó la primera Escuela Regional de Liderazgo Ambiental, a través de la cual desarrollamos talleres teórico prácticos, formando a 70 jóvenes como Guardianes Ambientales del Medio Ambiente – GUMA.</t>
  </si>
  <si>
    <t xml:space="preserve">Con la celebración del Contrato No.151 del 29 de marzo del 2021, cuyo objeto contractual es: “Prestación de servicios profesionales de apoyo a la gestión para desarrollar un programa de formación ciudadana alrededor de liderazgos con capacidad técnica para orientar procesos participativos en función de alcanzar los niveles de sostenibilidad y resiliencia en las comunidades rurales y urbanas del departamento del Atlántico, propuesto en el Plan de Acción Institucional de la CRA”, se da cumplimiento al 100% de la meta establecida para la vigencia 2021.
El informe anual de seguimiento a los ODS quedó plasmado en el documento denominado: Informe de seguimiento hacia los ODS en el departamento del Atlántico, en éste, se registra el seguimiento a los ODS dentro del departamento del Atlántico, basado en las tendencias de cada uno de los indicadores disponibles en el Plan de Desarrollo Departamental 2016-2019 y los resultados frente a los indicadores y metas trazadas en el CONPES 3918. </t>
  </si>
  <si>
    <t>La meta no presentó avance físico en su ejecución, sin embargo, para el cumplimiento de esta meta la corporación suscribió el Convenio 0007 celebrado con la Universidad Simón Bolívar, cuyo alcance incluye implementar un proyecto de Producción Más Limpia -PML- para el fomento y fortalecimiento del desempeño y la eficiencia ambiental en una institución educativa pública priorizada del departamento del Atlántico. 
Se estableció el clausulado del mencionado convenio y el Plan de trabajo donde se detallan las actividades a realizar, incluyendo la implementación de Convenios de Producción más Limpia con los sectores de equipamiento urbano.  
Con la celebración del Contrato, la meta registra un avance del 5% en la vigencia 2021.</t>
  </si>
  <si>
    <t>Con la celebración del Convenio 0007 celebrado con la Universidad Simón Bolívar, el cual tiene por objeto: “aunar esfuerzos y recursos técnicos, jurídicos, administrativos y financieros para el desarrollo de un programa institucional que contribuya al fortalecimiento de la gestión e innovación ambiental sostenible de los recursos naturales del departamento del Atlántico”. Se impulsó un (1) proyecto para el aprovechamiento energético de biomasa agropecuaria en el Departamento del Atlántico.</t>
  </si>
  <si>
    <t xml:space="preserve">La meta presentó avance de un 5% con la celebración del Convenio 0007, celebrado con la Universidad Simón Bolívar, la Subdirección de Gestión Ambiental adelanta las acciones para desarrollar durante la vigencia 2022 el estudio de evaluación geoespacial para conocer el potencial de energía eólica en el Departamento del Atlántico. 
El Plan de trabajo incluye el apoyo para desarrollar un (1) estudio de evaluación geoespacial. </t>
  </si>
  <si>
    <t>Con las actividades desarrolladas para asesorar a los municipios en los procesos de revisión de sus instrumentos de planificación del desarrollo físico territorial, podemos indicar que al 31 de diciembre de 2021 la meta tuvo cumplimiento del 100%; lo que significa que, brindamos asesoría a los 23 municipios del departamento del Atlántico.</t>
  </si>
  <si>
    <t>A 31 de diciembre de 2021 la meta tuvo cumplimiento del 100%.
Con oficio N°000942 del 31 de marzo del 2021, se informa al Ministro de Ambiente y Desarrollo Sostenible sobre predios para proteger las fuentes hídricas abastecedoras de
los acueductos en el Departamento del Atlántico y Pagos por Servicios Ambientales.</t>
  </si>
  <si>
    <r>
      <rPr>
        <b/>
        <sz val="10"/>
        <rFont val="Arial Narrow"/>
        <family val="2"/>
      </rPr>
      <t>REZAGO 2020:</t>
    </r>
    <r>
      <rPr>
        <sz val="10"/>
        <rFont val="Arial Narrow"/>
        <family val="2"/>
      </rPr>
      <t xml:space="preserve"> Se cumplió la meta en rezago en marco del Contrato N°375 de 2020, cuyo objeto es: “Elaborar el plan de manejo de la ciénaga de mallorquin y la actualización de los estudios para el manejo integrado de los manglares del departamento del Atlántico en cumplimiento de lo establecido en el Plan de Acción Institucional 2020-2023”, la meta tuvo cumplimiento del 100% en la vigencia 2021 para la meta programada en el 2020.</t>
    </r>
  </si>
  <si>
    <t xml:space="preserve">Mediante la ejecución de los Contratos 189 de 2021 cuyo objeto es:  Compra de kits didácticos ambientales para sensibilizar a las comunidades seleccionadas de los municipios de Galapa, Suan y Juan de Acosta en la conservación de la biodiversidad desde su aporte local, como una herramienta de conciencia cultural, social y ambiental.    y 190 de 2021 cuyo objeto es: Prestación de servicios profesionales y de apoyo a la gestión, para, formar agentes ambientales en las comunidades seleccionadas de los municipios de Galapa, Suan y Juan de Acosta en la conservación de la biodiversidad desde su aporte local, como una herramienta de conciencia cultural, social y ambiental”, se logró el cumplimiento del 100% de la meta, a través del desarrollo de acciones orientadas a implementar la Política Integral del Salud Ambiental en la jurisdicción de la CRA. 
En marco de los Contratos se realizaron las siguientes actividades durante la vigencia 2021:  
•	Diez (10) talleres dirigidos a miembros de las comunidades previamente seleccionadas de los municipios de Galapa, Suan y Juan de Acosta para la formación de ciento cincuenta (150) Agentes Ambientales Municipales. 
•	Suministro de los implementos necesarios (kits didácticos ambientales) para la formación de agentes ambientales y agentes ambientales municipales. </t>
  </si>
  <si>
    <t xml:space="preserve">En la vigencia 2021 se efectuó visita de seguimiento y control ambiental a las estaciones del Sistema de Vigilancia de la Calidad del Aire-SVCA en jurisdicción de la Corporación Autónoma Regional del Atlántico-CRA, verificando que se encuentran en operación seis (6) estaciones con reporte de datos meteorológicos, de las ocho (8) estaciones con las que cuenta la Corporación, logrando un cumplimiento del 75% de la meta programada. </t>
  </si>
  <si>
    <t xml:space="preserve">Durante la vigencia 2021, la Corporación realizó adecuaciones para la implementación de la plataforma SARA CLOUD (https://monitoreo.gndelectronics.com/accounts/signin/) en las estaciones PIMSA (Malambo), Tránsito (Malambo), Granabastos (Soledad), EDUMAS (Soledad), Alcaldía (Puerto Colombia) y Bomberos (Puerto Colombia), para el reporte en línea de los datos meteorológicos; sin embargo no se logró los objetivos de reportes del informe SISAIRE debido a la ausencia de datos de parámetros de contaminantes atmosféricos objeto. </t>
  </si>
  <si>
    <t>El cumplimiento de este indiciador está sujeto a la capacitación del personal en la Norma Técnica Colombiana NTC ISO 17025:2019. 
A través de la Subdirección de Gestión Ambiental, se realizará para la vigencia 2022 la contratación y ejecución de actividades para la acreditación por  el IDEAM, del  Sistema  de Vigilancia  de  la  Calidad  del  Aire  Acreditado y en operación con  NTC  ISO  17025  
Al corte de diciembre 31 de 2021 no se registran avances en la meta.</t>
  </si>
  <si>
    <t>Las acciones desarrolladas al 31 de Diciembre de 2021  representan un avance del 68% en la vigencia, asociadas a seguimiento y evaluación ambiental las cuales se describen en el informe.</t>
  </si>
  <si>
    <t xml:space="preserve">La Subdirección de Gestión Ambiental, en el marco del Convenio 0007 celebrado con la Universidad Simón Bolívar, adelantará las acciones para elaborar el Inventario de emisiones atmosféricas aplicando la Guía para la elaboración de Inventario de Emisiones Atmosféricas. 
A la entrega del presente informe y con la celebración del convenio la meta presenta un avance del 5%. </t>
  </si>
  <si>
    <t xml:space="preserve">Al 31 de diciembre de 2021 la meta programada tiene un cumplimiento del 100% con la realización de dos (2) operativos.
1.	OPERATIVO INTERPELLI 
2.	OPERATIVO AGROSAN </t>
  </si>
  <si>
    <t>La Corporación ha identificado la necesidad de actualizar los mapas de ruido diurno y nocturno de los municipios con más de 100.00 habitantes, en virtud de lo anterior, en el marco del Convenio 007 de 2021 la Subdirección de Gestión Ambiental adelantará las acciones para actualizar  los mapas de ruido diurno y nocturno en los municipios con más de 100.000 habitantes del Departamento, el cual tiene por objeto “aunar esfuerzos y recursos técnicos, jurídicos, administrativos y financieros para el desarrollo de un programa institucional que contribuya al fortalecimiento de la gestión e innovación ambiental sostenible de los recursos naturales del departamento del Atlántico”.  
Al cierre de la vigencia con la celebración del convenio mencionado la meta presenta avance en su ejecución de un 5%; en el Plan de trabajo se detallan las actividades a realizar, incluyendo la implementación y análisis de mapas de ruido diurno y nocturno actualizados en los municipios con más de 100.000 habitantes del Departamento.</t>
  </si>
  <si>
    <t>En la vigencia 2021 hemos atendido el 100% de las quejas realizadas por actividades generadoras de ruido en el Departamento del Atlántico. Se recibieron y atendieron 19 denuncias por presunta afectación por emisión de ruido presentadas por la comunidad, tal como se detalla en el informe.</t>
  </si>
  <si>
    <t xml:space="preserve">Al 31 de diciembre de 2021 no se registran avances en la meta; sin embargo, es importante mencionar que, la Corporación dispone de dos (2) equipos sonómetros portátiles que cuentan con kit completo de estación metereológica, pistófonos y calibrador; que, para fortalecer y seguir garantizando a los municipios del departamento el apoyo técnico en las mediciones de ruido oportunamente, la entidad va a adquirir dos (2) nuevos equipos de medición en la vigencia siguiente. </t>
  </si>
  <si>
    <t>Las actividades desarrolladas al 30 de junio de 2021 representan un 3% de avance en la meta. 
Desde la Subdirección de Gestión Ambiental se adelantó la elaboración de los estudios previos, para celebrar el proceso de contratación para el servicio de calibración de los equipos de medición de Ruido existentes, tomando como referente lo establecido en la Resolución No. 0627 del 2006 para la próxima vigencia.</t>
  </si>
  <si>
    <t>En el marco del convenio No.003 del 2021 cuyo objeto es: “Aunar esfuerzos administrativos, técnicos y financieros a fin de fortalecer la inclusión de la dimensión ambiental en la educación formal y la estrategia de economía circular en el departamento del Atlántico”, se están realizando capacitaciones a los recicladores de las zonas costeras donde se fortalece el conocimiento de la adecuada separación de los residuos sólidos y el aprovechamiento de los materiales reciclable dentro de su trabajo.</t>
  </si>
  <si>
    <t>A corte 31 de Diciembre de 2021, la meta registra un avance del 95,65%, representado en las visitas de seguimiento realizadas a los 22 municipios del departamento.
Es importante mencionar que, la CRA tiene jurisdicción en el área rural del distrito de Barranquilla; sin embargo, el PGIRS del distrito en su mayoría va dirigido al área urbana del mismo, razón por la cual el seguimiento ambiental del instrumento es realizado por EPA Barranquilla Verde. En consecuencia, se pondrá a consideración esta situación para solicitar el ajuste a la meta programada.</t>
  </si>
  <si>
    <t>La Corporación, a través de la Subdirección de Gestión Ambiental adelantó  acciones asociadas al seguimiento de la implementación del Plan de Gestión de Residuos Peligrosos de los municipios de la jurisdicción de la CRA las cuales se especifican en el informe y dando cumplimineto a dicha meta.</t>
  </si>
  <si>
    <t>La meta registra un cumplimiento del 100% a Diciembre 31 de 2021
En la vigencia 2021 el aplicativo de Generadores de Residuos o Desechos peligrosos cuenta con un total de trescientos veinticinco (325) establecimientos registrados. Adicionalmente, se recibieron 46 solicitudes de inscripción al aplicativo RESPEL, de las cuales fueron atendidas al 100% según se detalla en el informe.</t>
  </si>
  <si>
    <t>A corte de 31 de diciembre del 2022, en el marco del convenio No.003 del 2021 cuyo objeto es: “Aunar esfuerzos administrativos, técnicos y financieros a fin de fortalecer la inclusión de la dimensión ambiental en la educación formal y la estrategia de economía circular en el departamento del Atlántico”, se llevaron a cabo todas las mesas de trabajo para obtener la información para la construcción de la agenda de económica circular, adicionalmente se sistematizó lo desarrollado dentro de la línea base para comenzar a diseñar el documento y así poder socializar con los diferentes gremios lo que se plasmó para llevarle un seguimiento y desarrollar las diferentes actividades de forma conjunta logrando que se convierta en el plan de acción de la economía circular en el departamento del Atlántico.</t>
  </si>
  <si>
    <t>A corte de 31 de diciembre del 2022, en el marco del convenio No.003 del 2021 cuyo objeto es: “Aunar esfuerzos administrativos, técnicos y financieros a fin de fortalecer la inclusión de la dimensión ambiental en la educación formal y la estrategia de economía circular en el departamento del Atlántico” la meta registra un avance del 20%. De acuerdo a lo avanzando en el desarrollo de la agenda salieron diferentes proyectos para desarrollar en el marco de dicho convenio, sin embargo, estos se encuentran en proceso de formulación para comenzar su ejecución en el 2022.</t>
  </si>
  <si>
    <t xml:space="preserve">Con las acciones desarrolladas en el año se tiene un avance de la meta de un 82% a 31 Diciembre del 2021. En términos generales durante el año 2021 se expidieron 237 autos de inicio, En cuanto a pronunciamientos, una vez validado el cumplimiento de los requisitos de pago y publicación durante el año 2021 se evaluaron y negación 5 solicitudes de permisos ambientales y expidieron 80 resoluciones de otorgamiento. De igual forma se evaluaron y autorizaron 159 solicitudes de tala de árboles, durante la vigencia 2021.  En el caso concreto de las 257 solicitudes recibidas durante el año 2021, 11 se encuentran con requerimiento de información, 188 cuentan con auto de inicio, de las cuales 87 que cumplieron con los requerimientos de información complementaria, pago y/o publicación por parte de los interesados, 64 fueron evaluadas durante el periodo, logrando una atención de 146 del total de las solicitudes, equivalente al 73%.  </t>
  </si>
  <si>
    <t xml:space="preserve">El promedio de cumplimiento de estos dos componentes del indicador de Denuncias Ambientales y Procesos Sancionatorios es del 43%. Para el periodo enero a diciembre de 2021, han ingresado un total de 425 denuncias asociadas a la afectación de recursos naturales, de las cuales se ha dado atención a 288 correspondiente al 67%. De los 497 procesos activos registrados al inicio del periodo, se resolvieron 86 investigaciones y se cesaron 10 procesos sancionatorios, registrando un avance del 19%.  </t>
  </si>
  <si>
    <t>En cumplimiento de la Resolución 360 de 2018, desde la vigencia anterior se priorizaron los seguimientos a las medidas de compensación establecidos en el marco de los proyectos licenciados y aprovechamiento Forestal único de los instrumentos activos de la Subdirección.
En referencia de lo citado anteriormente, de las 78 autorizaciones forestales registradas al inicio del año, en el periodo 2021 se llevaron a cabo 63 seguimientos, logrando un cumplimiento del 81%.</t>
  </si>
  <si>
    <t xml:space="preserve">En el marco del Contrato 231 de 2021, cuyo objeto es “Acompañamiento y desarrollo de actividades que permitan la identificación de usuarios ilegales de alto impacto, que realizan minería ilegal y acciones que permitan la formalización de la actividad minera en los municipios del departamento del Atlántico”, se desarrolló un (1) estudio que permite identificar usuarios que realizan minería ilegal, quienes pueden adelantar la formalización de la actividad minera en los municipios del Departamento del Atlántico, dando cumplimiento al 100% de la meta programada para la vigencia 2021. 
El diagnóstico realizado permitió la identificación de usuarios potenciales que realizan minería ilegal en los municipios de Juan de Acosta, Puerto Colombia, Campo de la Cruz, Luruaco, Soledad, Sabanalarga y Candelaria. </t>
  </si>
  <si>
    <t xml:space="preserve">El promedio de cumplimiento de estos dos componentes del indicador es de 83.5% para la vigencia 2021. Para el periodo enero a diciembre de 2021, han ingresado un total de 425 denuncias asociadas a la afectación de recursos naturales, de las cuales se ha dado atención a 288, logrando un cumplimiento del 67%. Para el apoyo del cumplimiento de esta meta, la Corporación Autónoma Regional del Atlántico, suscribió el Contrato 00041 de 2021 que tiene por objeto Prestar los servicios profesionales de un veterinario que apoye los procesos de decomisos y postdecomiso de las especies faunísticas. 
En el marco de las obligaciones contractuales se desarrolló el seguimiento a la Red de Amigos de la Fauna de los 2 establecimientos que pertenecen a esta figura: 
1.	Villa Zunilda. Resolución 644 de 2013  
2.	GRANJA ECO CAMPESTRE SOLAR DE MAO. Resolución 624 de 2013  
El cumplimiento del seguimiento de la Red de Amigos de la Fauna es del 100%. 
      </t>
  </si>
  <si>
    <t xml:space="preserve">En la vigencia 2021, la meta logró un cumplimiento del 94.38%
Para el apoyo del cumplimiento de la meta, se suscribió el Contrato No.041 de 2021 que tiene por objeto: PRESTAR LOS SERVICIOS PROFESIONALES DE UN VETERINARIO QUE APOYE LOS PROCESOS DE DECOMISOS Y POSTDECOMISO DE LAS ESPECIES FAUNISTICAS. Entre las obligaciones de este Contrato se encuentra el seguimiento a la Red de Amigos de la Fauna, que es la figura que la entidad utiliza para el manejo de la Fauna Silvestre decomisada, entregada o rescatada, pues la entidad no cuenta hasta el momento con CAV. 
Adicional a lo anterior, se suscribió el Contrato No.052 de 2021 que tiene por objeto: PRESTAR LOS SERVICIOS PROFESIONALES DE UN BIOLOGO PARA QUE APOYE EN LA SUPERVISION DE LAS EXPORTACIONES DE LOS PRODUCTOS DE LA FAUNA Y DE LA FLORA SILVESTRE PROVENIENTE DE ESTABLECIMIENTOS LEGALMENTE ESTABLECIDOS, A TRAVES DE LOS PUERTOS AUTORIZADOS EN JURISDICCION DE LA CRA, ASI COMO EN LA DISPOSICION DE ESPECIES DECOMISADAS.   </t>
  </si>
  <si>
    <t xml:space="preserve">Teniendo en cuenta la experiencia de vigencias anteriores, en la actualidad, la Corporación, a través de su Red de Amigos de la Fauna, presta la atención vital a las especies decomisadas en el Departamento, brindando una respuesta inmediata para el rescate, decomiso y tratamiento de especies faunísticas en los municipios del Atlántico.  
Para la atención de este indicador se propone diseñar una estrategia que contribuya a la prevención al tráfico y consumo ilegal de especies nativas de fauna y flora en estado de amenaza en vías de jurisdicción de la CRA, mediante el uso de productos y herramientas pedagógicas multiformato para la protección y conservación de especies nativas de fauna y en estado de amenaza que puedan ser integrados tanto a las acciones de sensibilización y concientización, como a procesos de enseñanza en instituciones  educativas priorizadas y a diferentes canales de comunicación.
La meta no presenta avance en la vigencia 2021. </t>
  </si>
  <si>
    <t>Desde la Subdirección de Gestión Ambiental, se lideró la construcción del directorio unificado de usuarios de la SDGA, diseñado y cargado en el aplicativo Share Point - Office 365.  La alimentación del directorio parte de la información que reposa en los expedientes de la Corporación y de los datos de identificación del usuario, consultados en la base de datos de la Cámara de Comercio de Barranquilla.  
A 31 de diciembre de 2021 se han registrado 579 usuarios de la Corporación, dando cumplimiento al 100% de la meta con Una (1) base de datos elaborada de usuarios para la regulación de los instrumentos economicos ambientales.</t>
  </si>
  <si>
    <t>Con las actividades desarrolladas para asesorar a los municipios del departamento del Atlántico en lo que corresponde a la incorporación del componente de gestión de riesgos a sus instrumentos de planificación, podemos indicar que al 31 de diciembre de 2021 la meta presenta se cumplió en el 100% de municipios asesorados.</t>
  </si>
  <si>
    <t>La Corporación Autónoma Regional del Atlántico, en calidad de autoridad ambiental y en el desempeño de sus funciones de asistencia técnica y jurídica ambiental en los procesos de ordenación del territorio, remitió a los 22 municipios y al Distrito de Barranquilla, oficio N°01291 del 26 de abril del 2021, recordando la Implementación de procesos de Gestión del Riesgo de Desastre y Gestión al Cambio Climático en los Instrumentos de Planificación Territorial, así como la inclusión de las Determinantes Ambientales previamente remitidas por la entidad, en los procesos de ajuste, revisión y/o actualización de los instrumentos de planificación del territorio, de los entes territoriales.</t>
  </si>
  <si>
    <t>Con las acciones desarrolladas, se alcanzó la meta establecida de realizar un (1) estudio de fortalecimiento Institucional, lo que representa una ejecución de esta acción estrategica en un 100%, a corte 31 de diciembre del 2021. 
Para ello, se realizaron diez (10) reuniones entre los delegados del Departamento Administrativo de la Función Pública - DAFP con el Comité Técnico del Proceso de Rediseño Institucional, en las sigientes fechas: febrero 2, febrero 18, marzo 3, marzo 18, marzo 30, mayo 9, julio 14, Octubre 10, Noviembre 11 y  Noviembre 29 de 2022, en las que se revisó la ejecución de los pasos que requiere el proceso para poder contar con una propuesta técnica.</t>
  </si>
  <si>
    <t>A corte 31 de diciembre del 2021 se realizaron las 4 reuniones programadas de los miembros del sindicato, proyectadas para esta vigencia, lo que representa un cumplimiento del 100% respecto a la ejecución de esta acción estratégica.
Las reuniones se llevaron a cabo en las siguientes fechas: 16 de julio, 17 de marzo, 28 de Septiembre y 29 de octubre del añor 2021, para las cuales fueron otorgados los respectivos permisos sindicales, garantizando el derecho a su libre asociación.</t>
  </si>
  <si>
    <t>A continuación se presenta la forma como se logró el cumplimiento del 100% de la meta correspondiente a la presente acción estrategica.
Con base en el Plan de Capacitación y el Plan de Bienestar Social de la entidad formulado, se firmó con la Fundación Alianza Tecnológica y Desarrollo Educativo –ALITIC el Contrato No. 109 de 2021, cuyo objeto fue: Contratar a una persona jurídica que preste los servicios profesionales en capacitación, formación y actualización para implementar los conocimientos, el desarrollo de habilidades y competencias en los funcionarios, empleados y contratistas de la Corporación Autónoma Regional del Atlántico para la mejora continua en el ejercicio de sus funciones y obligaciones. Lo anterior, para el cumplimiento del Plan de Capacitación Institucional.</t>
  </si>
  <si>
    <t>A corte 31 de diciembre esta acción estrategica presenta un cumplimiento del 100%. 
La meta de esta vigencia de entregar 10 auxilios de tipo educativo y de otro tipo fue superada, teniendo en cuenta que se otorgaron un total de 31 estímulos educativos para funcionarios o sus familiares cursaran estudios a nivel de pregrado, postgrado, educación preescolar, primaria y secundaria.</t>
  </si>
  <si>
    <t xml:space="preserve">Por legislación, la Autoevaluación de los Estandares Mínimos del Sistema de Gestión de la Seguridad y Salud en el Tranbajo - SG-SST, se realiza al finalizar la vigencia, es decir, en diciembre de 2021, cuyos resultados determinaran la calificación esperada del Informe Anual de la vigencia.
Los insumos que permiten ir evaluando el avance de esta meta son: el cumplimiento del Plan de Trabajo Anual en SST, el Plan de Capacitación y el cumplimiento de los Requisitos Legales aplicables. </t>
  </si>
  <si>
    <t>En cuanto a las acciones estratégicas 5.2.1.2, 5.2.1.3 y 5.2.1.4, se le asignaron recursos, a pesar de no tener registradas metas, puesto que para la vigencia 2020 debido al aislamiento preventivo ocasionado por el Covid 19, no se habían podido realizar los exámenes médicos ocupacionales periódicos y sus pruebas complementarias, tal como lo describe el Informe de Gestión del 2020: “A pesar de no contar con la línea base que ofrece la realización de exámenes medico ocupacionales periódicos del personal, con fundamento en la matriz de peligros y riesgos de la Corporación”.</t>
  </si>
  <si>
    <t>La Corporación dio cumplimiento a la exigencia legal y compromiso de seguridad y salud en el trabajo, consistente en la entrega de los Elementos de Protección Personal - EPP y elementos Covid – 19 para la protección de sus funcionarios y contratistas. Como producto de estas dotaciones sumado al cumplimiento de las demás medidas de bioseguridad se logró la realización del trabajo de forma segura y productiva. 
A corte 31 de diciembre del 2021 se dio cumplimiento del 100% de la meta de realizar el reporte anual de los Elementos de Protección Personal y Colectiva para una labor segura, garantizado la entrega de los EPP necesarios para el desarrollo de las labores presenciales y de trabajo en campo.</t>
  </si>
  <si>
    <t>Es importante señalar, que se evaluaron el 100% de los puntos puntos planificados para la actual vigencia, asimismo, durante el periodo 2021 se realizaron las adecuaciones derivadas del diagnóstico del periodo anterior.
Por consiguiente, la meta se logró en un 100% con la realización del estudio correspondiente a la medición de iluminación de las diferentes áreas de la Entidad. Lo anterior considerando que, conforme a la matriz de peligros y riesgos existentes, es el riesgo susceptible de medición.</t>
  </si>
  <si>
    <t>La meta se cumplió en un 100% logrando la capacitación y formación de los colaboradores que requieren competencia para trabajo en alturas los cuales se encuentra detallados en el informe oficial.</t>
  </si>
  <si>
    <t>La meta de la presente acción estratégica, de tener el informe anual con una valoración mínima de 90 sobre 100 puntos se cumplió en un 100% logrando mantener el Plan Estratégico de Seguridad Vial (PESV) actualizado que, cumple con los parámetros legales vigentes. Esto se refleja en la no ocurrencia de accidentes de trabajo de tipo vial y en el fortalecimiento de la cultura preventiva de la Entidad. Se desarrollaron todas las actividades planificadas en relación con los cinco componentes del sistema.</t>
  </si>
  <si>
    <t>Se formuló el Plan Estratégico de Tecnologías de la Información - PETI, el cual recoge las acciones estratégicas que permitan el desarrollo de las TIC dentro de la Corporación dando cumplimiento del 100% a la meta fijada para la vigencia 2021. Este plan visiona la implementación, modernización y actualización de los recursos tecnológicos, su mantenimiento y optimización, así como la implementación de estándares nacionales e internacionales para su adecuada gestión, tales como el Marco de Referencia de Arquitectura Empresarial definido por MinTIC, y la norma NTC-ISO 27001 para la gestión de la seguridad de la información. 
Todas sus acciones se encuentran formalizadas a través de su inclusión en el Plan de Acción Institucional 2020-2023 y los Planes de Acción Integrado 2020, 2021 y 2022.</t>
  </si>
  <si>
    <t xml:space="preserve">Se elaboró el proyecto para el Plan estratégico de Tecnologías de Información PETI 2020-2023. 
Sin embargo, esta acción estratégica no presenta avances en la vigencia 2021 debido a que no se adelantaron acciones asociadas a la divulgación de este. </t>
  </si>
  <si>
    <t>La acción estratégica 5.3.1.3.que busca diseñar e implementar un sistema de gestión de seguridad de la información basado en la norma ISO 27001 tiene meta física programada para el 2022. Sin embargo, teniendo cuenta que en 12 meses no se alcanza a tener implementado el sistema, se adelantó el proceso previo de acompañamiento técnico para el logro de esta acción durante la vigencia 2021, para poder dar cumplimiento de la meta en el 2022. Es por esta razón, que se presenta un avance en la meta financiera.</t>
  </si>
  <si>
    <t xml:space="preserve">A corte de 31 de diciembre del 2021 se cumplió la meta en el 100%, para lograrlo, se realizó la adición No.1 al Contrato 367 con fecha 31 Mayo 2021 cuyo objeto es:“Adquisición, instalacion y configuraciòn de equipos de cómputos, escaneres e impresoras de última tecnología con el objeto de iniciar el reemplazo de los equipos obsoletos, de acuerdo a las especificaciones técnicas descritas en anexo técnico; incluye servicios complementarios, a todo costo, por mano de obra certificada”.
Lo anterior, con el fin de garantizar la renovación del 100% de los equipos de cómputo y periféricos de la CRA para  los funcionarios. Dicha adición permitió adquirir 33 equipos de cómputo y una impresora adicional, con lo que se renovó al 100% el inventario de tecnología para usuario final. </t>
  </si>
  <si>
    <t xml:space="preserve">En la vigencia 2021 acorde con la meta establecida, se da cumplimiento del 20% de la Red de voz y datos corporativos y servidores virtualizados implementados programados para dicha vigencia.
Con lo relacionado a Red de voz Se elaboró revisión con el proveedor de telefonía Movistar, para los servicios de comunicaciones a través de WAN, implementando un Gateway de voz, troncal SIP, hardphone y softphone, lo que permitiría que los computadores y celulares de los funcionarios sirviesen de extensiones a través de softphones (Apps de voz). </t>
  </si>
  <si>
    <t xml:space="preserve">Es preciso mencionar que las licencias de software de la Corporación se vencen en los meses de Junio y Octubre de la vigencia 2021. 
Se realizó, a través de la Tienda Virtual del Estado Colombiano, la adquisición de software base de la CRA. Se adquirieron las licencias de Kaspersky Endpoint Security Cloud (Que incluye Kaspersky Security for Microsoft Office 365), Adobe Acrobat DC Pro y Adobe Sign In.
A corte 31 de diciembre de 2021 se presenta un avance del 70%, con respecto al 100% definido para esta vigencia. </t>
  </si>
  <si>
    <t>Con las estrategias  implementadas en lo corrido de la presente vigencia, a corte 31 de diciembre de 2021, la meta se cumplió en un 100%.
El logro de la meta se obtiene a través de la ejecucion de las siguientes 5 estrategias de comunicación:
I.	Estrategia de Divulgación y Visibilización de acciones institucionales.
II.	Estrategia de Crecimiento en Redes Sociales.
III.	Estrategia de Promoción de Imagen institucional.
IV.	Estrategia de Engagement (Marketing Online).
V.	Estrategia de relacionamiento con medios de comunicación.</t>
  </si>
  <si>
    <t>Cinco (05) Campañas institucionales en medios de comunicación tradicionales y nuevas tecnologías: 
1.	Nuevo Código de colores: Emisora Atlántico, emisoras ABC y redes sociales.
2.	Atlántico Respira Ambiente: Programa de TV regional Sucesos y redes sociales.
3.	Gestión 2020: Radios comunitarias y redes sociales.
4.	Tita y Titi te enseñan a cuidar el medio ambiente: Portal La Chachara y redes sociales. 
5.	La Nota Ambiental: Las Noticias de Telecaribe y redes sociales.</t>
  </si>
  <si>
    <t>Las campañas institucionales y estrategias implementadas en las  tres redes sociales corporativas, han tenido una acogida muy por encima de la meta proyectada para el año 2021. El detalle de interacciones en cada una de las redes sociales se presenta a continuación:
	Facebook: 35.207interacciones
	Instagram: 32.705 interacciones
	Twitter: 3.605 interacciones
El total de interacciones en las tres redes sociales fue de 71.517 durante la vigencia 2021, logrando el cumplimiento de la meta.</t>
  </si>
  <si>
    <t>Se desarrollaron diferentes acciones para el crecimiento en redes sociales, en el período comprendido entre enero y diciembre de 2021, logrando un incremento total de 1.921 nuevos seguidores entre las tres prinicipales redes sociales, instagram, facebook y twitter.</t>
  </si>
  <si>
    <t>Con la financiación del proyecto, Mantenimiento, limpieza, rectificación de cauce y protección de talud del k0+000 al k1 + 300 del canal de aguas lluvias "El Pantano" en el municipio de Manatí - Atlántico”, durante la vigencia 2021, se dio el cumplimiento en un 100% a la meta fijada de un (1) Proyecto financiado con recursos nacionales o internacionales para dicha vigencia.
Los recursos asignados para la ejecución del proyecto corresponden al Fondo Nacional Ambiental – FONAM, siendo estos del orden nacional. El valor aprobado para el proyecto fue de cinco mil doscientos veintiún millones ochocientos seis mil doscientos treinta y nueve pesos m.l ($5.221.806.239).</t>
  </si>
  <si>
    <t>Durante el año 2021, se radicaron catorce (14) proyectos ambientales en el Banco de Proyectos, de los cuales, a la fecha de cierre del presente informe de gestión, seis (6) tienen concepto de evaluación técnica, financiera y ambiental con concepto VIABLE, cuatro (4) corresponden a proyectos institucionales; es decir, formulados desde la Corporación que fueron presentados al Ministerio de Ambiente y Desarrollo Sostenible para viabilidad y asignación de recursos del FONAM y/o del Sistema General de Regalías y cuatro (4) se encontraban en proceso de revisión y /o evaluación por parte del equipo interdisciplinario evaluador del Banco de Proyectos de la CRA.</t>
  </si>
  <si>
    <t>Durante la vigencia 2021 se desarrollaron mesas de trabajo con el fin de establecer la ruta a seguir para crear una herramienta que articule desde la planeación, pasando por la evaluación hasta el seguimiento de los proyectos radicados en la entidad por actores externos y los proyectos formulados desde la Corporación.
A corte 31 de diciembre de 2021 no se cumplió con la meta programada, quedando pendiente para presentar en próxima vigencia y dar cumplimiento dentro del Plan de Acción Institucional 2020-2023.</t>
  </si>
  <si>
    <t>Durante la vigencia se celebró el Contrato No. 0000217 de 2021 con EDURED, el cual fue fudamental para realizar un cambio en la cultura de los funionarios para la gestión de documentos digitales y electrónicos, en consonancia con la política de “Cero Papel” del gobierno nacional e incursión en la estratégia digital de manejo de archivos para garantizar el trabajo en casa o remoto, cuando se requiera. Al entrar en operación el software de Gestión Documental ORFEO, se hace dimanica el proceso recepción, asignación, distribución y respuesta de la correspodencia. 
Tambien es importante destacar la renovación del Software contable (PCT), un paso adelante en la emisión de facturación electronica cumpliendo asi con la normativa y directrices emitidas por la DIAN. 
Con las acciones desarrolladas se tiene un avance en el indicador en un 100%.</t>
  </si>
  <si>
    <t>Con las acciones desarrolladas al 31 de diciembre del 2021, se puede evidenciar que la meta se ha cumplido al 100% en el mantenimiento de la pagina web/ intranet y subportales de la entidad como se observa en el informe oficial.</t>
  </si>
  <si>
    <t>Las acciones estratégicas 5.6.1.3. y 5.6.1.4. se refieren a “Adquirir un (1) software de la Oficina Jurídica” e “Implementación del software para PQRS” respectivamente. En este sentido se asignaron recursos, a pesar de que las metas (ambas) se tienen planeadas para el 2022, con el propósito de iniciar el proceso desde la vigencia 2021 y poder así adoptar los softwares que le permitan a la entidad llevar estas actividades con un mayor control, cumpliendo con la meta en la vigencia asignada.</t>
  </si>
  <si>
    <t xml:space="preserve">A corte 31 de diciembre de 2021, la Corporación se encuentra en proceso de revisión de posibles acciones que permitan desarrollar la formulación e implementación del documento de política de seguridad y manejo de la información. A la fecha de cierre de vigencia no se tienen avances. </t>
  </si>
  <si>
    <t>Esta acción estratégica, a corte 31 de diciembre de 2021 se cumplió en el 50% establecido para la vigencia, representado en la actualización de la información cartográfica de MAGNA SIRGAS COLOMBIA al sistema único de coordenadas, teniendo en cuenta que esta es la nueva estandarización nacional.</t>
  </si>
  <si>
    <t>Con la actualización permanente y reporte de la información en el SIAC, la meta registra un cumplimiento del 100% durante la vigencia 2021.</t>
  </si>
  <si>
    <t>Se realizó ciclo de auditoría interna en el período del 29 de noviembre al 16 de diciembre de la vigencia 2021, de conformidad con el cronograma establecido entre la Dirección General, la Secretaria General y el equipo auditor. Por consiguiente, la meta a corte 31 de diciembre del 2021 tiene un cumplimiento del 100%.</t>
  </si>
  <si>
    <t>Las acciones desarrolladas permiten reportar un cumplimiento de la meta a 31 de diciembre del 2021, toda vez que, la entidad mantiene vigente la certificación del sistema de gestión de la calidad según NTC ISO 9001:2015, bajo el ente certificador ICONTEC.</t>
  </si>
  <si>
    <t>Para las acciones estratégicas 5.7.1.3. Implementar un Sistema de Seguridad y Salud en el Trabajo, según norma NTC 45001:2015 y 5.7.1.4. Implementar un Sistema de Gestión Ambiental según la norma NTC ISO 14001:2015, incluidas dentro del programa Sistema de Gestión Integrado, se asignaron recursos debido a que el proceso de diseño, implementación y evaluación estos Sistemas de Gestión en entidades como la Corporación, deben tener un tiempo de ejecución de al menos 18 meses. Situación similar se presenta con la acción estratégica 5.7.2.1. Implementar una norma para la calibración de equipos según ISO 17025: 2017 (Ensayo y Calibración). Por esta razón se decidió iniciar con estos procesos en la vigencia 2020, para darle continuidad durante el 2021, y poder entrar en las fases de mantenimiento y mejora en las vigencias posteriores.</t>
  </si>
  <si>
    <t>Esta acción estratégica 5.7.3.1, Implementar un Modelo Integrado de Planeación y Gestión - MIPG se le asignaron recursos con el fin de iniciar el proceso de adopción de este Modelo y como actividad complementaria al Sistema de Gestión de la Calidad, debido a todas las actividades que conllevan el MIPG y que se encuentran en complementariedad con los demás Sistemas de Gestión que la entidad tiene planeado adoptar. Por consiguiente, se adelantó el proceso previo de acompañamiento técnico para el logro de esta acción durante a vigencia 2021, para poder dar cumplimiento de la meta en el 2022. Es por esta razón, que se presenta un avance en la meta financiera.</t>
  </si>
  <si>
    <t>En la vigencia 2021 se cumplió con la meta programada, ello se logró con las actividades definidas en el Contrato No. 362 del 2020, suscrito con la empresa Mercadatos S.A, cuyo objeto es: "Prestación del servicio de almacenamiento, conservación, custodia, préstamo, y transporte de los acervos documentales de la Corporación Autónoma Regional del Atlántico C.R.A, según las necesidades y en cumplimiento de la ley 594 de 2000, el acuerdo 008 de 2014 y demás normas reglamentarias.
Actualmente se encuentra la información del archivo central de la Corporación en las bodegas del contratista, cumpliendo con todos los requerimientos exigidos por el Archivo General de la Nación para la adecuada protección y custodia de los documentos de la entidad, entre ellas: seguridad, medición de temperatura y humedad relativa, uso y manejo de extintores, alarmas contra incendio, personal especializado para el desarrollo de todas las actividades.</t>
  </si>
  <si>
    <t>Para la ejecución de esta acción estratégica se suscribió el Contrato el 227 del 2021 cuyo objeto es: “Prestar servicios para la implementación de la Cultura de la Gestión de Documentos Digitales y Electrónicos, en consonancia con la Política de “Cero Papel” del Gobierno Nacional e incursión en la Estrategia Digital de Manejo de Archivos para garantizar el trabajo en casa o remoto, cuando se requiera”.
A traves de estre Contrato, se dió cumplimiento a la meta de la vigencia 2021 de tener al menos el 20% de la documentación misional y estratégica digitalizada y certificada para fines probatorios, siendo esta superada, dado que la misma alcanzó un cumplimiento del 34%.</t>
  </si>
  <si>
    <t xml:space="preserve">Para este año 2021, se elaboró el instrumento archivístico denominado “Tabla de Control de acceso”, que es un instrumento de referencia que determina las agrupaciones documentales que serán objeto de uso, consulta y acceso por parte de usuarios internos y externos. Dicho instrumento archivistico creado, fue enviado al SGI para su revisión e ingreso al sistema, se adjunta evidencia del correo enviado y la Tabla, lo que representa un cumplimiento del 100% de la meta que mide esta acción estratégica. </t>
  </si>
  <si>
    <t>Durante la vigencia 2021 se actualizaron 3 instrumentos de gestión de la información, los cuales están colgados en la página de la entidad en el link de Transparencia y acceso a la información pública: 
http://www.crautonoma.gov.co/atencion-al-publico/transparencia-y-acceso-a-informacion-publica/gestion-documental/instrumentos-de-gestion-de-informacion-publica</t>
  </si>
  <si>
    <t>Durante el año 2021, se prestó apoyo a 4 archivos de gestión de la entidad así:
	Archivo de Subdirección de gestión ambiental: Con la organización de los expedientes de trámites ante autoridad ambiental.
	Archivo de Secretaria General con el grupo de Recursos Humanos: Con la elaboración de las hojas de control de las Historias Laborales inactivas.
	Archivo del área de la Subdirección Financiera: Apoyo mancomunado con el área ambiental para el saneamiento financiero de los expedientes de trámites ante autoridad ambiental.
	Subdirección de Planeación: Para la recepción, entrega, verificación y ajustes de las cajas de información en el proceso de digitalización.</t>
  </si>
  <si>
    <t>En lo corrido de la vigencia 2021, a corte 31 Diciembre de 2021 se encuentran actualizados los expedientes en un 90%, que corresponde a 1.424 cajas de expedientes organizadas de un total de 1.582 cajas. 
La 1.424 cajas de expedientes organizadas contienen alrededor de 9.968 carpetas y tienen las siguiente caracteristicas:
	1.416 son cajas x 200 
	8 son cajas x 300</t>
  </si>
  <si>
    <t>Los trámites jurídicos presentados se atendieron en su totalidad, dándole el impulso correspondiente, lo que permite indicar que se cumplió con el 100% de la atención del de los tramites procesales en cuento a las actuaciones administrativa y judiciales que los mismos demandan. 
En la tabla siguiente se relacionan los 53 procesos impetrados durante la anualidad 2021, que fueron atendidos, los cuales se encuentran discriminados  en el informe oficial.</t>
  </si>
  <si>
    <t xml:space="preserve">La política de prevención del daño antijurídico conlleva la solución de deficiencias administrativas o misionales que generan litigiosidad e implica el uso de recursos públicos para mitigar las causas de los eventos generadores de daño antijurídico, de aquí que la metodología a utilizar busque identificar el origen de las fallas y establecer el procedimiento a seguir para la formulación, evaluación e institucionalización de las acciones que se debe adoptar para reducir los riesgos y costos de enfrentar un proceso judicial.
En cumplimiento de lo anterior, en la Corporación se tomaron las acciones pertinentes que permitieran la formulación y posterior implementación de las políticas de prevención de daño antijurídico. </t>
  </si>
  <si>
    <t>El cumplimiento de la meta se registra con la cantidad de peticiones asignadas VS cantidad de peticiones resueltas, que permite realizar el calculo del indicador:
1.	Cantidad de peticiones asignadas: 1773
2.	Cantidad de peticiones resueltas: 1619
3.	PORCENTAJE PROMEDIO DE ATENCIÓN: 91,31%</t>
  </si>
  <si>
    <t>En el proceso de adquisicion de bienes y servicios que hace referencia a la Contratacion Estatal que realiza la Corporación, a corte 31 de diciembre del 2021 la meta registra un cumplimiento del 100% en la presente vigencia.
En este periodo, se recibió la solicitud de 288 requeimientos para trámites procesales contractuales por parte de la Dirección de la entidad, los cuales fueron atendidos y tramitados conforme al reglamento interno y al Estatuto de Contratación Estatal, hasta el perfeccionamiento de los respectivos Contratos. Las evidencias en relación con la información generada en los procesos contractuales, puede ser verificada en la plataforma del SECOP I (del Contrato 001 al 164) y en la plataforma del SECOP II (del Contrato 165 al 305), donde se encuentran los datos correspondientes a número de Contrato, objeto, valor, tiempo de ejecución y demás información requerida.</t>
  </si>
  <si>
    <t xml:space="preserve">Dentro de las actividades que contemplan el buen y eficiente funcionamiento de la infraestructura de la Corporación Autónoma Regional del Atlántico CRA, teniendo en cuenta los problemas de salud pública, pandemia del Covid -19, cuarentena, el trabajo remoto en casa, no se han podido llevar a cabo las auditorías energéticas a la CRA. 
Se realizaron los estudios previos y de mercado, a los cuales se les hicieron unas recomendaciones por parte de la oficina jurídica. Esta acción estratégica cuya meta era de realizar 2 auditorías energéticas en la vigencia 2021, no se alcanzó, por consiguiente, se ejecutará en la siguiente anualidad. </t>
  </si>
  <si>
    <t>Se realizarón en total 326 actividades de mantenimientos a la infraestructura,  asociadas a grantizar la funcionalidad fisica de la Entidad dando cumplimiento a la meta en un 100% para la vigencia 2021.</t>
  </si>
  <si>
    <t xml:space="preserve">A cierre 31 de diciembre del 2021, la meta establecida para la vigencia relacionada con el mantenimiento preventivo y correctivo de la infraestructura de la Corporación, alcanzó un 100% de su ejecución física. El cumplimiento de esta acción estratégica durante la vigencia 2021, tuvo como uno de los Contratos principales de mantenimiento de infraestructura física, el suscrito con la empresa DOCTOR HOUSE, antes mencionado. </t>
  </si>
  <si>
    <t>La Corporación cuenta con cuatro (4) vehículos tipo camioneta identificados con las placas: OQN 626, OQN 627, OQN 628 Y OQN 629, de los cuales, al finalizar la vigencia 2021, se encuentran funcionando en su totalidad, lo que representa un cumplimiento de la meta en un del 100% al cierre del año 2021.</t>
  </si>
  <si>
    <t xml:space="preserve">5.11 PROGRAMA DEFICIT DE VIGENCIAS ANTERIORES </t>
  </si>
  <si>
    <t>5.11.1. PROYECTO SANEAMIENTO FINANCIERO DEFICIT FISCAL 2019</t>
  </si>
  <si>
    <t>5.11.1.1. Saneamiento Déficit Fiscal 2019</t>
  </si>
  <si>
    <t>Porcentaje de avance en el pago de deficit fiscal</t>
  </si>
  <si>
    <t>(21) RESERVA PRESUPUESTAL DEL 2021
$</t>
  </si>
  <si>
    <t>(21-A) OBLIGACIONES DE LA RESERVA 2021
 $</t>
  </si>
  <si>
    <t>CORPORACIÓN AUTÓMA REGIONAL DEL ATLÁNTICO</t>
  </si>
  <si>
    <t>DISTRIBUCIÓN 2022</t>
  </si>
  <si>
    <t>(12) RECAUDO EFECTIVO JUNIO 2022</t>
  </si>
  <si>
    <t>(12) RECAUDO ACUMULADO</t>
  </si>
  <si>
    <t>%</t>
  </si>
  <si>
    <t>Ingresos Recursos Propios</t>
  </si>
  <si>
    <t>014</t>
  </si>
  <si>
    <t xml:space="preserve">Sobretasa ambiental </t>
  </si>
  <si>
    <t>Sobretasa ambiental - Urbano</t>
  </si>
  <si>
    <t>3</t>
  </si>
  <si>
    <t>Sobretasa ambiental - Urbano-REcuperación de Cartera</t>
  </si>
  <si>
    <t>Sobretasa ambiental -  Rural</t>
  </si>
  <si>
    <t>Sobretasa ambiental -  Rural- Vigencia Actual</t>
  </si>
  <si>
    <t>Sobretasa ambiental -  Rural- Vigencia Anterior</t>
  </si>
  <si>
    <t>Sobretasa ambiental -  Rural- REcuperación de Cartera</t>
  </si>
  <si>
    <t>201</t>
  </si>
  <si>
    <t>Sobretasa Ambiental Áreas Metropolitanas</t>
  </si>
  <si>
    <t>Sobretasa Ambiental Áreas Metropolitanas- Vigencia actual</t>
  </si>
  <si>
    <t>Sobretasa Ambiental Áreas Metropolitanas - Vigencia Anterior</t>
  </si>
  <si>
    <t>Sobretasa Ambiental Áreas Metropolitanas -REcuperación de Cartera</t>
  </si>
  <si>
    <t>Contribución sector eléctrico - Generadores de energía convencional</t>
  </si>
  <si>
    <t>Contribución sector eléctrico - Generadores de energía convencional - TEBSA</t>
  </si>
  <si>
    <t>Contribución sector eléctrico - Generadores de energía convencional - -TEBSA- Vigencia Anterior</t>
  </si>
  <si>
    <t>Contribución sector eléctrico - Generadores de energía- convencional -TEBSA-REcuperación de Cartera</t>
  </si>
  <si>
    <t>Contribución sector eléctrico - Generadores de energía convencional - TERMOFLORES</t>
  </si>
  <si>
    <t>Contribución sector eléctrico - Generadores de energía convencional - TERMOFLORES- Vigencia Anterior</t>
  </si>
  <si>
    <t>Contribución sector eléctrico - Generadores de energía no convencional</t>
  </si>
  <si>
    <t>Contribución sector eléctrico - Generadores de energía no convencional-Monomeros</t>
  </si>
  <si>
    <t>Contribución sector eléctrico - Generadores de energía no convencional - Monomeros Recuperación de Cartera</t>
  </si>
  <si>
    <t>015</t>
  </si>
  <si>
    <t>Certificaciones y constancias</t>
  </si>
  <si>
    <t>Certificaciones y constancias- Vigencia Actual</t>
  </si>
  <si>
    <t>Certificaciones y constancias - Vigencia Anterior</t>
  </si>
  <si>
    <t>Certificaciones y constancias - Recuperación de Cartera</t>
  </si>
  <si>
    <t>036</t>
  </si>
  <si>
    <t>Evaluación de licencias y trámites ambientales</t>
  </si>
  <si>
    <t>Evaluación de licencias y trámites ambientales - Vigencia Actual</t>
  </si>
  <si>
    <t>Evaluación de licencias y trámites ambientales -Vigencia Anterior</t>
  </si>
  <si>
    <t>Evaluación de licencias y trámites ambientales -Recuperación de Cartera</t>
  </si>
  <si>
    <t>037</t>
  </si>
  <si>
    <t>Seguimiento a licencias y trámites ambientales</t>
  </si>
  <si>
    <t>Seguimiento a licencias y trámites ambientales - Vigencia Anterior</t>
  </si>
  <si>
    <t>Seguimiento a licencias y trámites ambientales - Rendimientos</t>
  </si>
  <si>
    <t>055</t>
  </si>
  <si>
    <t>Tasa por el uso del agua - Recuperación de Cartera</t>
  </si>
  <si>
    <t>088</t>
  </si>
  <si>
    <t>Tasa retributiva -  Vigencia Actual</t>
  </si>
  <si>
    <t>Tasa retributiva - Vigencia Anterior</t>
  </si>
  <si>
    <t>Tasa retributiva - Recuperación de Cartera</t>
  </si>
  <si>
    <t>089</t>
  </si>
  <si>
    <t>Tasa por aprovechamiento forestal</t>
  </si>
  <si>
    <t>Tasa por aprovechamiento forestal - Recuperación de Cartera</t>
  </si>
  <si>
    <t>090</t>
  </si>
  <si>
    <t>Tasa compensatoria por caza de fauna silvestre</t>
  </si>
  <si>
    <t>Tasa compensatoria por caza de fauna silvestre - Vigencia Actual</t>
  </si>
  <si>
    <t>Tasa compensatoria por caza de fauna silvestre - Vigencia Anterior</t>
  </si>
  <si>
    <t>Tasa compensatoria por caza de fauna silvestre - Recuperación de Cartera</t>
  </si>
  <si>
    <t>110</t>
  </si>
  <si>
    <t>Sobretasa ambiental - Peajes - Vigencia Actual</t>
  </si>
  <si>
    <t>Sobretasa ambiental - Peajes - Vigencia Anterior</t>
  </si>
  <si>
    <t>Sobretasa ambiental - Peajes - Recuperación de Cartera</t>
  </si>
  <si>
    <t>112</t>
  </si>
  <si>
    <t>Tasa Compensatoria por la utilización permanente de la reserva forestal protectora Bosque Oriental de Bogotá</t>
  </si>
  <si>
    <t>Tasa Compensatoria por la utilización permanente de la reserva forestal protectora Bosque Oriental de Bogotá - Vigencia Actual</t>
  </si>
  <si>
    <t>Tasa Compensatoria por la utilización permanente de la reserva forestal protectora Bosque Oriental de Bogotá - Vigencia Anterior</t>
  </si>
  <si>
    <t>Tasa Compensatoria por la utilización permanente de la reserva forestal protectora Bosque Oriental de Bogotá - Recuperación de Cartera</t>
  </si>
  <si>
    <t>113</t>
  </si>
  <si>
    <t>Salvoconducto Unico Nacional</t>
  </si>
  <si>
    <t>Salvoconducto Unico Nacional - Vigencia Actual</t>
  </si>
  <si>
    <t>Salvoconducto Unico Nacional - Vigencia Anterior</t>
  </si>
  <si>
    <t>Salvoconducto Unico Nacional - Recuperación de Cartera</t>
  </si>
  <si>
    <t>001</t>
  </si>
  <si>
    <t>Sanciones disciplinarias</t>
  </si>
  <si>
    <t>Sanciones disciplinarias - Vigencia Actual</t>
  </si>
  <si>
    <t>Sanciones disciplinarias - Vigencia Anterior</t>
  </si>
  <si>
    <t>Sanciones disciplinarias - Recuperación de Cartera</t>
  </si>
  <si>
    <t>Sanciones contractuales</t>
  </si>
  <si>
    <t>Sanciones contractuales - Vigencia Actual</t>
  </si>
  <si>
    <t>Sanciones contractuales - Vigencia Anterior</t>
  </si>
  <si>
    <t>Sanciones contractuales - Recuperación de Cartera</t>
  </si>
  <si>
    <t>Sanciones administrativas</t>
  </si>
  <si>
    <t>Sanciones administrativas - Vigencia Actual</t>
  </si>
  <si>
    <t>Sanciones administrativas - Vigencia Anterior</t>
  </si>
  <si>
    <t>Sanciones administrativas - Recuperación de Cartera</t>
  </si>
  <si>
    <t>Sanciones sanitarias</t>
  </si>
  <si>
    <t>Sanciones sanitarias - Vigencia Actual</t>
  </si>
  <si>
    <t>Sanciones sanitarias - Vigencia Anterior</t>
  </si>
  <si>
    <t>Sanciones sanitarias - Recuperación de Cartera</t>
  </si>
  <si>
    <t>22</t>
  </si>
  <si>
    <t>Multas ambientales - Recuperación de Cartera</t>
  </si>
  <si>
    <t>002</t>
  </si>
  <si>
    <t>00</t>
  </si>
  <si>
    <t>Agricultura, silvicultura y productos de la pesca - Vigencia Actual</t>
  </si>
  <si>
    <t>Agricultura, silvicultura y productos de la pesca - Vigencia Anterior</t>
  </si>
  <si>
    <t>Agricultura, silvicultura y productos de la pesca - Recuperación de Cartera</t>
  </si>
  <si>
    <t>Minerales; electricidad, gas y agua</t>
  </si>
  <si>
    <t>Minerales; electricidad, gas y agua - Vigencia Actual</t>
  </si>
  <si>
    <t>Minerales; electricidad, gas y agua - Vigencia Anterior</t>
  </si>
  <si>
    <t>Minerales; electricidad, gas y agua - Recuperación de Cartera</t>
  </si>
  <si>
    <t>Productos alimenticios, bebidas y tabaco; textiles, prendas de vestir y productos de cuero</t>
  </si>
  <si>
    <t>Productos alimenticios, bebidas y tabaco; textiles, prendas de vestir y productos de cuero - Vigencia Actual</t>
  </si>
  <si>
    <t>Productos alimenticios, bebidas y tabaco; textiles, prendas de vestir y productos de cuero - Vigencia Anterior</t>
  </si>
  <si>
    <t>Productos alimenticios, bebidas y tabaco; textiles, prendas de vestir y productos de cuero - Recuperación de Cartera</t>
  </si>
  <si>
    <t>Otros bienes transportables (excepto productos metálicos, maquinaria y equipo)</t>
  </si>
  <si>
    <t>Otros bienes transportables (excepto productos metálicos, maquinaria y equipo) - Vigencia Actual</t>
  </si>
  <si>
    <t>Otros bienes transportables (excepto productos metálicos, maquinaria y equipo) - Vigencia Anterior</t>
  </si>
  <si>
    <t>Otros bienes transportables (excepto productos metálicos, maquinaria y equipo) - Recuperación de Cartera</t>
  </si>
  <si>
    <t>Productos metálicos, maquinaria y equipo - Vigencia Actual</t>
  </si>
  <si>
    <t>Productos metálicos, maquinaria y equipo - Vigencia Anterior</t>
  </si>
  <si>
    <t>Productos metálicos, maquinaria y equipo - Recuperación de Cartera</t>
  </si>
  <si>
    <t>Servicios de la construcción</t>
  </si>
  <si>
    <t>Servicios de la construcción - Vigencia Actual</t>
  </si>
  <si>
    <t>Servicios de la construcción - Vigencia Anterior</t>
  </si>
  <si>
    <t>Servicios de la construcción - Recuperación de Cartera</t>
  </si>
  <si>
    <t>Servicios de alojamiento; servicios de suministro de comidas y bebidas; servicios de transporte; y servicios de distribución de electricidad, gas y agua</t>
  </si>
  <si>
    <t>Servicios de alojamiento; servicios de suministro de comidas y bebidas; servicios de transporte; y servicios de distribución de electricidad, gas y agua - Vigencia Actual</t>
  </si>
  <si>
    <t>Servicios de alojamiento; servicios de suministro de comidas y bebidas; servicios de transporte; y servicios de distribución de electricidad, gas y agua - Vigencia Anterior</t>
  </si>
  <si>
    <t>Servicios de alojamiento; servicios de suministro de comidas y bebidas; servicios de transporte; y servicios de distribución de electricidad, gas y agua - Recuperación de Cartera</t>
  </si>
  <si>
    <t>Servicios financieros y servicios conexos, servicios inmobiliarios y servicios de leasing</t>
  </si>
  <si>
    <t>Servicios financieros y servicios conexos, servicios inmobiliarios y servicios de leasing - Vigencia Anterior</t>
  </si>
  <si>
    <t>Servicios financieros y servicios conexos, servicios inmobiliarios y servicios de leasing - Vigencia Actual</t>
  </si>
  <si>
    <t>Servicios financieros y servicios conexos, servicios inmobiliarios y servicios de leasing - Recuperación de Cartera</t>
  </si>
  <si>
    <t xml:space="preserve">Servicios prestados a las empresas y servicios de producción </t>
  </si>
  <si>
    <t>Servicios prestados a las empresas y servicios de producción  - Vigencia Actual</t>
  </si>
  <si>
    <t>Servicios prestados a las empresas y servicios de producción  - Vigencia Anterior</t>
  </si>
  <si>
    <t>Servicios prestados a las empresas y servicios de producción  - Recuperación de Cartera</t>
  </si>
  <si>
    <t>Servicios para la comunidad, sociales y personales</t>
  </si>
  <si>
    <t>Servicios para la comunidad, sociales y personales - Vigencia Actual</t>
  </si>
  <si>
    <t>Servicios para la comunidad, sociales y personales - Vigencia Anterior</t>
  </si>
  <si>
    <t>Servicios para la comunidad, sociales y personales - Recuperación de Cartera</t>
  </si>
  <si>
    <t>Elementos militares de un solo uso</t>
  </si>
  <si>
    <t>Elementos militares de un solo uso - Vigencia Actual</t>
  </si>
  <si>
    <t>Elementos militares de un solo uso - Vigencia Anterior</t>
  </si>
  <si>
    <t>Elementos militares de un solo uso - Recuperación de Cartera</t>
  </si>
  <si>
    <t>Ventas incidentales de establecimientos no de mercado</t>
  </si>
  <si>
    <t>Agricultura, silvicultura y productos de la pesca -  Vigencia Anterior</t>
  </si>
  <si>
    <t>Servicios de alojamiento; servicios de suministro de comidas y bebidas; servicios de transporte; y servicios de distribución de electricidad, gas y agua -  Vigencia Actual</t>
  </si>
  <si>
    <t>Servicios prestados a las empresas y servicios de producción - Recuperación de Cartera</t>
  </si>
  <si>
    <t>003</t>
  </si>
  <si>
    <t>Participaciones distintas del SGP</t>
  </si>
  <si>
    <t>Participación en impuestos</t>
  </si>
  <si>
    <t>Participación ambiental en el porcentaje de recaudo del impuesto predial</t>
  </si>
  <si>
    <t>Participación ambiental en el porcentaje de recaudo del impuesto predial - Recuperación de Cartera</t>
  </si>
  <si>
    <t>Participación en multas, sanciones e intereses de mora</t>
  </si>
  <si>
    <t>Participación de intereses de mora al porcentaje de recaudo del impuesto predial.</t>
  </si>
  <si>
    <t>Participación de intereses de mora al porcentaje de recaudo del impuesto predial - Vigencia Actual</t>
  </si>
  <si>
    <t>Participación de intereses de mora al porcentaje de recaudo del impuesto predial - Vigencia Anterior</t>
  </si>
  <si>
    <t>Participación de intereses de mora al porcentaje de recaudo del impuesto predial - Recuperación de Cartera</t>
  </si>
  <si>
    <t>009</t>
  </si>
  <si>
    <t>Recursos del Sistema de Seguridad Social Integral</t>
  </si>
  <si>
    <t>Sistema General de Pensiones</t>
  </si>
  <si>
    <t>Concurrencia pasivo pensional</t>
  </si>
  <si>
    <t>Concurrencia pasivo pensional - Vigencia Actual</t>
  </si>
  <si>
    <t>Concurrencia pasivo pensional -  Vigencia Anterior</t>
  </si>
  <si>
    <t>Concurrencia pasivo pensional - Recuperación de Cartera</t>
  </si>
  <si>
    <t>010</t>
  </si>
  <si>
    <t>Sentencias y conciliaciones</t>
  </si>
  <si>
    <t>Fallos nacionales</t>
  </si>
  <si>
    <t>Sentencias</t>
  </si>
  <si>
    <t>Sentencias - Vigencia Actual</t>
  </si>
  <si>
    <t>Sentencias - Vigencia Anterior</t>
  </si>
  <si>
    <t>Sentencias - Recuperación de Cartera</t>
  </si>
  <si>
    <t>Conciliaciones - Vigencia Actual</t>
  </si>
  <si>
    <t>Conciliaciones - Vigencia Anterior</t>
  </si>
  <si>
    <t>Conciliaciones - Recuperación de Cartera</t>
  </si>
  <si>
    <t>Laudos arbitrales</t>
  </si>
  <si>
    <t>Laudos arbitrales - Vigencia Actual</t>
  </si>
  <si>
    <t>Laudos arbitrales - Vigencia Anterior</t>
  </si>
  <si>
    <t>Laudos arbitrales - Recuperación de Cartera</t>
  </si>
  <si>
    <t>011</t>
  </si>
  <si>
    <t>Indemnizaciones relacionadas con seguros no de vida - Vigencia Anterior</t>
  </si>
  <si>
    <t>Indemnizaciones relacionadas con seguros no de vida - Vigencia Actual</t>
  </si>
  <si>
    <t>Indemnizaciones relacionadas con seguros no de vida - Recuperación de Cartera</t>
  </si>
  <si>
    <t>020</t>
  </si>
  <si>
    <t>Devoluciones seguridad social - pensiones</t>
  </si>
  <si>
    <t>Devoluciones seguridad social - pensiones - Vigencia Actual</t>
  </si>
  <si>
    <t>Devoluciones seguridad social - pensiones - Vigencia Anterior</t>
  </si>
  <si>
    <t>Devoluciones seguridad social - pensiones - Recuperación de Cartera</t>
  </si>
  <si>
    <t>Disposición de activos financieros</t>
  </si>
  <si>
    <t>Acciones</t>
  </si>
  <si>
    <t>Acciones - Vigencia Actual</t>
  </si>
  <si>
    <t>Acciones - Vigencia Anterior</t>
  </si>
  <si>
    <t>Acciones - Recuperación de Cartera</t>
  </si>
  <si>
    <t>Reducciones de capital</t>
  </si>
  <si>
    <t>Reducciones de capital - Vigencia Actual</t>
  </si>
  <si>
    <t>Reducciones de capital - Vigencia Anterior</t>
  </si>
  <si>
    <t>Reducciones de capital - Recuperación de Cartera</t>
  </si>
  <si>
    <t>Reembolso de participaciones en fondos de inversión</t>
  </si>
  <si>
    <t>Reembolso de participaciones en fondos de inversión - Vigencia Actual</t>
  </si>
  <si>
    <t>Reembolso de participaciones en fondos de inversión - Vigencia Anterior</t>
  </si>
  <si>
    <t>Reembolso de participaciones en fondos de inversión - Recuperación de Cartera</t>
  </si>
  <si>
    <t>004</t>
  </si>
  <si>
    <t>Títulos de devolución de impuestos-TIDIS</t>
  </si>
  <si>
    <t>Títulos de devolución de impuestos-TIDIS - Vigencia Actual</t>
  </si>
  <si>
    <t>Títulos de devolución de impuestos-TIDIS - Vigencia Anterior</t>
  </si>
  <si>
    <t>Títulos de devolución de impuestos-TIDIS - Recuperación de Cartera</t>
  </si>
  <si>
    <t>Disposición de edificaciones y estructuras - Vigencia Actual</t>
  </si>
  <si>
    <t>Disposición de edificaciones y estructuras - Vigencia Anterior</t>
  </si>
  <si>
    <t>Disposición de edificaciones y estructuras - Recuperación de Cartera</t>
  </si>
  <si>
    <t>Disposición de maquinaria y equipo - Vigencia Actual</t>
  </si>
  <si>
    <t>Disposición de maquinaria y equipo - Vigencia Anterioir</t>
  </si>
  <si>
    <t>Disposición de maquinaria y equipo - Recuperación de Cartera</t>
  </si>
  <si>
    <t>Disposición de recursos biológicos cultivados</t>
  </si>
  <si>
    <t>Disposición de recursos biológicos cultivados - Vigencia Actual</t>
  </si>
  <si>
    <t>Disposición de recursos biológicos cultivados - Vigencia Anterior</t>
  </si>
  <si>
    <t>Disposición de recursos biológicos cultivados - Recuperación de Cartera</t>
  </si>
  <si>
    <t>Disposición de productos de la propiedad intelectual - Vigencia Actual</t>
  </si>
  <si>
    <t>Disposición de productos de la propiedad intelectual - Vigencia Anterior</t>
  </si>
  <si>
    <t>Disposición de productos de la propiedad intelectual - Recuperación de Cartera</t>
  </si>
  <si>
    <t>Disposición de objetos de valor</t>
  </si>
  <si>
    <t>Disposición de joyas y artículos conexos</t>
  </si>
  <si>
    <t>Disposición de joyas y artículos conexos - Vigencia Actual</t>
  </si>
  <si>
    <t>Disposición de joyas y artículos conexos - Vigencia Anterior</t>
  </si>
  <si>
    <t>Disposición de joyas y artículos conexos - Recuperación de Cartera</t>
  </si>
  <si>
    <t>Disposición de antigüedades u otros objetos de arte</t>
  </si>
  <si>
    <t>Disposición de antigüedades u otros objetos de arte - Vigencia Actual</t>
  </si>
  <si>
    <t>Disposición de antigüedades u otros objetos de arte - Vigencia Anterior</t>
  </si>
  <si>
    <t>Disposición de antigüedades u otros objetos de arte - Recuperación de Cartera</t>
  </si>
  <si>
    <t>Disposición de otros objetos valiosos</t>
  </si>
  <si>
    <t>Disposición de otros objetos valiosos - Vigencia Actual</t>
  </si>
  <si>
    <t>Disposición de otros objetos valiosos - Vigencia Anterior</t>
  </si>
  <si>
    <t>Disposición de otros objetos valiosos - Recuperación de Cartera</t>
  </si>
  <si>
    <t>Disposición de  tierras y terrenos - Vigencia Actual</t>
  </si>
  <si>
    <t>Disposición de  tierras y terrenos - Vigencia Anterior</t>
  </si>
  <si>
    <t>Disposición de  tierras y terrenos - Recuperación de Cartera</t>
  </si>
  <si>
    <t>Disposición de recursos biológicos no cultivados</t>
  </si>
  <si>
    <t>Disposición de recursos biológicos no cultivados - Vigencia Actual</t>
  </si>
  <si>
    <t>Disposición de recursos biológicos no cultivados - Vigencia Anterior</t>
  </si>
  <si>
    <t>Disposición de recursos biológicos no cultivados - Recuperación de Cartera</t>
  </si>
  <si>
    <t>Dividendos y utilidades por otras inversiones de capital</t>
  </si>
  <si>
    <t>Empresas industriales y comerciales del Estado societarias</t>
  </si>
  <si>
    <t>Empresas industriales y comerciales del Estado societarias - Vigencia Actual</t>
  </si>
  <si>
    <t>Empresas industriales y comerciales del Estado societarias - Vigencia Anterior</t>
  </si>
  <si>
    <t>Empresas industriales y comerciales del Estado societarias - Recuperación de Cartera</t>
  </si>
  <si>
    <t>Sociedades de economía mixta</t>
  </si>
  <si>
    <t>Sociedades de economía mixta - Vigencia Actual</t>
  </si>
  <si>
    <t>Sociedades de economía mixta - Vigencia Anterior</t>
  </si>
  <si>
    <t>Sociedades de economía mixta - Recuperación de Cartera</t>
  </si>
  <si>
    <t>Inversiones patrimoniales no controladas</t>
  </si>
  <si>
    <t>Inversiones patrimoniales no controladas - Vigencia Actual</t>
  </si>
  <si>
    <t>Inversiones patrimoniales no controladas - Vigencia Anterior</t>
  </si>
  <si>
    <t>Inversiones patrimoniales no controladas - Recuperación de Cartera</t>
  </si>
  <si>
    <t>Inversiones en entidades controladas - entidades en el exterior</t>
  </si>
  <si>
    <t>Inversiones en entidades controladas - entidades en el exterior - Vigencia Actual</t>
  </si>
  <si>
    <t>Inversiones en entidades controladas - entidades en el exterior - Vigencia Anterior</t>
  </si>
  <si>
    <t>Inversiones en entidades controladas - entidades en el exterior - Recuperación de Cartera</t>
  </si>
  <si>
    <t>Inversiones en entidades controladas - sociedades públicas</t>
  </si>
  <si>
    <t>Inversiones en entidades controladas - sociedades públicas - Vigencia Actual</t>
  </si>
  <si>
    <t>Inversiones en entidades controladas - sociedades públicas - Vigencia Anterior</t>
  </si>
  <si>
    <t>Inversiones en entidades controladas - sociedades públicas - Recuperación de Cartera</t>
  </si>
  <si>
    <t>Depósitos - Sobretasa Ambiental Urbano</t>
  </si>
  <si>
    <t>Depósitos - Sobretasa Ambiental Rural</t>
  </si>
  <si>
    <t>Depósitos - Sobretasa Ambiental Areas Metropolitanas</t>
  </si>
  <si>
    <t>Depósitos - Contribución sector eléctrico - Generadores de energía convencional</t>
  </si>
  <si>
    <t>Depósitos - Contribución sector eléctrico - Generadores de energía no convencional</t>
  </si>
  <si>
    <t>Depósitos - Certificaciones y constancias</t>
  </si>
  <si>
    <t xml:space="preserve">Depósitos - Evaluación de licencias y trámites ambientales </t>
  </si>
  <si>
    <t xml:space="preserve">Depósitos - Seguimiento de licencias y trámites ambientales </t>
  </si>
  <si>
    <t>Depósitos -  Tasa por el Uso del Agua</t>
  </si>
  <si>
    <t>Depósitos - Tasa Retributiba</t>
  </si>
  <si>
    <t>Depósitos - Tasa de Aprovechamiento Forestal</t>
  </si>
  <si>
    <t>Depósitos - Tasa compensatoria por caza de fauna silvestre</t>
  </si>
  <si>
    <t>Depósitos -  Sobretasa ambiental - Peajes</t>
  </si>
  <si>
    <t>Depósitos - Tasa Compensatoria por la utilización permanente de la reserva forestal protectora Bosque Oriental de Bogotá</t>
  </si>
  <si>
    <t>15</t>
  </si>
  <si>
    <t>Depósitos - Salvoconducto Unico Nacional</t>
  </si>
  <si>
    <t>16</t>
  </si>
  <si>
    <t>Depósitos - Multas ambientales</t>
  </si>
  <si>
    <t>17</t>
  </si>
  <si>
    <t>Depósitos - Intereses de mora multas y sanciones</t>
  </si>
  <si>
    <t>18</t>
  </si>
  <si>
    <t>Depósitos - Venta de bienes y servicios</t>
  </si>
  <si>
    <t>19</t>
  </si>
  <si>
    <t>Depósitos - Participación ambiental en el porcentaje de recaudo del impuesto predial</t>
  </si>
  <si>
    <t>20</t>
  </si>
  <si>
    <t>Depósitos - Participación de intereses de mora al porcentaje de recaudo del impuesto predial.</t>
  </si>
  <si>
    <t>21</t>
  </si>
  <si>
    <t>Depósitos - Concurrencia pasivo pensional</t>
  </si>
  <si>
    <t>Depósitos - Fallos Nacionales Sentencias</t>
  </si>
  <si>
    <t>23</t>
  </si>
  <si>
    <t>Depósitos - Fallos Nacionales Conciliaciones</t>
  </si>
  <si>
    <t>24</t>
  </si>
  <si>
    <t>Depósitos - Fallos Nacionales Laudos arbitrales</t>
  </si>
  <si>
    <t>25</t>
  </si>
  <si>
    <t>Depósitos - Indemnizaciones relacionadas con seguros no de vida</t>
  </si>
  <si>
    <t>26</t>
  </si>
  <si>
    <t>Depósitos -  Devoluciones seguridad Social Pensiones</t>
  </si>
  <si>
    <t>27</t>
  </si>
  <si>
    <t>Depósitos - Disposición de activos financieros</t>
  </si>
  <si>
    <t>28</t>
  </si>
  <si>
    <t>Depósitos - Disposición de activos no financieros</t>
  </si>
  <si>
    <t>29</t>
  </si>
  <si>
    <t>Depósitos - Sociedades de economía mixta</t>
  </si>
  <si>
    <t>30</t>
  </si>
  <si>
    <t>Depósitos - Dividendos y utilidades por otras inversiones de capital</t>
  </si>
  <si>
    <t>Valores distintos de acciones</t>
  </si>
  <si>
    <t>Cuenta única nacional</t>
  </si>
  <si>
    <t>Intereses por préstamos</t>
  </si>
  <si>
    <t>Rendimientos recursos de terceros</t>
  </si>
  <si>
    <t>Gobiernos</t>
  </si>
  <si>
    <t>Bancos centrales y agencias de gobiernos</t>
  </si>
  <si>
    <t>Organismos multilaterales</t>
  </si>
  <si>
    <t>BID</t>
  </si>
  <si>
    <t>BIRF</t>
  </si>
  <si>
    <t>CAF</t>
  </si>
  <si>
    <t>005</t>
  </si>
  <si>
    <t>Otras instituciones financieras</t>
  </si>
  <si>
    <t>FIDA</t>
  </si>
  <si>
    <t>FODI</t>
  </si>
  <si>
    <t>Recursos de crédito externo de otras instituciones financieras</t>
  </si>
  <si>
    <t>Títulos de deuda</t>
  </si>
  <si>
    <t>Bonos</t>
  </si>
  <si>
    <t>Proveedores</t>
  </si>
  <si>
    <t>Banca comercial</t>
  </si>
  <si>
    <t>Nación</t>
  </si>
  <si>
    <t>Banca de fomento</t>
  </si>
  <si>
    <t>006</t>
  </si>
  <si>
    <t>007</t>
  </si>
  <si>
    <t>Otras entidades no financieras</t>
  </si>
  <si>
    <t>Colocación y títulos TES</t>
  </si>
  <si>
    <t>Colocación y títulos TES clase A a corto plazo</t>
  </si>
  <si>
    <t>Colocación y títulos TES clase A a largo plazo</t>
  </si>
  <si>
    <t>Bonos y otros títulos emitidos</t>
  </si>
  <si>
    <t>Transferencias de capital</t>
  </si>
  <si>
    <t>De gobiernos extranjeros</t>
  </si>
  <si>
    <t xml:space="preserve">No condicionadas a la adquisición de un activo </t>
  </si>
  <si>
    <t xml:space="preserve">Condicionadas a la adquisición de un activo </t>
  </si>
  <si>
    <t>De organizaciones internacionales</t>
  </si>
  <si>
    <t>Del sector privado</t>
  </si>
  <si>
    <t>Compensaciones de capital</t>
  </si>
  <si>
    <t>Resarcimiento por procesos de gestión fiscal</t>
  </si>
  <si>
    <t>Compensación por daños a la propiedad</t>
  </si>
  <si>
    <t>De otras entidades del gobierno general</t>
  </si>
  <si>
    <t>Condicionadas a la adquisición de un activo</t>
  </si>
  <si>
    <t>Condicionadas a la disminución de un pasivo</t>
  </si>
  <si>
    <t>Recuperación de cartera - préstamos</t>
  </si>
  <si>
    <t>De entidades del nivel territorial</t>
  </si>
  <si>
    <t>De otras entidades de gobierno</t>
  </si>
  <si>
    <t>De personas naturales</t>
  </si>
  <si>
    <t>De otras empresas</t>
  </si>
  <si>
    <t>Cancelación reservas</t>
  </si>
  <si>
    <t>Superávit fiscal</t>
  </si>
  <si>
    <t>Mayores ingresos no aforados de la vigencia Anterior</t>
  </si>
  <si>
    <t>Mayores ingresos no aforados de la vigencia Anterior - Sobretasa Ambiental Urbano</t>
  </si>
  <si>
    <t>Mayores ingresos no aforados de la vigencia Anterior - Sobretasa Ambiental Rural</t>
  </si>
  <si>
    <t>Mayores ingresos no aforados de la vigencia Anterior - Sobretasa Ambiental Areas Metropolitanas</t>
  </si>
  <si>
    <t>Mayores ingresos no aforados de la vigencia Anterior - Contribución sector eléctrico - Generadores de energía convencional</t>
  </si>
  <si>
    <t>Mayores ingresos no aforados de la vigencia Anterior - Contribución sector eléctrico - Generadores de energía no convencional</t>
  </si>
  <si>
    <t>Mayores ingresos no aforados de la vigencia Anterior - Certificaciones y constancias</t>
  </si>
  <si>
    <t xml:space="preserve">Mayores ingresos no aforados de la vigencia Anterior - Evaluación de licencias y trámites ambientales </t>
  </si>
  <si>
    <t xml:space="preserve">Mayores ingresos no aforados de la vigencia Anterior - Seguimiento de licencias y trámites ambientales </t>
  </si>
  <si>
    <t>Mayores ingresos no aforados de la vigencia Anterior -  Tasa por el Uso del Agua</t>
  </si>
  <si>
    <t>Mayores ingresos no aforados de la vigencia Anterior - Tasa Retributiba</t>
  </si>
  <si>
    <t>Mayores ingresos no aforados de la vigencia Anterior - Tasa de Aprovechamiento Forestal</t>
  </si>
  <si>
    <t>Mayores ingresos no aforados de la vigencia Anterior - Tasa compensatoria por caza de fauna silvestre</t>
  </si>
  <si>
    <t>Mayores ingresos no aforados de la vigencia Anterior -  Sobretasa ambiental - Peajes</t>
  </si>
  <si>
    <t>Mayores ingresos no aforados de la vigencia Anterior - Tasa Compensatoria por la utilización permanente de la reserva forestal protectora Bosque Oriental de Bogotá</t>
  </si>
  <si>
    <t>Mayores ingresos no aforados de la vigencia Anterior - Salvoconducto Unico Nacional</t>
  </si>
  <si>
    <t>Mayores ingresos no aforados de la vigencia Anterior - Multas ambientales</t>
  </si>
  <si>
    <t>Mayores ingresos no aforados de la vigencia Anterior - Intereses de mora multas y sanciones</t>
  </si>
  <si>
    <t>Mayores ingresos no aforados de la vigencia Anterior - Venta de bienes y servicios</t>
  </si>
  <si>
    <t>Mayores ingresos no aforados de la vigencia Anterior - Participación ambiental en el porcentaje de recaudo del impuesto predial</t>
  </si>
  <si>
    <t>Mayores ingresos no aforados de la vigencia Anterior - Participación de intereses de mora al porcentaje de recaudo del impuesto predial.</t>
  </si>
  <si>
    <t>Mayores ingresos no aforados de la vigencia Anterior - Concurrencia pasivo pensional</t>
  </si>
  <si>
    <t>Mayores ingresos no aforados de la vigencia Anterior - Fallos Nacionales Sentencias</t>
  </si>
  <si>
    <t>Mayores ingresos no aforados de la vigencia Anterior - Fallos Nacionales Conciliaciones</t>
  </si>
  <si>
    <t>Mayores ingresos no aforados de la vigencia Anterior - Fallos Nacionales Laudos arbitrales</t>
  </si>
  <si>
    <t>Mayores ingresos no aforados de la vigencia Anterior - Indemnizaciones relacionadas con seguros no de vida</t>
  </si>
  <si>
    <t>Mayores ingresos no aforados de la vigencia Anterior -  Devoluciones seguridad Social Pensiones</t>
  </si>
  <si>
    <t>Mayores ingresos no aforados de la vigencia Anterior - Disposición de activos financieros</t>
  </si>
  <si>
    <t>Mayores ingresos no aforados de la vigencia Anterior - Disposición de activos no financieros</t>
  </si>
  <si>
    <t>Mayores ingresos no aforados de la vigencia Anterior - Sociedades de economía mixta</t>
  </si>
  <si>
    <t>Mayores ingresos no aforados de la vigencia Anterior - Dividendos y utilidades por otras inversiones de capital</t>
  </si>
  <si>
    <t>31</t>
  </si>
  <si>
    <t>Mayores ingresos no aforados de la vigencia Anterior -  Rendimientos Financieros</t>
  </si>
  <si>
    <t>32</t>
  </si>
  <si>
    <t>Mayores ingresos no aforados de la vigencia Anterior -  Recuperación de Cartera</t>
  </si>
  <si>
    <t>Compromisos presupuestales cancelados vigencia anterior</t>
  </si>
  <si>
    <t>Compromisos presupuestales cancelados vigencia anterior - Sobretasa Ambiental Urbano</t>
  </si>
  <si>
    <t>Compromisos presupuestales cancelados vigencia anterior - Sobretasa Ambiental Rural</t>
  </si>
  <si>
    <t>Compromisos presupuestales cancelados vigencia anterior - Sobretasa Ambiental Areas Metropolitanas</t>
  </si>
  <si>
    <t>Compromisos presupuestales cancelados vigencia anterior - Contribución sector eléctrico - Generadores de energía convencional</t>
  </si>
  <si>
    <t>Compromisos presupuestales cancelados vigencia anterior - Contribución sector eléctrico - Generadores de energía no convencional</t>
  </si>
  <si>
    <t>Compromisos presupuestales cancelados vigencia anterior - Certificaciones y constancias</t>
  </si>
  <si>
    <t xml:space="preserve">Compromisos presupuestales cancelados vigencia anterior - Evaluación de licencias y trámites ambientales </t>
  </si>
  <si>
    <t xml:space="preserve">Compromisos presupuestales cancelados vigencia anterior - Seguimiento de licencias y trámites ambientales </t>
  </si>
  <si>
    <t>Compromisos presupuestales cancelados vigencia anterior -  Tasa por el Uso del Agua</t>
  </si>
  <si>
    <t>Compromisos presupuestales cancelados vigencia anterior - Tasa Retributiba</t>
  </si>
  <si>
    <t>Compromisos presupuestales cancelados vigencia anterior - Tasa de Aprovechamiento Forestal</t>
  </si>
  <si>
    <t>Compromisos presupuestales cancelados vigencia anterior - Tasa compensatoria por caza de fauna silvestre</t>
  </si>
  <si>
    <t>Compromisos presupuestales cancelados vigencia anterior -  Sobretasa ambiental - Peajes</t>
  </si>
  <si>
    <t>Compromisos presupuestales cancelados vigencia anterior - Tasa Compensatoria por la utilización permanente de la reserva forestal protectora Bosque Oriental de Bogotá</t>
  </si>
  <si>
    <t>Compromisos presupuestales cancelados vigencia anterior - Salvoconducto Unico Nacional</t>
  </si>
  <si>
    <t>Compromisos presupuestales cancelados vigencia anterior - Multas ambientales</t>
  </si>
  <si>
    <t>Compromisos presupuestales cancelados vigencia anterior - Intereses de mora multas y sanciones</t>
  </si>
  <si>
    <t>Compromisos presupuestales cancelados vigencia anterior - Venta de bienes y servicios</t>
  </si>
  <si>
    <t>Compromisos presupuestales cancelados vigencia anterior - Participación ambiental en el porcentaje de recaudo del impuesto predial</t>
  </si>
  <si>
    <t>Compromisos presupuestales cancelados vigencia anterior - Participación de intereses de mora al porcentaje de recaudo del impuesto predial.</t>
  </si>
  <si>
    <t>Compromisos presupuestales cancelados vigencia anterior - Concurrencia pasivo pensional</t>
  </si>
  <si>
    <t>Compromisos presupuestales cancelados vigencia anterior - Fallos Nacionales Sentencias</t>
  </si>
  <si>
    <t>Compromisos presupuestales cancelados vigencia anterior - Fallos Nacionales Conciliaciones</t>
  </si>
  <si>
    <t>Compromisos presupuestales cancelados vigencia anterior - Fallos Nacionales Laudos arbitrales</t>
  </si>
  <si>
    <t>Compromisos presupuestales cancelados vigencia anterior - Indemnizaciones relacionadas con seguros no de vida</t>
  </si>
  <si>
    <t>Compromisos presupuestales cancelados vigencia anterior -  Devoluciones seguridad Social Pensiones</t>
  </si>
  <si>
    <t>Compromisos presupuestales cancelados vigencia anterior - Disposición de activos financieros</t>
  </si>
  <si>
    <t>Compromisos presupuestales cancelados vigencia anterior - Disposición de activos no financieros</t>
  </si>
  <si>
    <t>Compromisos presupuestales cancelados vigencia anterior - Sociedades de economía mixta</t>
  </si>
  <si>
    <t>Compromisos presupuestales cancelados vigencia anterior - Dividendos y utilidades por otras inversiones de capital</t>
  </si>
  <si>
    <t>Compromisos presupuestales cancelados vigencia anterior -  Rendimientos Financieros</t>
  </si>
  <si>
    <t>Excedentes de apropiación de gastos vigencia anterior</t>
  </si>
  <si>
    <t>Excedentes de apropiación de gastos vigencia anterior - Sobretasa Ambiental Urbano</t>
  </si>
  <si>
    <t>Excedentes de apropiación de gastos vigencia anterior - Sobretasa Ambiental Rural</t>
  </si>
  <si>
    <t>Excedentes de apropiación de gastos vigencia anterior - Sobretasa Ambiental Areas Metropolitanas</t>
  </si>
  <si>
    <t>Excedentes de apropiación de gastos vigencia anterior - Contribución sector eléctrico - Generadores de energía convencional</t>
  </si>
  <si>
    <t>Excedentes de apropiación de gastos vigencia anterior - Contribución sector eléctrico - Generadores de energía no convencional</t>
  </si>
  <si>
    <t>Excedentes de apropiación de gastos vigencia anterior - Certificaciones y constancias</t>
  </si>
  <si>
    <t xml:space="preserve">Excedentes de apropiación de gastos vigencia anterior - Evaluación de licencias y trámites ambientales </t>
  </si>
  <si>
    <t xml:space="preserve">Excedentes de apropiación de gastos vigencia anterior - Seguimiento de licencias y trámites ambientales </t>
  </si>
  <si>
    <t>Excedentes de apropiación de gastos vigencia anterior -  Tasa por el Uso del Agua</t>
  </si>
  <si>
    <t>Excedentes de apropiación de gastos vigencia anterior - Tasa Retributiba</t>
  </si>
  <si>
    <t>Excedentes de apropiación de gastos vigencia anterior - Tasa de Aprovechamiento Forestal</t>
  </si>
  <si>
    <t>Excedentes de apropiación de gastos vigencia anterior - Tasa compensatoria por caza de fauna silvestre</t>
  </si>
  <si>
    <t>Excedentes de apropiación de gastos vigencia anterior -  Sobretasa ambiental - Peajes</t>
  </si>
  <si>
    <t>Excedentes de apropiación de gastos vigencia anterior - Tasa Compensatoria por la utilización permanente de la reserva forestal protectora Bosque Oriental de Bogotá</t>
  </si>
  <si>
    <t>Excedentes de apropiación de gastos vigencia anterior - Salvoconducto Unico Nacional</t>
  </si>
  <si>
    <t>Excedentes de apropiación de gastos vigencia anterior - Multas ambientales</t>
  </si>
  <si>
    <t>Excedentes de apropiación de gastos vigencia anterior - Intereses de mora multas y sanciones</t>
  </si>
  <si>
    <t>Excedentes de apropiación de gastos vigencia anterior - Venta de bienes y servicios</t>
  </si>
  <si>
    <t>Excedentes de apropiación de gastos vigencia anterior - Participación ambiental en el porcentaje de recaudo del impuesto predial</t>
  </si>
  <si>
    <t>Excedentes de apropiación de gastos vigencia anterior - Participación de intereses de mora al porcentaje de recaudo del impuesto predial.</t>
  </si>
  <si>
    <t>Excedentes de apropiación de gastos vigencia anterior - Concurrencia pasivo pensional</t>
  </si>
  <si>
    <t>Excedentes de apropiación de gastos vigencia anterior - Fallos Nacionales Sentencias</t>
  </si>
  <si>
    <t>Excedentes de apropiación de gastos vigencia anterior - Fallos Nacionales Conciliaciones</t>
  </si>
  <si>
    <t>Excedentes de apropiación de gastos vigencia anterior - Fallos Nacionales Laudos arbitrales</t>
  </si>
  <si>
    <t>Excedentes de apropiación de gastos vigencia anterior - Indemnizaciones relacionadas con seguros no de vida</t>
  </si>
  <si>
    <t>Excedentes de apropiación de gastos vigencia anterior -  Devoluciones seguridad Social Pensiones</t>
  </si>
  <si>
    <t>Excedentes de apropiación de gastos vigencia anterior - Disposición de activos financieros</t>
  </si>
  <si>
    <t>Excedentes de apropiación de gastos vigencia anterior - Disposición de activos no financieros</t>
  </si>
  <si>
    <t>Excedentes de apropiación de gastos vigencia anterior - Sociedades de economía mixta</t>
  </si>
  <si>
    <t>Excedentes de apropiación de gastos vigencia anterior - Dividendos y utilidades por otras inversiones de capital</t>
  </si>
  <si>
    <t>Excedentes de apropiación de gastos vigencia anterior -  Rendimientos Financieros</t>
  </si>
  <si>
    <t>Reintegros y otros recursos no apropiados</t>
  </si>
  <si>
    <t>Reintegros</t>
  </si>
  <si>
    <t>Recursos no apropiados</t>
  </si>
  <si>
    <t xml:space="preserve">Aportes Presupuesto General de la Nación </t>
  </si>
  <si>
    <t>Aportes Presupuesto General de la Nación - Funcionamiento</t>
  </si>
  <si>
    <t>Aportes Fondo de Compensación Ambiental -FCA</t>
  </si>
  <si>
    <t>5</t>
  </si>
  <si>
    <t>Aportes del SPGR para Gastos de personal</t>
  </si>
  <si>
    <t>Aportes del SPGR para Adquisición de bienes y servicios</t>
  </si>
  <si>
    <t>Aportes del SPGR  para Transferencias corrientes</t>
  </si>
  <si>
    <t>CONTROL</t>
  </si>
  <si>
    <t>INFORME INGRESOS ABRIL 2022</t>
  </si>
  <si>
    <t>(12) RECAUDO EFECTIVO JULIO -DICIEMBRE 2022</t>
  </si>
  <si>
    <t>INFORME EJECUCIÓN GASTOS (30 JUN 2022</t>
  </si>
  <si>
    <t>*</t>
  </si>
  <si>
    <t>CONTROL A PARTIR DE INFORME DE INGRESOS 2022</t>
  </si>
  <si>
    <t>Sobretasa Ambiental Urbana_Vigencia Actual_PRESUPUESTADO</t>
  </si>
  <si>
    <t>Sobretasa Ambiental Urbana - Vigencia Actual_COMPROMETIDO</t>
  </si>
  <si>
    <t>Sobretasa Ambiental Urbana - Vigencia Actual_OBLIGACIONES</t>
  </si>
  <si>
    <t>Sobretasa Ambiental Urbana - Vigencia Actual_PAGOS</t>
  </si>
  <si>
    <t>INFORME JUNIO 2022</t>
  </si>
  <si>
    <t>Sobretasa Ambiental Urbana - Vigencia Anterior_PRESUPUESTADO</t>
  </si>
  <si>
    <t>Sobretasa Ambiental Urbana - Vigencia Anterior_COMPROMETIDO</t>
  </si>
  <si>
    <t>Sobretasa Ambiental Urbana - Vigencia Anterior_OBLIGACIONES</t>
  </si>
  <si>
    <t>Sobretasa Ambiental Urbana - Vigencia Anterior_PAGOS</t>
  </si>
  <si>
    <t>contribucion sector electrico- generadores de energia convencional-TEBSA-vigencia actual_PRESUPUESTADO</t>
  </si>
  <si>
    <t>contribucion sector electrico- generadores de energia convencional-TEBSA-vigencia actual_COMPROMETIDO</t>
  </si>
  <si>
    <t>contribucion sector electrico- generadores de energia convencional-TEBSA-vigencia actual_OBLIGACIONES</t>
  </si>
  <si>
    <t>contribucion sector electrico- generadores de energia convencional-TEBSA-vigencia actual_PAGOS</t>
  </si>
  <si>
    <t>contribucion sector electrico- generadores de energia convencional-TEBSA-vigencia anterior_PRESUPUESTADO</t>
  </si>
  <si>
    <t>contribucion sector electrico- generadores de energia convencional-TEBSA-vigencia anterior_COMPROMETIDO</t>
  </si>
  <si>
    <t>contribucion sector electrico- generadores de energia convencional-TEBSA-vigencia anterior_OBLIGACIONES</t>
  </si>
  <si>
    <t>contribucion sector electrico- generadores de energia convencional-TEBSA-vigencia anterior_PAGOS</t>
  </si>
  <si>
    <t>contribucion sector electrico- generadores de energia convencional-TERMOFLORES -vigencia actual_PRESUPUESTADO</t>
  </si>
  <si>
    <t>contribucion sector electrico- generadores de energia convencional-TERMOFLORES -vigencia actual_COMPROMETIDO</t>
  </si>
  <si>
    <t>contribucion sector electrico- generadores de energia convencional-TERMOFLORES -vigencia actual_OBLIGACIONES</t>
  </si>
  <si>
    <t>contribucion sector electrico- generadores de energia convencional-TERMOFLORES -vigencia actual_PAGOS</t>
  </si>
  <si>
    <t>contribucion sector electrico- generadores de energia convencional-TERMOFLORES -vigencia anterior_PRESUPUESTADO</t>
  </si>
  <si>
    <t>contribucion sector electrico- generadores de energia convencional-TERMOFLORES -vigencia anterior_COMPROMETIDO</t>
  </si>
  <si>
    <t>contribucion sector electrico- generadores de energia convencional-TERMOFLORES -vigencia anterior_OBLIGACIONES</t>
  </si>
  <si>
    <t>contribucion sector electrico- generadores de energia convencional-TERMOFLORES -vigencia anterior_PAGOS</t>
  </si>
  <si>
    <t>contribucion sector electrico- generadores de energia No convencional-MONOMEROS -vigencia actual_PRESUPUESTADO</t>
  </si>
  <si>
    <t>contribucion sector electrico- generadores de energia No convencional-MONOMEROS -vigencia actual_COMPROMETIDO</t>
  </si>
  <si>
    <t>contribucion sector electrico- generadores de energia No convencional-MONOMEROS -vigencia actual_OBLIGACIONES</t>
  </si>
  <si>
    <t>contribucion sector electrico- generadores de energia No convencional-MONOMEROS -vigencia actual_PAGOS</t>
  </si>
  <si>
    <t>contribucion sector electrico- generadores de energia No convencional-MONOMEROS -vigencia anterior_PRESUPUESTADO</t>
  </si>
  <si>
    <t>contribucion sector electrico- generadores de energia No convencional-MONOMEROS -vigencia anterior_COMPROMETIDO</t>
  </si>
  <si>
    <t>contribucion sector electrico- generadores de energia No convencional-MONOMEROS -vigencia anterior_OBLIGACIONES</t>
  </si>
  <si>
    <t>contribucion sector electrico- generadores de energia No convencional-MONOMEROS -vigencia anterior_PAGOS</t>
  </si>
  <si>
    <t>Seguimiento a licencias, permisos, concesiones, autorizaciones y demás trámites ambientales (vigencia actual)_PRESUPUESTADO</t>
  </si>
  <si>
    <t>Seguimiento a licencias, permisos, concesiones, autorizaciones y demás trámites ambientales (vigencia actual)_COMPROMETIDO</t>
  </si>
  <si>
    <t>Seguimiento a licencias, permisos, concesiones, autorizaciones y demás trámites ambientales (vigencia actual)_OBLIGACIONES</t>
  </si>
  <si>
    <t>Seguimiento a licencias, permisos, concesiones, autorizaciones y demás trámites ambientales (vigencia actual)_PAGOS</t>
  </si>
  <si>
    <t>Tasa retributiva (vigencia actual)_PRESUPUESTADO</t>
  </si>
  <si>
    <t>Tasa retributiva (vigencia actual)_COMPROMETIDO</t>
  </si>
  <si>
    <t>Tasa retributiva (vigencia actual)_OBLIGACIONES</t>
  </si>
  <si>
    <t>Tasa retributiva (vigencia actual)_PAGOS</t>
  </si>
  <si>
    <t>Tasa retributiva (vigencia anterior)_PRESUPUESTADO</t>
  </si>
  <si>
    <t>Tasa retributiva (vigencia anterior)_COMPROMETIDO</t>
  </si>
  <si>
    <t>Tasa retributiva (vigencia anterior)_OBLIGACIONES</t>
  </si>
  <si>
    <t>Tasa retributiva (vigencia anterior)_PAGOS</t>
  </si>
  <si>
    <t>Tasa por el uso del agua (vigencia actual)_PRESUPUESTADO</t>
  </si>
  <si>
    <t>Tasa por el uso del agua (vigencia actual)_COMPROMETIDO</t>
  </si>
  <si>
    <t>Tasa por el uso del agua (vigencia actual)_OBLIGACIONES</t>
  </si>
  <si>
    <t>Tasa por el uso del agua (vigencia actual)_PAGOS</t>
  </si>
  <si>
    <t>Tasa por el uso del agua (vigencia anterior)_PRESUPUESTADO</t>
  </si>
  <si>
    <t>Tasa por el uso del agua (vigencia anterior)_COMPROMETIDO</t>
  </si>
  <si>
    <t>Tasa por el uso del agua (vigencia anterior)_OBLIGACIONES</t>
  </si>
  <si>
    <t>Tasa por el uso del agua (vigencia anterior)_PAGOS</t>
  </si>
  <si>
    <t>Tasa de aprovechamiento Forestal (vigencia actual)_PRESUPUESTADO</t>
  </si>
  <si>
    <t>Tasa de aprovechamiento Forestal (vigencia actual)_COMPROMETIDO</t>
  </si>
  <si>
    <t>Tasa de aprovechamiento Forestal (vigencia actual)_OBLIGACIONES</t>
  </si>
  <si>
    <t>Tasa de aprovechamiento Forestal (vigencia actual)_PAGOS</t>
  </si>
  <si>
    <t>Tasa de aprovechamiento Forestal (vigencia anterior)_PRESUPUESTADO</t>
  </si>
  <si>
    <t>Tasa de aprovechamiento Forestal (vigencia anterior)_COMPROMETIDO</t>
  </si>
  <si>
    <t>Tasa de aprovechamiento Forestal (vigencia anterior)_OBLIGACIONES</t>
  </si>
  <si>
    <t>Tasa de aprovechamiento Forestal (vigencia anterior)_PAGOS</t>
  </si>
  <si>
    <t>Multas ambientales (vigencia actual)_PRESUPUESTADO</t>
  </si>
  <si>
    <t>Multas ambientales (vigencia actual)_COMPROMETIDO</t>
  </si>
  <si>
    <t>Multas ambientales (vigencia actual)_OBLIGACIONES</t>
  </si>
  <si>
    <t>Multas ambientales (vigencia actual)_PAGOS</t>
  </si>
  <si>
    <t>Multas ambientales (vigencia anterior)_PRESUPUESTADO</t>
  </si>
  <si>
    <t>Multas ambientales (vigencia anterior)_COMPROMETIDO</t>
  </si>
  <si>
    <t>Multas ambientales (vigencia anterior)_OBLIGACIONES</t>
  </si>
  <si>
    <t>Multas ambientales (vigencia anterior)_PAGOS</t>
  </si>
  <si>
    <t>Participación ambiental en el porcentaje de recaudo del impuesto predial - Vigencia Actual_PRESUPUESTADO</t>
  </si>
  <si>
    <t>participacion ambiental en el porcentaje de recaudo del impuesto predial-vigencia actual_COMPROMETIDO</t>
  </si>
  <si>
    <t>participacion ambiental en el porcentaje de recaudo del impuesto predial-vigencia actual_OBLIGACIONES</t>
  </si>
  <si>
    <t>participacion ambiental en el porcentaje de recaudo del impuesto predial-vigencia actual_PAGOS</t>
  </si>
  <si>
    <t>participacion ambiental en el porcentaje de recaudo del impuesto predial-vigencia anterior_PRESUPUESTADO</t>
  </si>
  <si>
    <t>participacion ambiental en el porcentaje de recaudo del impuesto predial-vigencia anterior_COMPROMETIDO</t>
  </si>
  <si>
    <t>participacion ambiental en el porcentaje de recaudo del impuesto predial-vigencia anterior_OBLIGACIONES</t>
  </si>
  <si>
    <t>participacion ambiental en el porcentaje de recaudo del impuesto predial-vigencia anterior_PAGOS</t>
  </si>
  <si>
    <t>depositos-sobretasa ambiental urbano_PRESUPUESTADO</t>
  </si>
  <si>
    <t>depositos-sobretasa ambiental urbano_COMPROMETIDO</t>
  </si>
  <si>
    <t>depositos-sobretasa ambiental urbano_OBLIGACIONES</t>
  </si>
  <si>
    <t>depositos-sobretasa ambiental urbano_PAGOS</t>
  </si>
  <si>
    <t>condicionadas a la adquisición de un activo-Vigencia anterior_PRESUPUESTADO</t>
  </si>
  <si>
    <t>condicionadas a la adquisición de un activo-Vigencia anterior_COMPROMETIDO</t>
  </si>
  <si>
    <t>condicionadas a la adquisición de un activo-Vigencia anterior_OBLIGACIONES</t>
  </si>
  <si>
    <t>condicionadas a la adquisición de un activo-Vigencia anterior_PAGOS</t>
  </si>
  <si>
    <t>Condicionadas a la adquisición de un activo-Vigencia actual_PRESUPUESTADO</t>
  </si>
  <si>
    <t>Condicionadas a la adquisición de un activo-Vigencia actual_COMPROMETIDO</t>
  </si>
  <si>
    <t>Condicionadas a la adquisición de un activo-Vigencia actual_OBLIGACIONES</t>
  </si>
  <si>
    <t>Condicionadas a la adquisición de un activo-Vigencia actual_PAGOS</t>
  </si>
  <si>
    <t>Recursos de contratos de empréstitos internos-Banca Comercial_PRESUPUESTADO</t>
  </si>
  <si>
    <t>Recursos de contratos de empréstitos internos-Banca Comercial_COMPROMETIDO</t>
  </si>
  <si>
    <t>Recursos de contratos de empréstitos internos-Banca Comercial_OBLIGACIONES</t>
  </si>
  <si>
    <t>Recursos de contratos de empréstitos internos-Banca Comercial_PAGOS</t>
  </si>
  <si>
    <t>NA</t>
  </si>
  <si>
    <t>(18) AVANCE DE LOS RECURSOS OBLIGADOS  $</t>
  </si>
  <si>
    <t>INFORME GASTOS DIC 2022</t>
  </si>
  <si>
    <t>3.4.1.1 (A) Crear los comités municipales de guardianes del medio ambiente -GUMA para apoyar la gestión ambiental de la CRA</t>
  </si>
  <si>
    <t>3.4.1.1 (B) Crear los comités municipales de guardianes del medio ambiente -GUMA para apoyar la gestión ambiental de la CRA</t>
  </si>
  <si>
    <t>0261 de 2022
0243 de 2022</t>
  </si>
  <si>
    <t>En ejecución</t>
  </si>
  <si>
    <t>functioning</t>
  </si>
  <si>
    <t>Funcionarios del área de planeación</t>
  </si>
  <si>
    <t>Adición No. 01 al Contrato de Obra No. 0371 de 2020</t>
  </si>
  <si>
    <t xml:space="preserve">Adición No. 01 al Convenio 001 de 2021 </t>
  </si>
  <si>
    <t>0261 de 2022</t>
  </si>
  <si>
    <t>60 de 2022</t>
  </si>
  <si>
    <t>131 y 159</t>
  </si>
  <si>
    <t xml:space="preserve">Adición Cto 186 y Cto 45.
</t>
  </si>
  <si>
    <t>Cto 61</t>
  </si>
  <si>
    <t>Adición Contrato N° 237 de 2021</t>
  </si>
  <si>
    <t>Contrato: 000367 de 2014</t>
  </si>
  <si>
    <t>Contrato No. 0232 de 2022</t>
  </si>
  <si>
    <t>En Ejecución</t>
  </si>
  <si>
    <t>Contract</t>
  </si>
  <si>
    <t>Funcionarios de la subdirección de gestión ambiental</t>
  </si>
  <si>
    <t xml:space="preserve">Contrato No. 229 de 2022 </t>
  </si>
  <si>
    <t>Contrato 14 y 63</t>
  </si>
  <si>
    <t xml:space="preserve">Contrato de prestación de servicios No.127 de 2022 </t>
  </si>
  <si>
    <t>contrato No.250  de 2022</t>
  </si>
  <si>
    <t>Contratos de prestación de servicios profesionales No.084, 213 y 243 del 2022 
Convenio No.001 del 28 de enero del 2022</t>
  </si>
  <si>
    <t>Contrato No.243 de 2022
Convenio No.001 del 28 de enero del 2022</t>
  </si>
  <si>
    <t>Contrato No.250 del 28 de enero del 2022</t>
  </si>
  <si>
    <t xml:space="preserve">Cto 178 </t>
  </si>
  <si>
    <t>Contrato No.250 del 2022</t>
  </si>
  <si>
    <t xml:space="preserve">Adición del Convenio 0007 </t>
  </si>
  <si>
    <t>Ctos 02, 75, 76, 114, 161 y 230</t>
  </si>
  <si>
    <t>Convenio No.001 de enero 28 del 2022</t>
  </si>
  <si>
    <t>Personal subdirección de gestión ambiental</t>
  </si>
  <si>
    <t>Cto 37, 41, 72, 115, 139, 182, 183, 187, 206, 219, 252 y 257</t>
  </si>
  <si>
    <t>Cto 130, 154</t>
  </si>
  <si>
    <t>Cto 120, 185</t>
  </si>
  <si>
    <t>contrato 301 de 2022</t>
  </si>
  <si>
    <t>Cto 96, 135, 107 y 146</t>
  </si>
  <si>
    <t>Cto 96, 117, 214 y 252</t>
  </si>
  <si>
    <t>Cto 96, 146, 152</t>
  </si>
  <si>
    <t>Cto 33, 42, 45, 62, 67, 82, 87, 89, 101, 122, 114, 118, 130, 133, 134, 142, 143, 146, 151, 180, 188 y 207</t>
  </si>
  <si>
    <t>Cto 93, 99, 125, 133, 137, 138, 136, 150, 189.</t>
  </si>
  <si>
    <t>Cto 191, 91, 101 y 208</t>
  </si>
  <si>
    <t>Cto 33</t>
  </si>
  <si>
    <t>Cto 10, 116, 189 y 235</t>
  </si>
  <si>
    <t>Cto 44, 65, 76, 60, 164, 238, 241.</t>
  </si>
  <si>
    <t>Cto 45, 46, 14, 112, 148, 241</t>
  </si>
  <si>
    <t>Funcionarios Corporación</t>
  </si>
  <si>
    <t>Contrato No. 242 de 2022</t>
  </si>
  <si>
    <t>Recursos Humanos</t>
  </si>
  <si>
    <t>contratos 097 y 174 del 2022</t>
  </si>
  <si>
    <t>contratos No. 104 y 124 del 2022</t>
  </si>
  <si>
    <t>contratos de prestación de servicios profesionales No. 026 y 215 del 2022</t>
  </si>
  <si>
    <t>Contrato No. 0262 del 2022</t>
  </si>
  <si>
    <t>Contrato 179</t>
  </si>
  <si>
    <t>Contrato 179 y 104</t>
  </si>
  <si>
    <t xml:space="preserve">contrato 254 de 2022 </t>
  </si>
  <si>
    <t>Contrato No. 301 de 2021</t>
  </si>
  <si>
    <t>Contrato 186, 188 y 36.</t>
  </si>
  <si>
    <t>Contrato 0018, Contrato 00023, Contrato 00064, Contrato 000202 y  Contrato 000145</t>
  </si>
  <si>
    <t>Cto 119, 178 y 145</t>
  </si>
  <si>
    <t>Cto 64 y 119</t>
  </si>
  <si>
    <t>Cto 119</t>
  </si>
  <si>
    <t>Cto 74, 165, 170 y 200</t>
  </si>
  <si>
    <t xml:space="preserve">Cto 186 y 247
Convenio No. 00001 de 2022 </t>
  </si>
  <si>
    <t>Cto 36, 166 y 186</t>
  </si>
  <si>
    <t xml:space="preserve">Cto 254, 36 y </t>
  </si>
  <si>
    <t>Cto 254 y 36</t>
  </si>
  <si>
    <t>Contrato 0254 de 2022</t>
  </si>
  <si>
    <t>Cto 255, 152, 171</t>
  </si>
  <si>
    <t>contratos de prestación de servicios profesionales No. 083 y 153 del 2022</t>
  </si>
  <si>
    <t xml:space="preserve">Contrato No. 237 de 2022
Contrato de Prestación de Servicios profesionales No. 153 del 2022 </t>
  </si>
  <si>
    <t>Contrato 237</t>
  </si>
  <si>
    <t>Adición presepupuestal al contrato No. 362 
Contrato No.268 del 2022</t>
  </si>
  <si>
    <t>Contrato No.: 186 de 2022</t>
  </si>
  <si>
    <t>Cto 12, 75, 94, 186</t>
  </si>
  <si>
    <t>Contrato No. 157 y 186 del 2022</t>
  </si>
  <si>
    <t>Contrato No. 075, 04, 07, 022, 123 de 2022 y Adición al contrato 182</t>
  </si>
  <si>
    <t>Cto 08, 13, 27, 30, 34, 54, 113, 192.</t>
  </si>
  <si>
    <t>Cto 08, 21, 27, 30, 54, 113, 192</t>
  </si>
  <si>
    <t>Cto 10, 13, 21 y 197</t>
  </si>
  <si>
    <t>Cto 03, 09, 11, 15, 69 y 92</t>
  </si>
  <si>
    <t xml:space="preserve">Contrato N°296, °263, 267 Orden de Compra No. 76479, Adición del contrato N°300 y 301:  </t>
  </si>
  <si>
    <t>adición al contrato No. 300</t>
  </si>
  <si>
    <t>(17)  PORCENTAJE DEL AVANCE RECURSOS COMPROMETIDOS % (Periodo Evaluado) 
((16/15)*100)</t>
  </si>
  <si>
    <t>Aportes inversión Fondo Nacional Ambiental - FONAM_PRESUPUESTADO</t>
  </si>
  <si>
    <t>Aportes inversión Fondo Nacional Ambiental - FONAM_COMPROMETIDO</t>
  </si>
  <si>
    <t>Aportes inversión Fondo Nacional Ambiental - FONAM_OBLIGACIONES</t>
  </si>
  <si>
    <t>Aportes inversión Fondo Nacional Ambiental - FONAM_PAGOS</t>
  </si>
  <si>
    <t>Dado que el seguimiento del POMCA Río Magdalena se encuentra sujeta a la adopción de éste bajo el marco normativo del Decreto No. 1076 del 2015, es necesario acotar que dicha adopción no se ha realizado, por lo cual durante la vigencia 2022 no se realizó seguimiento al instrumento.
Sin embargo, esta autoridad ambiental, en el marco del proceso de adopción del POMCA, realizó una reunión el día 30 de diciembre de 2022, con la Camara de Comercio de Barranquilla, con el fin de avanzar en la identificación de actores presentes en la cuenca del complejo de humedales del río Magdalena, por lo cual revisó la zonificación establecida para la cuenca.</t>
  </si>
  <si>
    <t xml:space="preserve">Dado que el seguimiento del POMCA Canal del Dique se encuentra sujeto a la adopción de éste bajo el marco normativo del Decreto No.1076 del 2015, es necesario acotar que dicha adopcion no se llevó a cabo durante la vigencia 2022, por lo que no se realizó seguimiento al instrumento.
Con el fin de avanzar en el proceso de adopción del instrumento, se realizaron acercamientos con las comunidades etnicas pendientes de consulta previa, con el fin de conocer sus propuestas ante los ajustes del POMCA, en dichas reuniones se contó con la participación de los miembros del Consejo de Cuenca. </t>
  </si>
  <si>
    <t xml:space="preserve">Para la implementacion de los Planes de ordenamiento del recurso hidrico del embalse del Guajaro y de las Cienagas de Luruaco, Mallorquin, Sabanagrande, Santo Tomas y Palmar de Varela la corporación viene ejecutando acciones para recuperar la calidad del agua de las ciénagas mediante ejercicios de control y seguimiento. </t>
  </si>
  <si>
    <t>Los profesionales contratados para apoyar y fortalecer al equipo interno de trabajo de la CRA, cuentan con una amplia experiencia en el área ambiental y sus perfiles profesionales corresponden a: (1) Ingeniero Ambiental y Sanitario (Contrato No.65 del 2022), (1) Ingeniera Civil con Magister en Gestión Ambiental (Contrato No.79 del 2022), (1) Bióloga con Magister en Recurso Naturales (Contrato No.59 del 2022), (2) Geógrafos (Contrato No.238 del 2022 y Contrato No.76 de 2022), (2) Abogadas (Contrato No. 44 de 2022 y Contrato No.114 del 2022).</t>
  </si>
  <si>
    <t>44, 65, 59, 76, 79, 114 y 238</t>
  </si>
  <si>
    <t>Como mecanismo de participación efectiva de los usuarios en la Planeación, Administración, Vigilancia y Monitoreo del recurso Hídrico se encuentran conformados tres (3) consejos de cuencas:
­	Ciénaga de Mallorquín y los Arroyos Grande y León.
­	Complejo de humedales de la vertiente occidental del Río Magdalena en el Departamento del Atlántico. 
­	Canal del Dique.</t>
  </si>
  <si>
    <t>En la vigencia 2022 se realizó mantenimiento a las compuertas Villa Rosa y el Porvenir. Las actividades se realizaron en el marco del Contrato No.346 del 2022, cuyo objeto es “REALIZAR EL MANTENIMIENTO PREVENTIVO Y CORRECTIVO DE LAS ESTRUCTURAS DE REGULACION HIDRICA DE EL PORVENIR Y VILLAROSA Y LA LIMPIEZA DE LOS CANALES DE INTERCONEXION HIDRICA ENTRE EL CANAL DEL DIQUE Y EL EMBALSE EL GUAJARO COMO MEDIDA DE SOSTENIBILIDAD DEL ECOSISTEMA.”</t>
  </si>
  <si>
    <t>La CRA realizó la intervención programada para la vigencia 2022, para la recuperación ambiental de los humedales asociados a la cuenca del canal dique mediante la ejecución de los contratos descritos a continuación, logrando un cumplimiento de la meta del 100%.
Contrato de Obra No. 371 de 2020 - Adición No. 01 (14 de febrero de 2022), cuyo objeto es “EJECUTAR EL DRAGADO DE MANTENIMIENTO Y DISPOSICIÓN DE SEDIMENTOS DEL EMBALSE EL GUÁJARO PARA LA SOSTENIBILIDAD Y RECUPERACIÓN DE LA HIDRODINÁMICA DEL ECOSISTEMA ESTRATÉGICO EN JURISDICCIÓN DEL MUNICIPIO DE REPELÓN EN EL DEPARTAMENTO DEL ATLÁNTICO”, el cual  permitió reestablecer el flujo de agua en las zonas que presentaban pocas profundidades y grandes concentraciones de sedimentos, como estrategia de sostenibilidad de este cuerpo de agua.</t>
  </si>
  <si>
    <t>Las actividades proyectadas para el 2022 en relación con la Recuperación ambiental de los humedales asociados a la vertiente occidental del Río Magdalena, se realizó a través del proyecto de “CANALIZACIÓN DEL ARROYO PUENTE VENANCIO EN EL MUNICIPIO DE SANTO TOMÁS, DEPARTAMENTO DEL ATLANTICO”. Convenio No. 001 del 2021 - Adicional No. 1 del 2022. 
Con la ejecución del 100% de esta obra se intervinieron 246 ml del arroyo Venancio mediante la construcción de 1480 m3 de gaviones sobre la margen derecha e izquierda del mismo. De igual manera se realizó 2190 m3 de excavacion y limpieza del canal.</t>
  </si>
  <si>
    <t>Se realizó la intervencion para la recuperacion ambiental de la cuenca de la Cienaga de Mallorquin mediante la ejecución del Contrato No. 261 de 2022 cuyo objeto es  el “MANTENIMIENTO Y OPERACIÓN DEL SISTEMA INTEGRAL DE CAPTACIÓN, TRATAMIENTO CON BIOTECNOLOGÍA Y REÚSO DE LAS AGUAS DEL ARROYO LEÓN PARA GARANTIZAR LA SOSTENIBILIDAD HÍDRICA Y AMBIENTAL DE LA CIÉNAGA DEL RINCÓN "LAGO DEL CISNE" EN EL DEPARTAMENTO DEL ATLÁNTICO”, mediante el cual se logró mantener los niveles optimos en el Lado del Cisne a pesar que en el primer semestre del año se presentaron pocas lluvias. El Lago del Cisne se encuentra localizado dentro de la Cuenca Hidrográfica de La Ciénaga de Mallorquín, cumpliendo una función ambiental e hidráulica vital para el funcionamiento completo de este ecosistema hidrográfico, caracterizado por la capacidad de amortiguación hidráulica que le brinda a la ciénaga de mallorquín ante los caudales aportados por los arroyos Grande y León en su cuenca baja.</t>
  </si>
  <si>
    <t xml:space="preserve">Mediante la alianza interinstitucional AUNAP – CRA – Gobernación del Atlántico, Ejercito Nacional, Alcaldías locales y Federación del pescadores del Sur de Atlántico y Canal del Dique, así como los pescadores y comunidades de Lomita Arena y Pueblo Nuevo, se logró implementar el programa de rescate, salvamento, traslado y siembra (PSRT) de especies ícticas silvestres y nativas con fines de repoblamiento en los sistemas hídricos de los complejos de cenagosos, costeros, someras en la cuenca baja del Rio Grande de la Magdalena en el Departamento del Atlántico para el año 2022, logrando el 100% de la meta programada con el repoblamiento de doce millones (12.000.000) de alevinos.
Por otra parte, en el marco del Contrato No. 284 del 2022, cuyo objeto contractual fue: “PRESTACIÓN DE SERVICIOS PROFESIONALES Y DE APOYO A LA GESTIÓN PARA EL ACOMPAÑAMIENTO EN EL DESARROLLO DE UN PROGRAMA DE PARTICIPACIÓN CIUDADANA, EN GESTIÓN AMBIENTAL, PARA LA CONSERVACIÓN DE LOS ECOSISTEMAS LOCALES Y EL BIENESTAR SOCIAL Y ECONÓMICO DE LA COMUNIDAD EN JURISDICCIÓN DEL DEPARTAMENTO DEL ATLÁNTICO.”, se desarrollaron talleres de formación teórico prácticos enfocados en temáticas relacionadas con repoblamiento local y acuicultura sostenible. 
Producto del proceso de formación se llevó a cabo el repoblamiento de 100.000 alevinos de bocachicos en el embalse El Guájaro, corregimiento de la Peña, en los puntos cercanos a la Isla Martín Cabezas. La actividad contó con el acompañamiento de la Asociación de pescadores de La Peña.           </t>
  </si>
  <si>
    <t>De las 179 concesiones de aguas vigentes al inicio de la vigencia 2022, se tiene una meta de 143 PUEAA aprobados, que corresponden al 80% de la meta para dicha vigencia, de ésta se logró la aprobación de 56 PUEAA al cierre de la vigencia.   Considerando la meta establecida para el presente año, se tiene un cumplimiento del 39.16% de la meta anual establecida: 
 Total concesiones: 179 
•	Meta año 2022 (80%): 143 
•	Cumplidas a diciembre 2022: 56 
•	% cumplimiento: 39.16%</t>
  </si>
  <si>
    <t>De las actividades de control y seguimiento ambiental atendidos durante el año 2022, se cuenta con 56 PUEAA aprobados de los cuales se le hizo seguimiento a 49 de ellos. 
Teniendo en cuenta lo anterior, la meta tuvo un cumplimiento del  87.5% para al año 2022.</t>
  </si>
  <si>
    <t>Para el corte a 31 de diciembre del año 2022, la corporación cuenta con 46 permisos entre otorgados, renovados y modificados distribuidos de la siguiente manera:
•	Otorgados: 23 permisos
•	Renovados: 17 permisos
•	Prorrogados: 3 permisos
•	Modificados: 3 permisos</t>
  </si>
  <si>
    <t>Para el cumplimiento de esta meta se contrató el Monitoreo fisicoquimico, microbiológico e hidrobiológico sobre la calidad y estado actual de las fuentes hídricas del Departamento del Atlántico, además, el desarrollo del índice de calidad de la ciénaga de Luruaco y monitoreo de puntos de vertimientos”. Las acciones se desarrollan en el marco del Contrato No. 279 del 2022, cuyo objeto es: “FORMULAR EL PLAN DE ORDENAMIENTO DEL RECURSO HÍDRICO Y EL ACOTAMIENTO DE LA RONDA HIDRICA PARA LA CIENAGA DE MALAMBO EN EL DEPARTAMENTO DEL ATLANTICO”.</t>
  </si>
  <si>
    <t>Se dio cumplimiento a la meta programada para la vigencia 2022, lo anterior, se logró a través del Convenio No. 009 de 2022, celebrado con el Instituto de Investigaciones Marinas José Benito Vives de Andreis – INVEMAR, cuyo objeto es: “AUNAR ESFUERZOS TÉCNICOS, ADMINISTRATIVOS Y FINANCIEROS PARA EVALUAR LA CALIDAD DE LAS AGUAS MARINAS Y COSTERAS EN EL MARCO DEL MONITOREO DE LA REDCAM Y DETERMINAR LAS CONDICIONES AMBIENTALES DE PUNTA ASTILLERO CON RECOMENDACIONES ORIENTADAS A ESTABLECER ASPECTOS DETERMINANTES PARA LA RESTAURACIÓN ECOLÓGICA DEL SISTEMA DE MANGLAR DE ESA ZONA COSTERA DEL DEPARTAMENTO DEL ATLÁNTICO”. Con la finalidad de dar continuidad a las actividades de cooperación relacionadas con el monitoreo y operación del nodo REDCAM de la CRA, se tomaron muestras de sedimentos en las estaciones Puerto Velero (arena de playa y sumergido en zona con presencia de pastos marinos) y aguas abajo base naval (CRA-17), para el análisis de granulometría, carbono orgánico total, metales totales (Cu, Zn, Ni, Fe, Cr, Cd, Hg y Pb), hidrocarburos aromáticos policíclicos, plaguicidas organofosforados y organoclorados; muestras de arena en seis playas turísticas del departamento para el análisis de basura marina y microplásticos, tomando una muestra para determinar granulometría y COT en uno de los cuadrantes del transecto.</t>
  </si>
  <si>
    <t>convenio 009</t>
  </si>
  <si>
    <t>A la fecha se registra un avance del 100% en la meta, representado en las siguientes actividades:
La meta de esta acción estratégica se cumplió en el primer semestre del año 2022, para lo cual se presentó el dia 26 de mayo de 2022 el Informe de evaluación del cumplimiento de la meta de carga contaminante de DBO5 y SST, así como eliminación de puntos de vertimiento de las Empresas de Servicios Públicos para el periodo 2020/2021, para todos los sujetos pasivos identificados en la jurisdicción de la C.R.A al Consejo Directivo de la Entidad en el marco de lo establecido en Secciones 3 y 4, del Capítulo 7, del Decreto 1076 de 2015, evaluando el cumplimiento de las metas de carga contaminante, globales e individuales, y objetivos de calidad como requisito para establecer el Factor regional con el cual calcular la Tasa retributiva para el periodo comprendido octubre de 2020 y septiembre de 2021, de los usuarios sujetos en jurisdicción de la Corporación Autónoma Regional del Atlántico.</t>
  </si>
  <si>
    <t>Durante las visitas de seguimiento ambiental realizadas a las cabeceras municipales, se verificó el estado de los vertimientos de los seguimientos de los corregimientos de los municipios.</t>
  </si>
  <si>
    <t>Se adelantó seguimiento al estado de cumplimiento de los 23 municipios objeto de aplicación del plan de saneamiento y manejo de vertimientos - PSMV, de los cuales 16 se encuentran vigentes (Soledad, Galapa, Puerto Colombia, Santo Tomás, Sabanagrande, Sabanalarga, Baranoa, Tubará, Palmar de Varela, Barranquilla, Usiacurí, Campo de la Cruz, Candelaria, Santa Lucía, Piojó y Juan de Acosta) y 6 en evaluación (Polonuevo, Repelón, Manatí, Suan, Malambo y Ponedera). Durante la vigencia se realizaron las 2 visitas de seguimiento ambiental</t>
  </si>
  <si>
    <t>Para la vigencia 2022 la Corporación, continua impulsando al municipio Juan de Acosta y el sector del Vaivén para seguir con la construcción de estación de bombeo y Planta de Tratamiento de Aguas Residuales, por lo que se realizó adición al Contrato: 237  del 2021 a través de Otro Si No. 1 y Otro Si No 2 realizados en el año 2022. En apoyo al municipio de Juan de Acosta se han desarrollado las siguientes actividades:
•	Excavación para Humedales.
•	Conformación Taludes Humedales.
•	Suministro e instalación de Tubería y geomembrana.
•	Instalación de gaviones humedales.
•	Excavación EBAR.
•	Instalación entibado metálico EBAR
•	Cimentación reactores.
•	Armado de acero reactor.
•	Construcción de losa de Fondo reactor.
•	Colocación de concreto muro reactor.
•	Construcción de vigas, columnas y mampostería cuarto eléctrico y laboratorio.
•	Construcción pozos de inspección.
•	Construcción cajas repartidoras.
•	Estabilización de talud sendero entre predio y humedales.
•	Construcción canal concreto para manejo de aguas lluvias.
•	Excavación, instalación y compactación de mejoramiento, instalación de solado y armado de acero de lechos de secado</t>
  </si>
  <si>
    <t>La Corporación Autónoma Regional del Atlántico a traves del Contrato No. 440 del 2019, se encuentra ejecutando dos proyectos de implmentación de PTARs para beneficiar a los Municipios de Sabanagrande y Palmar de Varela en el Departamento del Atlántico.
Proyecto No. 1 Rehabilitación de la EBAR y Construcción de la línea de impulsión del Municipio de Sabanagrande a la PTAR del Municipio de Santo Tomás.
Proyecto No. 2 Construcción de la EBAR y línea de impulsión del Municipio de Palmar de Varela a la PTAR del Municipio de Santo Tomás.</t>
  </si>
  <si>
    <t>Actualmente se encuentra en ejecución el Contrato No. 358 de 2022 cuyo objeto es la “ACTUALIZACIÓN DOCUMENTAL Y CARTOGRÁFICA DE AMENAZAS Y DETERMINANTES AMBIENTALES EN EL COMPLEJO DE HUMEDALES DE LA VERTIENTE OCCIDENTAL DEL RÍO MAGDALENA E IDENTIFICACIÓN DE LOS RIESGOS EN LAS INFRAESTRUCTURAS DE LOS ECOSISTEMAS CLAVES DE ABASTECIMIENTO HÍDRICO DEL DEPARTAMENTO DEL ATLÁNTICO”, con el propósito caracterizar de forma detallada el comportamiento hidráulico del río Magdalena  y su influencia sobre los humedales que cumplen una función reguladora de su caudal, que redunda en conocer las amenazas por fenómenos de inundación o avenidas torrenciales que puedan afectar las condiciones del ecosistema que coloque en riesgo el desabastecimiento de acueductos o sistemas productivos.</t>
  </si>
  <si>
    <t>196 m/l construídos y canalizados
Durante esta vigencia se construyeron 223 ml de canales para la recuperación del afluente denominado Arroyo Villegas el cual tributa hacia el Arroyo el Salao, de estos 196 ml corresponden a la meta programada para el año 2022, y 27 ml corresponden al rezago de la meta de la vigencia 2021. Obras que se recibieron a través del acta parcial de avance de obra del 06 de junio del 2022.</t>
  </si>
  <si>
    <t xml:space="preserve">De acuerdo con lo establecido en el Contrato de Obra No. 367 del 2014, se deben entregar cada tres meses un informe de avance de ejecución fisica de la obra, por parte del contratista y de la interventoria. 
A corte 31 de Diciembre de 2022, se realizó el informe de supervisión (34) de fecha 16 de Noviembre de 2022, del periodo trimestral No. 11, comprendido entre 02 Agosto a 02 de Noviembre de 2022, con cargo al Adicional No. 3 del Contrato No. 367 del 2014, soportado en el acta parcial de obras No.22, avalado previamente por la interventoria externa.  </t>
  </si>
  <si>
    <t>La Corporación a través de oficio No. 3116 de 28 de junio de 2022 , solicitó a la Agencia Distrital de Infraestructura el informe de ejecución en el marco de las obligaciones del Convenio de cofinanciación No. 031 de junio 17 de 2016, presentando informe, a través del cual se pueden presentar los avances obtenidos</t>
  </si>
  <si>
    <t xml:space="preserve">Con la ejecución del Contrato No.362-2022 celebrado con la Unión Temporal Syembra, cuyo objeto fue “ADELANTAR ACCIONES DE RESTAURACIÓN Y REHABILITACIÓN, A TRAVÉS DE REFORESTACIÓN ECOLÓGICA EN ÁREAS DE INTERÉS AMBIENTAL EN EL DRMI BANCO TOTUMO BIJIBANA EN EL MUNICIPIO DE REPELÓN, ATLANTICO”; se dio cumplimiento a la meta. </t>
  </si>
  <si>
    <t>contrac</t>
  </si>
  <si>
    <t>en ejcución</t>
  </si>
  <si>
    <t xml:space="preserve">Con la ejecución del Contrato No. 339 de 2022 cuyo objeto fue “CONTRATAR LOS SERVICIOS PARA EL ESTABLECIMIENTO Y PRODUCCIÓN DE PLÁNTULAS DE ESPECIES MADERABLES Y FRUTALES EN LAS INSTALACIONES DEL VIVERO ARMANDO DUGAND GNECCO EN EL MUNICIPIO DE REPELÓN DEL DEPARTAMENTO DEL ATLÁNTICO”; se desarrollaron las actividades necesarias para la producción de 50.000 plántulas de la meta de la vigencia, permitiendo fortalecer  técnica  y ambientalmente  la  producción  de  plántulas  en  el  vivero  de  la  CRA,  con  fines  de restauración y recuperación de los suelos.  </t>
  </si>
  <si>
    <t>En el marco del Convenio No. 0002 de 2022 cuyo objeto fue: “AUNAR ESFUERZOS TÉCNICOS, ADMINISTRATIVOS, Y FINANCIEROS PARA APOYAR EL DESARROLLO DE UN PROGRAMA DE FORTALECIMIENTO DE LA GESTIÓN AMBIENTAL SOSTENIBLE DE LOS RECURSOS NATURALES Y SECTORIALES, QUE CONTRIBUYA A LA CONSERVACIÓN DE LA BIODIVERSIDAD Y RIQUEZA DE LOS ECOSISTEMAS TERRESTRES Y MARINO COSTEROS DEL DEPARTAMENTO DEL ATLÁNTICO”, desarrollamos un programa para evitar la deforestación, aplicado en los municipios de Manatí y Ponedera.</t>
  </si>
  <si>
    <t>convenio 0002</t>
  </si>
  <si>
    <t xml:space="preserve">Mediante la ejecución del Convenio No. 0002 de 2022 cuyo objeto es “AUNAR ESFUERZOS TÉCNICOS, ADMINISTRATIVOS, Y FINANCIEROS PARA APOYAR EL DESARROLLO DE UN PROGRAMA DE FORTALECIMIENTO DE LA GESTIÓN AMBIENTAL SOSTENIBLE DE LOS RECURSOS NATURALES Y SECTORIALES, QUE CONTRIBUYA A LA CONSERVACIÓN DE LA BIODIVERSIDAD Y RIQUEZA DE LOS ECOSISTEMAS TERRESTRES Y MARINO COSTEROS DEL DEPARTAMENTO DEL ATLÁNTICO”, se implementaron medidas de adaptación al cambio climático. </t>
  </si>
  <si>
    <t>La Corporación, en el marco del Convenio Interadministrativo No. 0002 de 2022 cuyo objeto fue: “AUNAR ESFUERZOS TÉCNICOS, ADMINISTRATIVOS, Y FINANCIEROS PARA APOYAR EL DESARROLLO DE UN PROGRAMA DE FORTALECIMIENTO DE LA GESTIÓN AMBIENTAL SOSTENIBLE DE LOS RECURSOS NATURALES Y SECTORIALES, QUE CONTRIBUYA A LA CONSERVACIÓN DE LA BIODIVERSIDAD Y RIQUEZA DE LOS ECOSISTEMAS TERRESTRES Y MARINO COSTEROS DEL DEPARTAMENTO DEL ATLÁNTICO”, se encuentra desarrollando acciones para la recuperación o rehabilitación de 50 ha bajo sistemas sostenibles de conservación en el sur del Atlántico. Para ello, se ha adelantado el estudio de áreas para la identificación y selección de cincuenta hectáreas (50 Ha) de suelos deteriorados en el Municipio priorizado de Manatí.  De igual forma, y a través del análisis e información secundaria, se determina el grado de afectación de las características biofísicas de los suelos, en aspectos tales como degradación, erosión, salinización, compactación, etc.), con el fin de plantear acciones para la recuperación de los mismos.</t>
  </si>
  <si>
    <t>Con la ejecución del Contrato No. 295 del 2022 cuyo objeto fue: “PRESTACIÓN DE SERVICIOS PROFESIONALES Y DE APOYO A LA GESTIÓN PARA DESARROLLAR UNA ESTRATEGIA DE EDUCACIÓN AMBIENTAL SOBRE CONSERVACIÓN Y PROTECCIÓN DE LAS ESPECIES AMENAZADAS Y SOBRE EL MANEJO DE LAS ESPECIES INVASORAS EN EL DEPARTAMENTO DEL ATLÁNTICO, ASÍ COMO LA IMPLEMENTACIÓN DE ACCIONES PARA IMPULSAR PROYECTOS ECOTURÍSTICOS EN LAS ÁREAS PROTEGIDAS”; desarrollamos un programa de educación ambiental para sensibilizar y orientar sobre el manejo de las especies invasoras en el departamento del Atlántico, teniendo en cuenta que en la actualidad este tipo de especies afecta la diversidad biológica de los ecosistemas, estas especies invasoras son aquellas que se introducen en otros territorios y logran adaptarse, establecerse, reproducirse y dispersarse hasta colonizar el entorno, formar nuevas poblaciones y causar impactos en la biodiversidad, la salud o la economía. Los problemas que pueden ocasionar son: actúan como depredadores impidiendo el desarrollo de las especies nativas, compiten por el alimento y el espacio, introducen nuevos parásitos y enfermedades, entre otras.</t>
  </si>
  <si>
    <t>Se dio cumplimiento a la meta con la ejecución del Contrato No. 295 del 2022 cuyo objeto fue: “PRESTACIÓN DE SERVICIOS PROFESIONALES Y DE APOYO A LA GESTIÓN PARA DESARROLLAR UNA ESTRÉTEGIA DE EDUCACIÓN AMBIENTAL SOBRE CONSERVACIÓN Y PROTECCIÓN DE LAS ESPECIES AMENAZADAS Y SOBRE EL MANEJO DE LAS ESPECIES INVASORAS EN EL DEPARTAMENTO DEL ATLÁNTICO, ASÍ COMO LA IMPLEMENTACIÓN DE ACCIONES PARA IMPULSAR PROYECTOS ECOTURISTICOS EN LAS ÁREAS PROTEGIDAS”.</t>
  </si>
  <si>
    <t>En la vigencia 2022 se ejecutó el Contrato No. 295 del 2022 cuyo objeto fue:  “PRESTACION DE SERVICIOS PROFESIONALES Y DE APOYO A LA GESTION PARA DESARROLLAR UNA ESTRATEGIA DE EDUCACIÓN AMBIENTAL SOBRE CONSERVACIÓN Y PROTECCIÓN DE LAS ESPECIES AMENAZADAS Y SOBRE EL MANEJO DE LAS ESPECIES INVASORAS EN EL DEPARTAMENTO DEL ATLÁNTICO, ASI COMO LA IMPLEMENTACIÓN DE ACCIONES PARA IMPULSAR PROYECTOS ECOTURISTICOS EN LAS ÁREAS PROTEGIDAS”, a través del cual, desarrollamos un proceso de mesas de trabajo; posterior al análisis de la información se procedió a la selección de seis(6) especies a trabajar (cuatro especies de Fauna y dos especies de flora) en el proceso de sensibilización y proyecto de conservación de especies amenazadas en el departamento del Atlántico con el que se seleccionan las especies de acuerdo con los siguientes criterios:</t>
  </si>
  <si>
    <t>Distribución de la especie</t>
  </si>
  <si>
    <t>Grado de Vulnerabilidad</t>
  </si>
  <si>
    <t xml:space="preserve">Desde el 7 de octubre de 2020, la Secretaría Técnica de la UAC RÍO MAGDALENA, se encuentra en cabeza de la Seccional Territorial Caribe de PNN.  
Hasta la fecha de este informe, la Secretaría Técnica no ha convocado a reuniones de Comité Técnico y ni de Comisión Conjunta; por lo tanto, no se ha avanzado en el proceso de adopción del POMIUAC, ni se han adelantado acciones de manejo de Unidad Ambiental Costera.
Teniendo en cuenta lo anterior, la C.R.A. solicitó a la Secretaría Técnica de la UAC, a través del oficio con Radicado C.R.A. No.1849 del 2022, convocatoria a Comité Técnico para conocer avances en el proceso de adopción del POMIUAC.  A la fecha de este informe, no se ha recibido respuesta de dichas solicitudes, impidiendo la adopción del instrumento pese a la gestión realizada por esta corporación. </t>
  </si>
  <si>
    <t>Presiones de la especie</t>
  </si>
  <si>
    <t xml:space="preserve">En el marco del Contrato No. 342 del 2022 cuyo objeto fue: “PRESTACIÓN DE SERVICIOS PROFESIONALES Y DE APOYO A LA GESTIÓN PARA IMPULSAR ESTRATEGIAS EDUCATIVAS QUE FOMENTEN UNA CULTURA PARA EL MANEJO SOSTENIBLE DE LAS ZONAS DE LAS FRANJAS COSTERAS DE LOS MUNICIPIOS DE PUERTO COLOMBIA, TUBARÁ, PIOJÓ Y JUAN DE ACOSTA EN EL DEPARTAMENTO DEL ATLÁNTICO”. desarrollamos ocho (8) jornadas lúdicas dirigidas a 800 estudiantes de Instituciones Educativas y 200 personas entre operadores turísticos, caseteros, autoridades municipales, ONG y otras organizaciones relacionadas con la zona costera de los municipios: Puerto Colombia, Piojó, Juan de Acosta y Tubará.  Para ello, elaboramos un material pedagógico consistente en una cartilla que contiene las siguientes temáticas:
	Manejo integrado de zona costera en el Departamento.
	Turismo sostenible: definición, ventajas, normativa colombiana, objetivos del turismo sostenible (tener en cuenta la política de turismo sostenible unidos por la naturaleza).
	Descripción de los ecosistemas marino-costeros del Departamento del Atlántico.
	Principales problemáticas que afectan los ecosistemas marino-costeros del Departamento.
	Estrategias de manejo sostenible de la zona costera en el Atlántico: Turismo sostenible: Código de comportamiento del visitante y formas de socializarlo.
	Manejo integral de residuos sólidos: Disposición de puntos ecológicos, acuerdos con empresas locales de aprovechamiento de residuos y socialización con el turista. </t>
  </si>
  <si>
    <t>Se encuentra en ejecución el Convenio No. 002 de 2022 cuyo objeto es “AUNAR ESFUERZOS TÉCNICOS, ADMINISTRATIVOS, Y FINANCIEROS PARA APOYAR EL DESARROLLO DE UN PROGRAMA DE FORTALECIMIENTO DE LA GESTIÓN AMBIENTAL SOSTENIBLE DE LOS RECURSOS NATURALES Y SECTORIALES, QUE CONTRIBUYA A LA CONSERVACIÓN DE LA BIODIVERSIDAD Y RIQUEZA DE LOS ECOSISTEMAS TERRESTRES Y MARINO COSTEROS DEL DEPARTAMENTO DEL ATLÁNTICO”. A través de éste, a 31 de diciembre de 2022 se ha avanzado en el desarrollo  del 66% de  la meta</t>
  </si>
  <si>
    <t>convenio 002</t>
  </si>
  <si>
    <t>Producto del mantenimiento realizado a las estaciones de monitoreo hidro climatico ubicados en zona costera de Puerto Velero, Salgar y Punta Roca, se realizó informe de seguimiento sobre el estado actual de los equipos, el cual concluye en visita de inspección técnica que, estos equipos se encuentran inoperantes, razón por la cual se solicitó gestionar el registro de baja por deterioro en sus estructuras. (Se cuenta con informe técnico)</t>
  </si>
  <si>
    <t>Se dio cumplimiento a la meta a través del Contrato No. 232 de 2022 cuyo objeto fue: “PRESTACIÓN DE SERVICIOS PROFESIONALES Y DE APOYO A LA GESTIÓN PARA DESARROLLAR UN PROGRAMA DE EDUCACIÓN AMBIENTAL QUE PROMUEVA EN LA COMUNIDAD LA EJECUCIÓN DE ACCIONES DE CONSERVACIÓN CONTEMPLADAS EN LOS PLANES DE MANEJO AMBIENTAL DE LAS ÁREAS PROTEGIDAS”. Este programa de educación ambiental estuvo dirigido a 110 personas pertenecientes a las comunidades del municipio de Luruaco específicamente de los corregimientos de:
1. Palmar de Candelaria
2. Los Péndales
3. San Juan de Tocagua</t>
  </si>
  <si>
    <t>e desarrolló el Contrato No. 294 de 2022 cuyo objeto fue: “PRESTACIÓN DE SERVICIOS PROFESIONALES Y DE APOYO A LA GESTIÓN PARA LA IMPLEMENTACIÓN DE ESTRATÉGIAS DE EDUCACIÓN AMBIENTAL, QUE CONTRIBUYAN A LA RESTAURACIÓN Y CONECTIVAD EN LAS ÁREAS PROTEGIDAS, ASÍ COMO LA IDENTIFICACIÓN DE POSIBLES ÁREAS DONDE SE PUEDA ADELANTAR LA RUTA DE DECLARATORIA CON LA PARTICIPACIÓN DE DIFERENTES ACTORES”.
En trabajo de campo y recopilación de información para la identificación de las zonas potenciales para desarrollar procesos de restauración y conectividad de áreas protegidas en el Atlántico, en asociación con los propietarios de predios privados se elaboró una propuesta de áreas de restauración, la cual tuvo como base el portafolio de áreas prioritarias de conservación a escala 1:25.000, elaborado por la Corporación Autónoma Regional del Atlántico, adoptado mediante Resolución No. 087 de 2019.</t>
  </si>
  <si>
    <t>De la meta anual de 50 ha, se logró el saneamiento predial de dos (2) lotes de 26 ha y 37 ha de extensión, respectivamente, ubicados dentro de la Reservar Forestal El Palomar, en el municipio de Piojo.   Con la adquisición de 63 ha en total, se supera en un 26 % el cumplimiento de la meta para la vigencia 2022.</t>
  </si>
  <si>
    <t>Se ejecutó el Contrato No.  294 de 2022, cuyo objeto fue: “PRESTACIÓN DE SERVICIOS PROFESIONALES Y DE APOYO A LA GESTIÓN PARA LA IMPLEMENTACIÓN DE ESTRATEGIAS DE EDUCACIÓN AMBIENTAL, QUE CONTRIBUYAN A LA RESTAURACIÓN Y CONECTIVIDAD EN LAS ÁREAS PROTEGIDAS, ASI COMO LA IDENTIFICACIÓN DE POSIBLES ÁREAS DONDE SE PUEDA ADELANTAR LA RUTA DE DECLARATORIA CON LA PARTICIPACIÓN DE DIFERENTES ACTORES”.
En el marco del contrato, se recopiló información a través de un trabajo en campo que permitió construir un documento que contiene los pasos y/o procesos para llevar a cabo el cumplimiento de la FASE I, teniendo en cuenta los procedimientos y criterios básicos que se plantean en la Resolución 1125 del 2015.  La finalidad de esta fase es que, a partir de las iniciativas y prioridades de conservación, se identifique el área para iniciar un proceso de declaratoria o ampliación. En esta fase, se realizan los primeros acercamientos con los actores estratégicos relacionados con el área (comunidades, instituciones, empresas, organizaciones sociales o entes territoriales, entre otros). para el caso particular, esta fase se aplicó para la zona potencial de conservación denominada CERRO LA VIEJA ubicada en el municipio Piojó Atlántico</t>
  </si>
  <si>
    <t>En el marco del Contrato No. 229 de 2022 cuyo objeto es la  “PRESTACIÓN DE SERVICIOS PROFESIONALES Y DE APOYO A LA GESTIÓN PARA DESARROLLAR UN PROGRAMA DE EDUCACIÓN AMBIENTAL PARA LA IMPLEMENTACIÓN DE ACCIONES DE CONSERVACIÓN CONTEMPLADAS EN LAS ÁREAS PROTEGIDAS DEL DEPARTAMENTO DEL ATLÁNTICO ARTICULANDO PROYECTOS CON SISTEMAS PRODUCTIVOS SOSTENIBLES COMO MEDIDA DE ADAPTACIÓN AL CAMBIO CLIMÁTICO”, se llevó a cabo un programa de asistencia técnica educativo ambiental con las comunidades de las áreas protegidas de los municipios de Piojó y Repelón en el Departamento del Atlántico donde se ejecutaron actividades sostenibles que las comunidades pueden desarrollar en la zona, como es el caso del ecoturismo y el avistamiento de aves.
Se llevaron a cabo talleres para la implementación de iniciativas de Ecoturismo/Aviturismo en el DMI Banco Totumo Bijibana, Repelón, Atlántico.</t>
  </si>
  <si>
    <t>En el marco del Contrato No. 229 de 2022 cuyo objeto fue: “DESARROLLAR UN PROGRAMA DE EDUCACIÓN AMBIENTAL PARA LA IMPLEMENTACIÓN DE ACCIONES DE CONSERVACIÓN CONTEMPLADAS EN LAS ÁREAS PROTEGIDAS DEL DEPARTAMENTO DEL ATLÁNTICO ARTICULANDO PROYECTOS CON SISTEMAS PRODUCTIVOS SOSTENIBLES COMO MEDIDA DE ADAPTACIÓN AL CAMBIO CLIMÁTICO” se realizó la construcción de una estrategia de medidas de adaptación al cambio climático para la protección de la biodiversidad en áreas protegidas del Departamento del Atlántico en los municipios de Piojó y Repelón, mediante el  establecimiento de sistema agroforestal con la siembra de árboles frutales, revisión técnica estado vegetativo, crecimiento y elongación del Ñame espino.</t>
  </si>
  <si>
    <t>En el marco del contrato No. 284 del 2022 cuyo objeto contractual fue: “PRESTACIÓN DE SERVICIOS PROFESIONALES Y DE APOYO A LA GESTIÓN PARA EL ACOMPAÑAMIENTO EN EL DESARROLLO DE UN PROGRAMA DE PARTICIPACIÓN CIUDADANA, EN GESTIÓN AMBIENTAL, PARA LA CONSERVACIÓN DE LOS ECOSISTEMAS LOCALES Y EL BIENESTAR SOCIAL Y ECONÓMICO DE LA COMUNIDAD EN JURISDICCIÓN DEL DEPARTAMENTO DEL ATLÁNTICO”. formulamos e implementamos dos (2) Proyectos Ecoturísticos como alternativa sostenible en las áreas protegidas y sus zonas aledañas, cumpliendo con el 100% de la meta programada para la vigencia 2022.
La formulación de los proyectos, surge producto de un proceso de formación teórico práctica llevada a cabo con la participación de pobladores del corregimiento “Los Pendales” en el municipio de Luruaco y del municipio de Usiacurí.
Con la implementación de los proyectos ecoturísticos se busca impulsar el desarrollo económico local, con base en actividades de conservación como el ecoturismo. Adicionalmente, durante los procesos formativos se identificaron las múltiples potencialidades que tienen dichos municipios, para desarrollar actividades relacionadas con el turismo de comunidad (naturaleza, ecoturismo, cultural, etc.).
Con los proyectos de emprendimiento se ofrece a los miembros de cada grupo tener una alternativa de ocupación, que genere empleo, acceso a recursos económicos que permitan mejorar su calidad de vida y la de sus familias, y a la vez generar desarrollo económico local sostenible.</t>
  </si>
  <si>
    <t xml:space="preserve">Contrato No. 284 de 2022 </t>
  </si>
  <si>
    <t>En el marco del Contrato No. 284 del 2022 cuyo objeto contractual fue: “PRESTACIÓN DE SERVICIOS PROFESIONALES Y DE APOYO A LA GESTIÓN PARA EL ACOMPAÑAMIENTO EN EL DESARROLLO DE UN PROGRAMA DE PARTICIPACIÓN CIUDADANA, EN GESTIÓN AMBIENTAL, PARA LA CONSERVACIÓN DE LOS ECOSISTEMAS LOCALES Y EL BIENESTAR SOCIAL Y ECONÓMICO DE LA COMUNIDAD EN JURISDICCIÓN DEL DEPARTAMENTO DEL ATLÁNTICO”, se estructuraron 6 talleres de formación teóricos-prácticos, frente a la situación de los incendios de cobertura vegetal, en los cuales se abordaron las siguientes temáticas:
•	Incendios por cobertura vegetal.
•	Situación para la atención a emergencias.
•	Logística para prevención, mitigación y control de incendios por cobertura vegetal.</t>
  </si>
  <si>
    <t>Producto del proceso de verificación a través de la realización de visitas técnicas realizadas entre la CRA y el Ministerio y de acuerdo con el cumplimento de los criterios de selección para que puedan ser avalados como Negocios Verdes con corte a diciembre 31 del 2022 se cuenta con seis (6) negocios que cumplieron con los requisitos exigidos para poder ser un negocio avalado:ARTKANGEL COLOMBIA SAS (GRANJA ECO CAMPESTRE EL SOLAR DE MAO)
ANDO SENDERISMO Y AVENTURAS
CENTRO RECREACIONAL ECOTURISTICO CALVADURIA SAS
HUERTO ECOTURISTICO
YENIS GONZALES JIMENEZ
RACHEL SHOES</t>
  </si>
  <si>
    <t xml:space="preserve">Se encuentra en ejecución el Convenio No.002 de 2022 cuyo objeto es “AUNAR ESFUERZOS TÉCNICOS, ADMINISTRATIVOS, Y FINANCIEROS PARA APOYAR EL DESARROLLO DE UN PROGRAMA DE FORTALECIMIENTO DE LA GESTIÓN AMBIENTAL SOSTENIBLE DE LOS RECURSOS NATURALES Y SECTORIALES, QUE CONTRIBUYA A LA CONSERVACIÓN DE LA BIODIVERSIDAD Y RIQUEZA DE LOS ECOSISTEMAS TERRESTRES Y MARINO COSTEROS DEL DEPARTAMENTO DEL ATLÁNTICO”, a través de éste, se adelantaron las acciones necesarias para fortalecer la oferta de asistencia técnica y de marketing de los Negocios Verdes existentes en el departamento del Atlántico. </t>
  </si>
  <si>
    <t>Convenio 002</t>
  </si>
  <si>
    <t>Desde la Dirección General de la Corporación Autónoma Regional del Atlántico se evalúan las alternativas para estructurar e implementar el Programa Regional de compensaciones ambientales agrupadas denominado Bolsa Verde Atlántico, con el objetivo de preservar y restaurar las áreas prioritarias de conservación de la biodiversidad del Atlántico, considerando que durante la vigencia 2022 no se logró vincular a un operador que permita la implementación de esta estrategia. Avance 10%</t>
  </si>
  <si>
    <t>Durante la vigencia acompañamos y asesoramos a los CIDEA de los municipios en todas sus actividades para su operativización, de esta manera, en el marco de la construcción de los planes de educación ambiental se llevaron a cabo, 6 reuniones presenciales de socialización y contextualización del apoyo de la C.R.A en el proceso, 16 talleres presenciales para la construcción de diagnósticos, 13 acciones de asesoramiento virtual, incluida la compilación y entrega de los ejercicios diagnósticos realizados.
Por otra parte, acompañamos en 5 actividades de los CIDEA, a 3 de ellos con reuniones formativas en Educación Ambiental para fortalecimiento interno y retoma de actividades y 2 de éstas con el CIDEA de Malambo para el fortalecimiento externo, consistentes en el acompañamiento en un evento formativo en lo que respecta a Educación Ambiental y PRAE a docentes de la Institución Educativa el Concorde en el mes de febrero del 2022 y una caminata ecológica con instituciones educativas en la Ciénaga de Malambo en el mes de abril de la vigencia.</t>
  </si>
  <si>
    <t>A diciembre 31 de 2022 la meta se cumplió al 100%. Ello se logró, con el apoyo de un profesional especializado, vinculado a esta entidad a través del contrato de prestación de servicios profesionales No. 127 de 2022 cuyo objeto contractual fue: “PRESTAR LOS SERVICIOS DE UN PROFESIONAL CON ESPECIALIZACIÓN Y EXPERIENCIA EN LO EDUCATIVO AMBIENTAL PARA APOYAR A LA SUBDIRECCIÓN DE PLANEACION EN LOS PROCESOS DE EDUCACIÓN AMBIENTAL, ESPECIALMENTE EN LAS ASESORÍAS A LOS COMITÉS TÉCNICOS INTERINSTITUCIONALES DE EDUCACIÓN AMBIENTAL DEPARTAMENTAL Y MUNICIPALES”, el cual inició el 24 de enero del 2022 finalizando el día 23 de diciembre de 2022.</t>
  </si>
  <si>
    <t>la entidad celebró el contrato de prestación de servicios No. 333 del 2022 con la Universidad Autónoma del Caribe, cuyo objeto fue: “PRESTACIÓN DE SERVICIOS PROFESIONALES Y DE APOYO A LA GESTIÓN A FIN DE PROMOVER LA TRANSFORMACIÓN CULTURAL A TRAVÉS DE LOS PROCESOS DE EDUCACIÓN AMBIENTAL EN LA EDUCACIÓN FORMAL Y LA EJECUCIÓN DE ACCIONES DESDE EL CIDEA DEPARTAMENTAL”. 
En el marco del contrato relacionado, la C.R.A., con el apoyo de la Universidad Autónoma del Caribe, seleccionamos las 50 instituciones educativas oficiales en el departamento del Atlántico para el fortalecimiento de sus PRAE.</t>
  </si>
  <si>
    <t xml:space="preserve">Contrato de prestación de servicios No.127 - 333 de 2022 </t>
  </si>
  <si>
    <t xml:space="preserve">En el marco del contrato de prestación de servicios No. 333 del 2022 cuyo objeto contractual fue: “PRESTACIÓN DE SERVICIOS PROFESIONALES Y DE APOYO A LA GESTIÓN A FIN DE PROMOVER LA TRANSFORMACIÓN CULTURAL A TRAVÉS DE LOS PROCESOS DE EDUCACIÓN AMBIENTAL EN LA EDUCACIÓN FORMAL Y LA EJECUCIÓN DE ACCIONES DESDE EL CIDEA DEPARTAMENTAL”, celebrado con la Universidad Autónoma del Caribe, se dio cumplimiento al 100% de la meta programada para la vigencia 2022. </t>
  </si>
  <si>
    <t xml:space="preserve">Contrato de prestación de servicios No. 333 de 2022 </t>
  </si>
  <si>
    <t xml:space="preserve">Con el objetivo de promover la dimensión ambiental, las Instituciones de Educación Superior se vislumbran como otro actor SINA que puede apoyar, en el marco de sus competencias y responsabilidades, al desarrollo de estrategias tendientes a introducir la educación ambiental, principalmente, en las instituciones educativas oficiales a través del fortalecimiento conceptual de los miembros de esta comunidad. Es por esto que, es fundamental una alianza con estas instituciones, para el desarrollo de cursos de formación con estas temáticas, buscando contribuir a la consecución de los objetivos de la educación ambiental en el marco de la implementación de la PoNEA.
En tal sentido, en el marco del contrato de prestación de servicios No. 333 del 2022 celebrado con la Universidad Autónoma del Caribe, cuyo objeto contractual es: “PRESTACIÓN DE SERVICIOS PROFESIONALES Y DE APOYO A LA GESTIÓN A FIN DE PROMOVER LA TRANSFORMACIÓN CULTURAL A TRAVÉS DE LOS PROCESOS DE EDUCACIÓN AMBIENTAL EN LA EDUCACIÓN FORMAL Y LA EJECUCIÓN DE ACCIONES DESDE EL CIDEA DEPARTAMENTAL”, desarrollamos el diplomado en “Profundización en Educación Ambiental en la Escuela”, con una intensidad horaria de 120 horas, de las cuales, 96 horas fueron presenciales y 24 horas aplicadas en talleres prácticos, que estuvo dirigido a cincuenta (50) docentes de instituciones educativas oficiales del departamento del Atlántico. </t>
  </si>
  <si>
    <t>Para dar a conocer los resultados de la investigación, elaboramos una cartilla, en la cual se evidencia el estado del arte de los PRAE en las Instituciones Educativas de los municipios que comprenden el Departamento del Atlántico, en ésta se observan los adelantos que se realizaron en el periodo anterior y en el año 2022, en cuanto al apoyo técnico e implementación de los PRAE, de acuerdo con las problemáticas por las que estos proyectos han surgido y las temáticas que comprenden.
La cartilla contiene las siguientes temáticas: 
1. Conceptos Básicos
2. Política Nacional de Educación Ambiental.
3. PRAE y sus lineamientos.
4. Sentido del PRAE.
5. Los PRAE en el departamento del Atlántico en el Año 2021.
6. Apoyo e implementación de los PRAE en el año 2021.
7. Avances de PRAE en el año 2022
8. Bibliografía.</t>
  </si>
  <si>
    <t>Con el apoyo a diez (10) Proyectos Ciudadanos de Educación Ambiental – PROCEDA en el departamento del Atlántico, la entidad cumplió con el 100% de la meta programada para la vigencia 2022. La meta se logró en el marco del contrato de prestación de servicios No. 304 del 2022 cuyo objeto contractual fue: “PRESTACIÓN DE SERVICIOS PROFESIONALES Y DE APOYO A LA GESTIÓN PARA FORTALECER LA INCLUSIÓN DEL TEMA AMBIENTAL EN LA EDUCACIÓN NO FORMAL Y DIFUNDIR CONOCIMIENTOS AMBIENTALES EN EL DEPARTAMENTO DEL ATLÁNTICO A TRAVÉS DE ESTRATEGIAS DE COMUNICACIÓN Y DIVULGACIÓN”, celebrado con la Corporación Universitaria Americana.</t>
  </si>
  <si>
    <t xml:space="preserve">a Corporación Autónoma Regional del Atlántico – CRA, a través de la Escuela de Liderazgo Regional Ambiental, creada en alianza con la Corporación Universitaria Reformada – CUR. desarrollamos una serie de procesos de capacitación teórico prácticos con jóvenes de diferentes municipios del departamento del Atlántico, a quienes formamos como Gestores Ambientales Urbanos - GAU en el Departamento; para ello, con dicha universidad, celebramos el Contrato No. 250 del 28 de enero del 2022, cuyo objeto contractual fue: “PRESTACIÓN DE SERVICIOS PROFESIONALES Y DE APOYO A LA GESTIÓN PARA DESARROLLAR UN PROGRAMA DE FORMACIÓN CIUDADANA, ALREDEDOR DE LIDERAZGOS CON CAPACIDAD TÉCNICA PARA ORIENTAR PROCESOS PARTICIPATIVOS, EN FUNCIÓN DE ALCANZAR LOS NIVELES DE SOSTENIBILIDAD Y RESILIENCIA EN LAS COMUNIDADES RURALES Y URBANAS DEL DEPARTAMENTO DEL ATLÁNTICO, PROPUESTO EN EL PLAN DE ACCIÓN INSTITUCIONAL DE LA CRA.”. </t>
  </si>
  <si>
    <t>Se brindó apoyo a tres (3) CMGR, correspondientes a los municipios de: Campo de la Cruz, Candelaria y Manatí. Para ello, se desarrolló una capacitación presencial sobre estrategias pedagógicas – didácticas y lúdicas a sesenta (60) miembros de Consejos Municipales de Gestión de Riesgos  de los municipios mencionados, para facilitar el tema de la gestión del riesgo a la comunidad en general. 
Es importante mencionar que, las capacitaciones orientadas a comprender los componentes para la Gestión del Riesgo, utilizando como fuente de referencia los conceptos de esta temática, establecidos según la normativa legal vigente de Colombia (Ley 1523 de 2012) en su totalidad, fueron desarrolladas por la Cruz Roja de Colombia.</t>
  </si>
  <si>
    <t>En el marco del Contrato No. 293 del 2022, cuyo objeto contractual fue “PRESTACIÓN DE SERVICIOS PROFESIONALES Y DE APOYO A LA GESTIÓN PARA IMPULSAR ESTRATEGIAS EDUCATIVAS PARA LA CONSTRUCCIÓN DE UNA CULTURA DE PREVENCIÓN Y GESTIÓN DEL RIESGO A TRAVÉS DE LOS CONSEJOS MUNICIPALES DE GESTIÓN DEL RIESGO Y DE LAS INSTITUCIONES EDUCATIVAS OFICIALES DEL DEPARTAMENTO DEL ATLÁNTICO”, se seleccionaron 35 Instituciones Educativas oficiales del departamento del Atlántico: La selección de las instituciones educativas fue realizada por la Secretaría de Educación Departamental en reunión llevada a cabo el día 25 de agosto de 2022 con funcionarios de esa entidad.</t>
  </si>
  <si>
    <t xml:space="preserve">Con el apoyo de los Contratos de Prestación de Servicios Profesionales No. 084 del 2022 cuyo objeto contractual es: PRESTAR LOS SERVICIOS COMO INGENIERO AMBIENTAL ESPECIALIZADO, CON EXPERIENCIA EN PROCESOS DE EDUCACIÓN AMBIENTAL PARA APOYAR LAS ACTIVIDADES DE CAPACITACIÓN - FORMACIÓN EN BUENAS PRÁCTICAS AMBIENTALES SOBRE LOS RECURSOS SUELOS, AGUA, AIRE, FAUNA Y FLORA; RESIDUOS SÓLIDOS ORDINARIOS, PELIGROSOS Y RESIDUOS POS CONSUMO DE APARATOS ELÉCTRICOS Y ELECTRÓNICOS (RAEE), SANEAMIENTO AMBIENTAL, EN LAS ÁREAS URBANAS Y RURALES DE LOS MUNICIPIOS DEL DEPARTAMENTO, GENERANDO ESPACIOS DE PARTICIPACIÓN PARA EL FORTALECIMIENTO DE LA CULTURA AMBIENTAL CIUDADANA y el No.213 del 2022 cuyo objeto es: PRESTAR LOS SERVICIOS DE UN PROFESIONAL ESPECIALISTA EN ALTA GERENCIA PARA QUE APOYE A LA SUBDIRECCIÓN DE PLANEACIÓN EN LA ORIENTACIÓN Y CAPACITACIÓN A LOS ENTES TERRITORIALES EN LA PLANEACIÓN, ORGANIZACIÓN, GESTIÓN, EJECUCIÓN, SEGUIMIENTO Y EVALUACIÓN DE PLANES QUE CONDUZCAN A LA ORDENACIÓN DEL TERRITORIO Y AL MEJORAMIENTO DEL ENTORNO NATURAL Y SOCIAL, atendimos la demanda de talleres de capacitación presentadas por parte de la comunidad, representada ésta en 49 talleres relacionados con las temáticas de manejo de residuos sólidos ordinarios, emisiones atmosféricas, biodiversidad y caracol africano. </t>
  </si>
  <si>
    <t>Promoviendo una conciencia y cultura ambiental en las comunidades del Departamento, la Corporación Autónoma Regional del Atlántico – C.R.A. desarrolló con la población de diferentes sectores de la cuenca hidrográfica baja de la Ciénaga de Mallorquín (Lago del Cisne, La Playa, Villa Campestre, Las Flores, Población flotante de los sectores mencionados y servidores públicos de la Alcaldía de Puerto Colombia, Alcaldía de Barranquilla y de la Corporación Autónoma Regional del Atlántico), un programa de educación ambiental que promovió el fortalecimiento de la apropiación social del territorio desde escenarios ambientales. Esta apropiación se transmitió a la comunidad desde una visión de ciudad, a través de acciones pedagógicas que incidan en el mejoramiento de las relaciones entre los seres humanos y su medio.
A través del Contrato No. 243 del 28 de enero del 2022, cuyo objeto contractual es: “PRESTACIÓN DE SERVICIOS PROFESIONALES Y DE APOYO A LA GESTIÓN PARA DESARROLLAR EL PROGRAMA DE EDUCACIÓN AMBIENTAL "JUVENTUD, AGUA, Y CONSTRUCCIÓN DE PAZ" EN LA CUENCA HIDROGRÁFICA BAJA DE LA CIÉNAGA DE MALLORQUÍN EN EL DEPARTAMENTO DEL ATLÁNTICO”, al 31 de diciembre del 2022 realizamos doce (12) jornadas pedagógicas cuyas temáticas abordadas están enfocadas en:
 	Agua y construcción de paz 
 	Emprendimiento y gestión
 	Acompañamiento proyecto personal</t>
  </si>
  <si>
    <t>Con la implementación de siete (7) proyectos educativos ambientales en la vigencia 2022, dimos cumplimiento al 100% de la meta programada para dicha vigencia.
Las acciones para lograr dicho cumplimiento fueron ejecutadas en el marco del contrato No. 250 del 28 de enero del 2022, cuyo objeto contractual es: “PRESTACIÓN DE SERVICIOS PROFESIONALES Y DE APOYO A LA GESTIÓN PARA DESARROLLAR UN PROGRAMA DE FORMACIÓN CIUDADANA, ALREDEDOR DE LIDERAZGOS CON CAPACIDAD TÉCNICA PARA ORIENTAR PROCESOS PARTICIPATIVOS, EN FUNCIÓN DE ALCANZAR LOS NIVELES DE SOSTENIBILIDAD Y RESILIENCIA EN LAS COMUNIDADES RURALES Y URBANAS DEL DEPARTAMENTO DEL ATLÁNTICO, PROPUESTO EN EL PLAN DE ACCIÓN INSTITUCIONAL DE LA C.R.A.”, a través de los proyectos, se promovió el análisis y la comprensión de los problemáticas ambientales municipales y las potencialidades ambientales locales y regionales, y generan espacios de participación para implementar soluciones acordes con las dinámicas naturales y socioculturales.</t>
  </si>
  <si>
    <t xml:space="preserve">Con la realización de una (1) feria ambiental que contó con la participación de jóvenes líderes de diferentes municipios del departamento del Atlántico, se dio cumplimiento al 100% de la meta programada para la vigencia. 
El evento se llevó a cabo como resultado de las actividades ejecutadas en los diferentes procesos de formación que se llevaron a cabo en el marco del contrato No. 250 del 28 de enero del 2022, cuyo objeto contractual es: “PRESTACIÓN DE SERVICIOS PROFESIONALES Y DE APOYO A LA GESTIÓN PARA DESARROLLAR UN PROGRAMA DE FORMACIÓN CIUDADANA, ALREDEDOR DE LIDERAZGOS CON CAPACIDAD TÉCNICA PARA ORIENTAR PROCESOS PARTICIPATIVOS, EN FUNCIÓN DE ALCANZAR LOS NIVELES DE SOSTENIBILIDAD Y RESILIENCIA EN LAS COMUNIDADES RURALES Y URBANAS DEL DEPARTAMENTO DEL ATLÁNTICO, PROPUESTO EN EL PLAN DE ACCIÓN INSTITUCIONAL DE LA CRA.”. </t>
  </si>
  <si>
    <t xml:space="preserve">A través del Contrato No. 284 del 02 de agosto del  2022, cuyo objeto es: “PRESTACIÓN DE SERVICIOS PROFESIONALES Y DE APOYO A LA GESTIÓN PARA EL ACOMPAÑAMIENTO EN EL DESARROLLO DE UN PROGRAMA DE PARTICIPACIÓN CIUDADANA, EN GESTIÓN AMBIENTAL, PARA LA CONSERVACIÓN DE LOS ECOSISTEMAS LOCALES Y EL BIENESTAR SOCIAL Y ECONÓMICO DE LA COMUNIDAD EN JURISDICCIÓN DEL DEPARTAMENTO DEL ATLÁNTICO.”, implementamos un (1) proyecto productivo para la sostenibilidad alimentaria de las comunidades de pescadores y agricultores del Departamento del Atlántico, cumplimiento con éste el 100% de la meta establecida para la vigencia 2022. </t>
  </si>
  <si>
    <t>La Corporación Autónoma Regional del Atlántico - CRA, de forma mancomunada con la Gobernación del Atlántico, en cabeza de la Secretaría de Salud y las empresas de aseo Interaseo y Triple A, desarrollamos una estrategia teniendo en cuenta los lineamientos del Ministerio de Salud y Protección Social, en lo que tiene que ver con la separación en la fuente de los residuos COVID de pacientes positivos en casa.
Para fomentar la cultura ciudadana sobre separación en la fuente a través de la estrategia de comunicación, realizamos una campaña con varios actores tales como, Policía del Atlántico, estudiantes, población en general; de manera que en cada espacio donde realizamos talleres de capacitación, llevamos el mensaje simultáneamente.</t>
  </si>
  <si>
    <t>A partir del recorrido y acompañamiento realizado por el Bosque Seco Tropical existente en la Peña, (Sabanalarga), con 10 expedicionarios seleccionados del Departamento del Atlántico se diseño contenido web, a través del cual se hace el reconocimiento y divulgación de los bienes y servicios ambientales que presta este ecosistema, en especial como mitigador del impacto del sobrec calentamiento global.</t>
  </si>
  <si>
    <t>Las cuatro (4) jornadas de recolección de residuos posconsumo y RAEE se realizaron los días 05 y 06 del mes de octubre del 2022 en los municipios de: Ponedera, Sabanalarga, Candelaria, Palmar de Varela y Usiacurí y los días 20 y 21 del mes de diciembre de 2022 en los municipios de Juan de Acosta y Malambo respectivamente.</t>
  </si>
  <si>
    <t>Promoviendo la utilización de las TICs a través de la implementación de proyectos virtuales de educación ambiental, en el marco del contrato No. 304 del 2022 cuyo objeto contractual fue: “PRESTACIÓN DE SERVICIOS PROFESIONALES Y DE APOYO A LA GESTIÓN PARA FORTALECER LA INCLUSIÓN DEL TEMA AMBIENTAL EN LA EDUCACIÓN NO FORMAL Y DIFUNDIR CONOCIMIENTOS AMBIENTALES EN EL DEPARTAMENTO DEL ATLÁNTICO A TRAVÉS DE ESTATEGIAS DE COMUNICACIÓN Y DIVULGACIÓN” desarrollamos una campaña pedagógica de cultura ciudadana sobre separación en la fuente de los residuos sólidos y RAEE. La campaña buscó enseñar y motivar a la comunidad a hacer la correcta selección en la fuente de los residuos sólidos que generan en sus hogares, así como, la no generación de los mismos. Como estrategias de fortalecimiento de la cultura ciudadana, se creó un video para redes sociales (Instagram, Facebook, tik tok), el cual además se publica en páginas institucionales y publicidad auditiva para ser emitida en las radios comunitarias.</t>
  </si>
  <si>
    <t>La Corporación fue sede de la Mesa de trabajo Técnico de la Comisión Regional de Educación Ambiental del Caribe e Insular – CREACI realizada el día 19 de agosto del 2.022 en las instalaciones de Cajacopi sede Prado. A la reunión asistieron CSB, Coralina, Corpomojana, CVS, Corpourabá, Corpoguajira, Carsucre, Corpamag, Cardique y CRA. 
La reunión tuvo como objetivo estructurar de manera colectiva el Plan de Acción 2.022 - 2023 así como el reglamento que permita presentar avances en los procesos de integración regional en el escenario del quehacer educativo ambiental de las corporaciones que conforman la Comisión.</t>
  </si>
  <si>
    <t xml:space="preserve">En la vigencia 2022 se dio cumplimiento a la meta de apoyar un (1) proyecto con perspectiva de género.  Lo anterior, se logró en el marco del Convenio No. 007 de 2022 cuyo objeto es: “AUNAR ESFUERZOS ADMINISTRATIVOS, TÉCNICOS Y FINANCIEROS PARA APOYAR EL DESARROLLO DE UNA ESTRATEGIA DE EDUCACIÓN PARA EL FORTALECIMIENTO DEL COMPONENTE DE SOSTENIBILIDAD AMBIENTAL DE LA CULTURA INDÍGENA Y RROM DEL DEPARTAMENTO DEL ATLÁNTICO, ASÍ COMO LA DINAMIZACIÓN DE LA PARTICIPACIÓN DE LA MUJER DESDE SU ROL Y PERSPECTIVA DENTRO DE SU COMUNIDAD ÉTNICA”, a través del cual, la C.R.A. con la Alianza Colombiana de Instituciones Públicas de Educación Superior - Red Summa, viene apoyando el proyecto que incorpora la perspectiva de género a través de acciones de fortalecimiento con la participación de la mujer indígena/Rrom. </t>
  </si>
  <si>
    <t>Convenio 007</t>
  </si>
  <si>
    <t>Se dio cumplimiento a la meta fijada para la vigencia 2022, con la ejecución de acciones de fortalecimiento con la participación de la mujer indígena/Rrom a través de un proceso de formación teórico práctica en el que se destacó su trabajo productivo. Las actividades se desarrollaron en el marco del Convenio No. 007 de 2022 cuyo objeto es: “AUNAR ESFUERZOS ADMINISTRATIVOS, TÉCNICOS Y FINANCIEROS PARA APOYAR EL DESARROLLO DE UNA ESTRATEGIA DE EDUCACIÓN PARA EL FORTALECIMIENTO DEL COMPONENTE DE SOSTENIBILIDAD AMBIENTAL DE LA CULTURA INDÍGENA Y RROM DEL DEPARTAMENTO DEL ATLÁNTICO, ASÍ COMO LA DINAMIZACIÓN DE LA PARTICIPACIÓN DE LA MUJER DESDE SU ROL Y PERSPECTIVA DENTRO DE SU COMUNIDAD ÉTNICA”, celebrado con la Alianza Colombiana de Instituciones Públicas de Educación Superior - Red Summa.</t>
  </si>
  <si>
    <t>Al cierre de la vigencia 2022, en el marco del Convenio No. 007 de 2022 cuyo objeto es: “AUNAR ESFUERZOS ADMINISTRATIVOS, TÉCNICOS Y FINANCIEROS PARA APOYAR EL DESARROLLO DE UNA ESTRATEGIA DE EDUCACIÓN PARA EL FORTALECIMIENTO DEL COMPONENTE DE SOSTENIBILIDAD AMBIENTAL DE LA CULTURA INDÍGENA Y RROM DEL DEPARTAMENTO DEL ATLÁNTICO, ASÍ COMO LA DINAMIZACIÓN DE LA PARTICIPACIÓN DE LA MUJER DESDE SU ROL Y PERSPECTIVA DENTRO DE SU COMUNIDAD ÉTNICA”, la C.R.A. con la Alianza Colombiana de Instituciones Públicas de Educación Superior - Red Summa, implementó acciones de fortalecimiento con la participación de la mujer indígena/Rrom a través de un proceso de formación teórico práctica destacando su trabajo productivo.</t>
  </si>
  <si>
    <t>A través del Contrato No. 343 de 2022 cuyo objeto es: “PRESTACIÓN DE SERVICIOS PROFESIONALES Y DE APOYO A LA GESTIÓN PARA DESARROLLAR UNA ESTRATEGIA EDUCATIVA DE FORTALECIMIENTO DE LAS ETNIAS NARP DEL DEPARTAMENTO DEL ATLÁNTICO, EN EL RESCATE DE SU CULTURA ANCESTRAL AMBIENTAL, ASÍ COMO FOMENTAR EL RECONOCIMIENTO DE LA MUJER Y SU PARTICIPACIÓN EN LA PRESERVACIÓN DE LA CULTURA”, al cierre de la vigencia 2022, la Corporación implementó acciones para el fortalecimiento de los saberes y prácticas tradicionales ambientales de las comunidades negras, afrocolombianas, raizales y palenqueras NARP del Departamento.
En el marco del contrato se desarrolló un proceso de formación a ciento veinte (120) miembros de las comunidades NARP de Candelaria, Luruaco, Manatí, Polonuevo, Piojó, Juan de Acosta, Palmar de Varela y Repelón. 
Las jornadas de formación teórico prácticas abordaron temas relacionados con Huertas caseras y seguridad alimentaria, Utilización de material reutilizable en su construcción, Plantas de importancia medicinal, agrícola y forestal tradicionales de la etnia, Técnicas agropecuarias tradicionales.</t>
  </si>
  <si>
    <t xml:space="preserve">En el marco del Contrato No. 343 de 2022 cuyo objeto es: “PRESTACIÓN DE SERVICIOS PROFESIONALES Y DE APOYO A LA GESTIÓN PARA DESARROLLAR UNA ESTRATEGIA EDUCATIVA DE FORTALECIMIENTO DE LAS ETNIAS NARP DEL DEPARTAMENTO DEL ATLÁNTICO, EN EL RESCATE DE SU CULTURA ANCESTRAL AMBIENTAL, ASÍ COMO FOMENTAR EL RECONOCIMIENTO DE LA MUJER Y SU PARTICIPACIÓN EN LA PRESERVACIÓN DE LA CULTURA”, al cierre de la vigencia 2022 la C.R.A., implementó una (1) iniciativa productiva de las comunidades negras, afrocolombianas, raizales y palenqueras NARP del Departamento.
Se llevó a cabo un proceso de formación a ciento veinte (120) miembros de las comunidades NARP de Candelaria, Luruaco, Manatí, Polonuevo, Piojó, Juan de Acosta, Palmar de Varela y Repelón. </t>
  </si>
  <si>
    <t>En marco del contrato No.250 del 28 de enero del 2022, cuyo objeto contractual es: “Prestación de servicios profesionales y de apoyo a la gestión para desarrollar un programa de formación ciudadana, alrededor de liderazgos con capacidad técnica para orientar procesos participativos, en función de alcanzar los niveles de sostenibilidad y resiliencia en las comunidades rurales y urbanas del departamento del Atlántico, propuesto en el Plan de Acción Institucional de la CRA.”. celebrado con la Corporación Universitaria Reformada – CUR, capacitamos a 70 Guardianes del Medio Ambiente-GUMA, garantizando así, su organización y operatividad; fortaleciendo, además acciones prácticas de la gestión ambiental de la Corporación</t>
  </si>
  <si>
    <t>En marco del Contrato No. 250 del 28 de enero del 2022, cuyo objeto contractual fue: “Prestación de servicios profesionales y de apoyo a la gestión para desarrollar un programa de formación ciudadana, alrededor de liderazgos con capacidad técnica para orientar procesos participativos, en función de alcanzar los niveles de sostenibilidad y resiliencia en las comunidades rurales y urbanas del departamento del Atlántico, propuesto en el Plan de Acción Institucional de la CRA.”, celebrado con la Corporación Universitaria Reformada – CUR, elaboramos el documento técnico con el informe anual del seguimiento a los indicadores de los ODS en los municipios del Departamento del Atlántico</t>
  </si>
  <si>
    <t>Con la ejecución del Convenio No. 007 celebrado con la Universidad Simón Bolívar, cuyo objeto es “AUNAR   ESFUERZOS   Y   RECURSOS   TÉCNICOS, JURÍDICOS, ADMINISTRATIVOS Y FINANCIEROS PARA EL DESARROLLO DE UN PROGRAMA INSTITUCIONAL QUE CONTRIBUYA AL FORTALECIMIENTO DE LA  GESTIÓN  E INNOVACIÓN AMBIENTAL SOSTENIBLE  DE  LOS  RECURSOS  NATURALES  DEL DEPARTAMENTO DEL ATLÁNTICO”, se amplió la implementación del proyecto A-PROPIA logrando el cumplimiento del 100% de esta acción estratégica mediante la suscripción del Convenio de Producción Mas Limpia con la Institución Educativa San Juan Bosco, en el municipio de Sabanagrande, con el fin de impulsar las prácticas de desarrollo sostenible.</t>
  </si>
  <si>
    <t xml:space="preserve">Mediante el Convenio No. 0007 celebrado con la Universidad Simón Bolívar, cuyo objeto es “AUNAR   ESFUERZOS   Y   RECURSOS   TÉCNICOS, JURÍDICOS, ADMINISTRATIVOS Y FINANCIEROS PARA EL DESARROLLO DE UN PROGRAMA INSTITUCIONAL QUE CONTRIBUYA AL FORTALECIMIENTO DE LA  GESTIÓN  E INNOVACIÓN AMBIENTAL SOSTENIBLE  DE  LOS  RECURSOS  NATURALES  DEL DEPARTAMENTO DEL ATLÁNTICO”,  se amplió la implementación del proyecto A-PROPIA logrando el cumplimiento del 100% de esta acción estratégica mediante la elaboración de la  hoja de ruta de implementación del sistema de aprovechamiento de biomasa de residuos pecuarios y sólidos urbanos y la  evaluación de escenarios de recuperación de energía de los residuos pecuarios y sólidos urbanos a través de modelos experimentales en los rellenos sanitarios El Clavo y Los Pocitos, ubicados en los municipios de Palmar de Varela y Barranquilla. </t>
  </si>
  <si>
    <t>En el marco del Convenio No. 0007 celebrado con la Universidad Simón Bolívar, el cual tiene por objeto “AUNAR ESFUERZOS Y RECURSOS TÉCNICOS, JURÍDICOS, ADMINISTRATIVOS Y FINANCIEROS PARA EL DESARROLLO DE UN PROGRAMA INSTITUCIONAL QUE CONTRIBUYA AL FORTALECIMIENTO DE LA GESTIÓN E INNOVACIÓN AMBIENTAL SOSTENIBLE DE LOS RECURSOS NATURALES DEL DEPARTAMENTO DEL ATLÁNTICO”; se desarrollaron acciones para el logro del cumplimiento del 100% de esta acción estratégica mediante la implementación de un proyecto de generación de Fuentes No convencionales de Energía Renovable-FNCER, cogeneración a partir de la misma generación distribuida y de gestión eficiente de la energía en la institución educativa San Juan Bosco, en el municipio de Sabanagrande.</t>
  </si>
  <si>
    <t>Con la ejecución del Contrato No. 313 de 2022, cuyo objeto es “DESARROLLAR, DETERMINAR Y SOCIALIZAR ESTUDIO DEL POTENCIAL DE ENERGÍA EÓLICA OFFSHORE Y LA FACTIBILIDAD DEL DESARROLLO DE ENERGÍAS ALTERNATIVAS EÓLICAS OFFSHORE EN LA ZONA COSTERA DEL DEPARTAMENTO DEL ATLÁNTICO”, se realizó la caracterización  de  cada  uno de  los  criterios  propuestos  de  carácter  técnico, ambiental  y  social, por  medio  de  la  metodología  geoespacial con  el  objetivo  de  elaborar diferentes mapas de restricción y evaluación con uso de SIG, que permitieran seleccionar el área más viable y factible para la instalación de parques eólicos offshore en la costa del Departamento del Atlántico</t>
  </si>
  <si>
    <t>A corte 31 de diciembre de 2022, fueron asesorados los 23 municipios de la jurisdicción de esta Corporación, incluyendo al Distrito de Barranquilla, en la inclusión del componente ambiental en los procesos de planificación y ordenamiento territorial, con énfasis en la incorporación de las determinantes ambientales. Estas jornadas iniciaron el 28 de abril de 2022 y terminaron el 13 de septiembre de 2022.
Estas asistencias se llevaron a cabo de manera presencial, organizando a los entes territoriales por la cercanía entre ellos y/o por cuenca. En estas jornadas también se contó con la participación de los consejos de ordenamiento territorial y miembros de concejos municipales.
En el desarrollo de las jornadas, se contó con la activa participación de los representantes de los municipios, quienes manifestaron el estado de los procesos de actualización y/o ajuste de sus instrumentos de planificación territorial, las dificultades que presentaron durante el proceso, así como sus inquietudes relacionadas con la inclusión del componente ambiental en los mismos.</t>
  </si>
  <si>
    <t xml:space="preserve">La Corporación Autónoma Regional del Atlántico-CRA, en cabeza de la Dirección General, debe formular en concertación con todos los actores de la sociedad civil (institucionales, privados, organizaciones sociales, comunidades y ciudadanía) un nuevo Plan de Gestión Ambiental Regional- PGAR” 2023-2032 para seguir avanzando hacia la sostenibilidad ambiental en el departamento del Atlántico. 
Con las acciones desarrolladas a 31 de diciembre de 2022 avanzamos un 70% considerando lo programado en el plan de trabajo. </t>
  </si>
  <si>
    <t>A corte 31 de diciembre de 2022, fueron asesorados los 24 entes territoriales, de la jurisdicción de la Corporación, en asesorías y seguimiento anual de los esquemas de pago por servicios ambientales a las entidades territoriales.
Estas asesorías se llevaron a cabo de forma presencial, y organizando a los municipios por cuencas y/o por cercanía entre ellos. Las asesorías se llevaron a cabo en las mismas sesiones programadas para las asistencias técnicas en planificación y ordenamiento territorial, con énfasis en la incorporación de las determinantes ambientales, iniciando el 28 de abril de 2022 y culminando el 13 de septiembre de 2022.</t>
  </si>
  <si>
    <t>Las actividades desarrolladas para dar cumplimiento a la meta se están ejecutando en el marco del Contrato No. 358 de 2022 cuyo objeto es: “ACTUALIZACIÓN DOCUMENTAL Y CARTOGRÁFICA DE AMENAZAS Y DETERMINANTES AMBIENTALES EN EL COMPLEJO DE HUMEDALES DE LA VERTIENTE OCCIDENTAL DEL RÍO MAGDALENA E IDENTIFICACIÓN DE LOS RIESGOS EN LAS INFRAESTRUCTURAS DE LOS ECOSISTEMAS CLAVES DE ABASTECIMIENTO HÍDRICO DEL DEPARTAMENTO DEL ATLÁNTICO”. un avance del 50%</t>
  </si>
  <si>
    <t>Para el cumplimiento de la meta programada en la vigencia 2022, la Corporación, a través del Proceso de educación ambiental se tomó como directriz que, en todas las actividades realizadas, se llevaría información del caracol africano, para que la comunidad lo pudiese identificar y realizar las medidas que por salud deben implementar correctamente, a fin de evitar su contacto y reproducción.  Se hizo entrega de afiches informativos con el tema.
Al respecto, se recibieron y atendieron nueve (9) denuncias de presencia de caracoles africanos en los municipios de Sabanagrande, Puerto Colombia, Soledad y Tubará. En estas visitas, los técnicos realizaron una sensibilización a la comunidad, relacionada con esta especie invasora, su identificación, características, recomendaciones para recolectarla, combatirla y disposición final. Posterior a estas charlas, la misma comunidad está en capacidad de la recolección y disposición de esta especie.</t>
  </si>
  <si>
    <t>Se encuentra en ejecución el Convenio No. 002 de 2022, cuyo objeto es “AUNAR ESFUERZOS TÉCNICOS, ADMINISTRATIVOS, Y FINANCIEROS PARA APOYAR EL DESARROLLO DE UN PROGRAMA DE FORTALECIMIENTO DE LA GESTIÓN AMBIENTAL SOSTENIBLE DE LOS RECURSOS NATURALES Y SECTORIALES, QUE CONTRIBUYA A LA CONSERVACIÓN DE LA BIODIVERSIDAD Y RIQUEZA DE LOS ECOSISTEMAS TERRESTRES Y MARINO COSTEROS DEL DEPARTAMENTO DEL ATLÁNTICO”; en el cual se han adelantado las siguientes acciones para el logro de esta meta:
•	Análisis de la ubicación de la red actual de monitoreo de calidad del aire.
•	Realización de visitas de campo a las estaciones actuales.
•	Diagnóstico de las estaciones en función de criterios de ubicación, estado de equipos, suministros e instalaciones
•	Análisis cualitativo y cuantitativo de los reportes disponibles de la Red en los últimos años de operación.
Como resultado de estas actividades se elaborará el diagnóstico y plan de mantenimiento para la puesta en marcha de la red de calidad del aire durante la vigencia 2023.</t>
  </si>
  <si>
    <t>Convenio No.002 del 2022</t>
  </si>
  <si>
    <t>Se encuentra en ejecución el Convenio No. 002 de 2022, , cuyo objeto es “AUNAR ESFUERZOS TÉCNICOS, ADMINISTRATIVOS, Y FINANCIEROS PARA APOYAR EL DESARROLLO DE UN PROGRAMA DE FORTALECIMIENTO DE LA GESTIÓN AMBIENTAL SOSTENIBLE DE LOS RECURSOS NATURALES Y SECTORIALES, QUE CONTRIBUYA A LA CONSERVACIÓN DE LA BIODIVERSIDAD Y RIQUEZA DE LOS ECOSISTEMAS TERRESTRES Y MARINO COSTEROS DEL DEPARTAMENTO DEL ATLÁNTICO”, mediante el cual se ha realizado la Modelación de contaminantes en las fuentes de emisión.
Están planificadas a ser desarrolladas durante la vigencia 2023 las siguientes acciones para el cumplimiento de la meta:
	Definición de propuesta de rediseño del sistema de vigilancia de calidad de aire que incluya la ubicación de dos nuevas estaciones de calidad en los municipios de Galapa y Soledad.
	Diseño y puesta en marcha de una (1) página Web para la socialización y divulgación de resultados obtenidos en el marco del proyecto.</t>
  </si>
  <si>
    <t>Durante el primer semestre del año 2022 se logró el reporte en línea, de los datos meteorológicos; en las estaciones PIMSA (Malambo), Tránsito (Malambo), Granabastos (Soledad), EDUMAS (Soledad), Alcaldía (Puerto Colombia) y Bomberos (Puerto Colombia), a través de la plataforma SARA CLOUD (https://monitoreo.gndelectronics.com/accounts/signin/). 
Se elaboraron los informes mensuales para el sistema de la calidad de aire, teniendo en cuenta el estado actual de las estaciones.</t>
  </si>
  <si>
    <t>La implementación de esta acción se encuentra limitada, toda vez que la misma depende del cumplimiento de la acción estratégica 4.4.1.1. Realizar acciones tendientes a actualizar la situación de concentración de contaminantes criterio en la calidad del aire del Departamento del Atlántico, considerando que es necesario contar con la operación de las estaciones de calidad del aire y con los reportes actualizados para el Sistema de Vigilancia de la Calidad del Aire aplicando el Protocolo para el Monitoreo y Seguimiento.</t>
  </si>
  <si>
    <t>A diciembre 31 de 2022 se recibieron 14 solicitudes de permisos de emisiones atmosféricas de las cuales se cuenta con 14 autos de inicio, logrando la atención del 100% de los trámites</t>
  </si>
  <si>
    <t>En atención a denuncias realizadas por la comunidad y en el marco de las labores de seguimiento y vigilancia ambiental los días 7 de abril y 13 de mayo del presente año se adelantaron las encuestas requeridas para realizar el análisis técnico ambiental y estadístico con base en la norma técnica NTC 6012-1 y el protocolo para el Monitoreo, control y vigilancia de Olores Ofensivos, adoptado por el MADS mediante Resolución 2087 de 2014, aplicado a la empresa PURO POLLO.</t>
  </si>
  <si>
    <t>Con la ejecución del Convenio No. 002 de 2022, cuyo objeto es “AUNAR ESFUERZOS TÉCNICOS, ADMINISTRATIVOS, Y FINANCIEROS PARA APOYAR EL DESARROLLO DE UN PROGRAMA DE FORTALECIMIENTO DE LA GESTIÓN AMBIENTAL SOSTENIBLE DE LOS RECURSOS NATURALES Y SECTORIALES, QUE CONTRIBUYA A LA CONSERVACIÓN DE LA BIODIVERSIDAD Y RIQUEZA DE LOS ECOSISTEMAS TERRESTRES Y MARINO COSTEROS DEL DEPARTAMENTO DEL ATLÁNTICO”, se adelantaron las acciones para el avance de las siguientes actividades para la elaboración de los mapas de ruido ambiental diurno y nocturno, en el municipio de Sabanalarga en los términos establecidos en al artículo 22 de la Resolución 627 de 2006, incluyendo su respectivo plan de descontaminación.</t>
  </si>
  <si>
    <t>Durante el año 2022 se recibieron 56 y se atendieron 48 denuncias por presunta afectación por emisión de ruido presentadas por la comunidad. Remitase al word salen descriminadas</t>
  </si>
  <si>
    <t>Con la ejecución del Contrato No. 301 de 2022 celebrado con la empresa High Tec Environmental Ltda, cuyo objeto es “ADQUISICIÓN Y CALIBRACIÓN DE EQUIPOS PARA APOYO TÉCNICO A LOS MUNICIPIOS DEL DEPARTAMENTO DEL ATLÁNTICO EN LAS MEDICIONES DE EMISIONES DE RUIDO; se logró la calibración de 2 sonómetros existentes a la fecha de inicio de la vigencia del año 2022 y la adquisición de un tercer equipo de medición de ruido. 
Por lo anterior, al cierre de la vigencia se logra contar con 3 equipos calibrados, correspondiente al 75% del cumplimiento de la meta.</t>
  </si>
  <si>
    <t xml:space="preserve">En el marco de las funciones de vigilancia y control ambiental, funcionarios de la Subdirección de Gestión Ambiental con corte a 31 de diciembre del año 2022 se adelantaron las visitas de seguimiento a la implementación de los programas de manejo del PGIRS de los 22 municipios ubicados en jurisdicción de la CRA. </t>
  </si>
  <si>
    <t>Se adelantó la planificación de las actividades de seguimiento a la implementación del Plan de Gestión de Residuos Peligrosos del Atlántico en empresas generadoras y gestores de residuos en los municipios de la jurisdicción de la CRA con la participación de personal de apoyo de la SDGA.  
El plan de Gestión de Residuos Peligrosos de los municipios de la jurisdicción de la CRA contiene las siguientes líneas estratégicas alineadas con el Proyecto No. 4.4.4. Residuos y Economía Circular del PAI 2020 - 2023:
Línea estratégica 1: Prevención y minimización de generación de RESPEL
Línea estratégica 2: Aprovechamiento y tratamiento de RESPEL
Línea estratégica 3: Fortalecimiento del sistema de gestión integral de RESPEL</t>
  </si>
  <si>
    <t>En cuanto a registro de solicitudes, se recibieron 95 solicitudes de inscripción al aplicativo RESPEL, de las cuales fueron atendidas en su totalidad; resultado de esta revisión se lograron registrar durante la vigencia 2022, 45 nuevos usuarios del aplicativo RESPEL</t>
  </si>
  <si>
    <t>A diciembre 31 del 2022 cumplimos con la meta programada de ejecutar dos proyectos de economía circular en el marco de la agenda departamental de economía circular, los cuales fueron:
1.	Generación de estrategias para la implementación del incentivo al aprovechamiento y tratamiento de residuos sólidos
2.	Generación de una nueva categoría para la premiación de proyectos de economía circular en los premios GEMAS.
Para lograrlo, se suscribió el Contrato No.335 del 2022, cuyo objeto contractual fue: “PRESTACIÓN DE SERVICIOS PROFESIONALES Y DE APOYO A LA GESTION PARA EL DESARROLLO DE DOS PROYECTOS EN EL MARCO DE LA AGENDA DEPARTAMENTAL DE ECONOMIA CIRCULAR”. A través de éste, desarrollamos un proceso de formación que consistió en dos talleres teóricos con cien (100) personas de los municipios de Galapa y Sabanalarga; Se contó con la participación de miembros de las Alcaldías, empresas prestadoras de servicio de Aseo y comunidad asociada a las actividades de economía circular en dichos municipios. Los talleres estuvieron enfocados en la elaboración de estrategias para la implementación del Incentivo al Aprovechamiento y Tratamiento de Residuos Sólidos-IAT.</t>
  </si>
  <si>
    <t>Cto 335</t>
  </si>
  <si>
    <t xml:space="preserve">Durante el año 2022 se recibieron 330 solicitudes de permisos y autorizaciones ambientales y 9 solicitudes de licencia ambiental, de las cuales se cuenta con 315 atenciones entre autos de inicio, autos de cobro y oficios de requerimientos, logrando un 92% de atención.  Según el cumplimiento de requisitos se logró el pronunciamiento de 204 permisos y autorizaciones.
 Adicionalmente se resolvieron 51 trámites ambientales que se venían evaluando en periodos anteriores.
Para el año 2022 se logró el seguimiento a 739 de los 869 instrumentos de manejo y control ambiental vigentes.  </t>
  </si>
  <si>
    <t xml:space="preserve">Se logró atender 327 de las 500 denuncias recibidas durante el año 2022, correspondiente a un 65% de cumplimiento asociado a Denuncias ambientales. 
De los 377 procesos sancionatorios activos al inicio del año 2022, a 31 de diciembre del 2022 se han resuelto 8 y cesado 4
En promedio se ha logrado un cumplimiento del 33.5%, de la meta correspondiente a denuncias ambientales y procesos sancionatorios. </t>
  </si>
  <si>
    <t xml:space="preserve">En cumplimiento de la Resolución 360 de 2018, desde la vigencia anterior se priorizaron los seguimientos a las medidas de compensación establecidos en el marco de los proyectos licenciados y aprovechamiento Forestal único de los instrumentos activos de la Subdirección. 
 En referencia de lo citado anteriormente, incluyendo los 15 permisos de aprovechamiento otorgados durante el año 2021, del total de 108 autorizaciones forestales, 70 son objeto de seguimiento a planes de compensación.  Considerando el seguimiento realizado a 58 usuarios, se logró un cumplimiento del 83%.  </t>
  </si>
  <si>
    <t xml:space="preserve">Para el cumplimiento de esta meta se celebró el contrato de prestación de servicios profesionales No. 033/2022 cuyo objeto fue: “PRESTAR LOS SERVICIOS PROFESIONALES DE UN INGENIERO CIVIL QUE APOYE EN LOS PROCESOS DE EVALUACIÓN, CONTROL Y SEGUIMIENTO AMBIENTAL DE PROYECTOS MINEROS Y OBRAS CIVILES QUE SE ADELANTAN EN EL ÁREA DE JURISDICCIÓN DE LA CRA”, mediante el cual, logró la identificación de proyectos activos que no cuenten con las respectivas autorizaciones ambientales. </t>
  </si>
  <si>
    <t xml:space="preserve">Se logró atender 327 de las 500 denuncias recibidas en durante el año 2022, correspondiente al 65%. 
Se adelantaron seguimientos a los cinco (5) establecimientos asociados a la Red Amigos de la Fauna, logrando el 100% de cumplimiento
</t>
  </si>
  <si>
    <t>Se logra el cumplimiento del 66% de atención a denuncias ambientales asociadas a tráfico ilegal de flora y fauna. 33/50</t>
  </si>
  <si>
    <t>Con el propósito de actualizar los mapas de amenazas en el departamento del Atlántico, la entidad suscribió el Contrato No. 358 de 2022 cuyo objeto es: “ACTUALIZACIÓN DOCUMENTAL Y CARTOGRÁFICA DE AMENAZAS Y DETERMINANTES AMBIENTALES EN EL COMPLEJO DE HUMEDALES DE LA VERTIENTE OCCIDENTAL DEL RÍO MAGDALENA E IDENTIFICACIÓN DE LOS RIESGOS EN LAS INFRAESTRUCTURAS DE LOS ECOSISTEMAS CLAVES DE ABASTECIMIENTO HÍDRICO DEL DEPARTAMENTO DEL ATLÁNTICO”.
Para dar cumplimiento a la meta, la Corporación viene adelantando los mapas de susceptibilidad de amenazas por inundación, remoción en masa y avenidas torrenciales para 8 municipios ribereños del departamento del Atlántico, de manera que puedan ser incorporados a los planes de ordenamiento territorial y permitan direccionar los esfuerzos en prevención para el departamento y sirvan de insumo para las entidades de atención y prevención de desastres municipales y departamentales.Avance del 50%</t>
  </si>
  <si>
    <t>A corte 31 de diciembre de 2022, fueron asesorados los 23 municipios de la jurisdicción de esta Corporación, incluyendo al Distrito de Barranquilla, en la inclusión del componente ambiental en los procesos de planificación y ordenamiento territorial, con énfasis en gestión del riesgo y adaptación al cambio climático. Estas asistencias se llevaron a cabo de manera presencial y organizando a los municipios teniendo en cuenta la cercanía entre ellos. Estas jornadas iniciaron el 28 de abril de 2022 y terminaron el 13 de septiembre de 2022.
Para esta vigencia se contó con la participación de miembros de los concejos municipales de algunos entes territorial y de algunos miembros de los consejos de ordenamiento territorial municipales, quienes manifestaron su interés en hacer parte de estas jornadas.</t>
  </si>
  <si>
    <t>Se han realizado acompañamientos y asistencia técnica en cuanto al tema de incendio de cobertura vegetal y alerta temprana a los 23 municipios en diferentes espacios como son Secretarías de gestión de riesgo, planeación, UMATA y consejo municipal de gestión del riesgo de las diferentes alcaldías 
Esta información fue recibida en general por los diferentes coordinadores de riesgo, secretarios de gobierno, secretario de planeación, secretaria de UMATA y líderes comunitarios entre otros. Así mismo, se ha realizado acompañamiento a la Subdirección de gestión de riesgo departamental defensa civil para esta temática.</t>
  </si>
  <si>
    <t>Durante la vigencia 2022, la Corporación ejecutó diferentes acciones para la mitigación y adaptación, orientadas a reducir la vulnerabilidad y el aumento de la resiliencia a la variabilidad y al cambio climático, en articulación con la Política Nacional de Cambio Climático y el PGICCTA del Departamento del Atlántico cumpliendo con la meta programada.
Las actividades se desarrollaron en el marco de convenios interadministrativos celebrados con cuatro (4) municipios del sur del departamento del Atlántico, los cuales relacionamos a continuación: convenio 003, 004, 005 y 006.</t>
  </si>
  <si>
    <t>En la vigencia 2022 se realizaron 4 reuniones programadas de los miembros del sindicato, lo que representa un cumplimiento del 100%. 
Las reuniones se llevaron a cabo en los meses: Enero, Febrero, Mayo, Agosto, Noviembre y Diciembre del año 2022, para las cuales fueron otorgados los respectivos permisos sindicales, garantizando el derecho a su libre asociación. 
Se realizaron las reuniones para la negociación del pliego de peticiones para el año 2022-2023.</t>
  </si>
  <si>
    <t>Con base en el Plan de Capacitación elaborado se firmó con la Fundación Alianza Tecnológica y Desarrollo Educativo – ALITIC el Contrato No. 242 de 2022, cuyo objeto es: “CONTRATAR A UNA PERSONA JURÍDICA QUE PRESTE LOS SERVICIOS PROFESIONALES EN CAPACITACIÓN, FORMACIÓN Y ACTUALIZACIÓN PARA IMPLEMENTAR LOS CONOCIMIENTOS, EL DESARROLLO DE HABILIDADES Y COMPETENCIAS EN LOS FUNCIONARIOS, EMPLEADOS Y CONTRATISTAS DE LA CORPORACIÓN AUTÓNOMA REGIONAL DEL ATLÁNTICO PARA LA MEJORA CONTINUA EN EL EJERCICIO DE SUS FUNCIONES Y OBLIGACIONES”; para desarrollar las siguientes capacitaciones: 
1.	ISO 45000
2.	HERRAMIENTAS BÁSICAS DE OFFICE: TEAMS, ONEDRIVE 
3.	FOTOGRAMETRÍA
4.	ACOSO LABORAL
5.	SALUD Y BIENESTAR
6.	DIPLOMADO EN GESTION DOCUMENTAL
7.	PLAN ANTICORRUPCION Y DE ATENCIÓN AL CIUDADANO
8.	PROCESO SANCIONATORIO Y DERECHO AMBIENTAL</t>
  </si>
  <si>
    <t>Durante la vigencia 2022 otorgamos veinticinco (25) estímulos de tipo educativo, superando la meta programada. Los estímulos fueron otorgados para que cursaran estudios a nivel de pregrado, postgrado, educación preescolar, primaria y secundaria como se relaciona a continuación:
16 estímulos otorgados a funcionarios para sus familiares
7 estímulos educativos otorgados a funcionarios</t>
  </si>
  <si>
    <t>A corte 31 de diciembre de 2022 la meta ha sido alcanzada, es decir, se cumplió con el 100% de la meta programada para la vigencia actual. 
Lo anterior, acorde con la Evaluación de Estándares Mínimos de Seguridad y Salud en el Trabajo, en la cual se alcanzó una puntuación de 100 sobre 100 puntos posibles. Dicha Evaluación fue debidamente reportada a la ARL de la entidad y al Ministerio de Trabajo dentro de los términos legales establecidos en el Resolución No. 0312 de 2019. Asimismo, esta Evaluación de Estándares Mínimos de SST fue radicada ante los entes de control de la Corporación.
A continuación se presenta como evidencia el Informe de Estandares Mínimos del Sistema de Gestión de la Seguridad y Salud en el Trabajo SG-SST emitido por la ARL Colmena Seguros.</t>
  </si>
  <si>
    <t>La meta se cumplió en un 100% logrando realizar y mantener actualizado el Perfil Sociodemográfico y el Informe de Condiciones de Salud de los Trabajadores de la entidad, como producto de la práctica de los exámenes médicos ocupacionales de ingreso, control periódico y retiro, los cuales son necesarios al interior del Sistema de Gestión de Seguridad y Salud en el Trabajo (SG-SST) de la Corporación. 
Como evidencia del cumplimiento de la meta se encuentra disponible el Informe documentado de Condiciones de Salud a cargo del area de SST, el cual contiene el Perfil Sociodemográfico de la población trabajadora de la Corporación.</t>
  </si>
  <si>
    <t>A corte 31 de diciembre de 2022, se logró cumplir con el 100% de las actividades planificadas en materia de Medicina de Preventiva y del Trabajo, Promoción y Prevención y Programas de Vigilancia Epidemiológica ,contemplados en el Plan de Trabajo Anual de SST de la entidad. 
Se tienen todos los Programas de Vigilancia Epidemiológica requeridos, los cuales estan documentados y debidamente actualizados. Adicionalmente, se cumplieron con las actividades consignadas en el Plan de Trabajo Anual que responden a cada Programa y a las actividades de Medicina Preventiva y del Trabajo.  Lo anterior, desarrollando las acciones establecidas para los Programas de Riesgo Biomecánico, Psicosocial, Prevención del Acoso Laboral, Promoción de Estilos de Vida y Trabajo Saludables, pausas activas, alimentación saludable, asi como el seguimiento a las recomendaciones medico laborales.</t>
  </si>
  <si>
    <t xml:space="preserve">En este sentido, la entidad garantizó el proceso para la realización de los exámenes de ingreso, control periódico y retiro de todos sus funcionarios y contratistas.
La Corporación mantiene en custodia en el área de SST la información documentada de los conceptos medico laborales de cada uno de los exámenes realizados a sus trabajadores.
De otra parte, la IPS MEDIKCORP es actualmente la empresa responsable de la custodia de la información relacionada con las historias clínicas que soportan el proceso realizado al recurso humano de la entidad. </t>
  </si>
  <si>
    <t>La Corporación ha cumplido con el 100% de la entrega y reposición de los elementos de protección personal y bioseguridad para sus trabajadores conforme a las necesidades identificadas y reportadas por el personal de la entidad, e identificadas por el equipo de trabajo de SST de la entidad, con el propósito de garantizar una labor segura. 
Lo anterior ha sido posible gracias al Contrato de suministro No. 0262 del 15 de junio de 2022, cuyo objeto fue la compra de los Equipos y Elementos de Protección Personal y Colectivo (EPPC) y la dotación para la Brigada de Emergencias para la protección contra los posibles daños a la salud e integridad física derivados de la exposición a los peligros en los lugares de trabajo y a las amenazas y emergencias contempladas en el analisis de vulnerabilidad del plan de prevención, preparación y respuesta ante emergencias; acordes con las especificaciones de los presentes estudios previos.</t>
  </si>
  <si>
    <t>Esta es una meta que se mantiene siempre dado que el vencimiento de los cursos de alturas es anual y la entidad garantiza su renovación y entrenamiento antes del vencimiento de las certificaciones que cada trabajador requiere.
Se adjuntan como evidencia algunos de los certificados de entrenamiento y re entrenamiento de la población objetivo en materia de trabajo de alturas de la Entidad y registro fotográfico de las capacitaciones.</t>
  </si>
  <si>
    <t xml:space="preserve">A corte 31 de diciembre de 2022, la meta de la presente acción estratégica de obtener en el informe anual una valoración mínima de 90 sobre 100 puntos se cumplió en un 100%, para ello, la Corporación garantizó el mantenimiento, continuidad y mejora del Plan Estratégico de Seguridad Vial (PESV) con el desarrollo y sostenimiento de todas las acciones que la Gestión del Riesgo Vial amerita, las cuales se encuentran establecidas en el Plan de Trabajo Anual y en el Plan Estratégico de Seguridad Vial. 
De igual forma, con el cumplimiento de esta acción estratégica se logró también alcanzar la meta de cero accidentes viales y lesiones por este concepto, durante la vigencia 2022.
Para el logro de la meta asociada a esta acción estratégica se contó con personal especializado de apoyo provisto por la ARL COLMENA SEGUROS quienes brindaron asistencia técnica y acciones formativas. </t>
  </si>
  <si>
    <t xml:space="preserve">El Plan Estratégico de Tecnologías de la Información PETI, se encuentra incorporado en el Plan de Acción Integrado en los programas 5.3 Tecnología y 5.6 Sistemas de Información, de acuerdo con lo establecido en el artículo 1 del Decreto 612 de 2018, que modifica el artículo 2.2.22.3.14: “Integración de los Planes Institucionales y Estratégicos al Plan de Acción” del Decreto 1083 de 2015, y se viene divulgando desde su formulación en enero del año 2020, a través de la página web de la Corporación. </t>
  </si>
  <si>
    <t>El diseño e implementación del Sistema de Gestión de Seguridad de la Información según la norma ISO 2700 se realizará siguiendo el modelo tradicional.
Durante la vigencia 2022 se coordinaron cojuntamente entre el área de Sistemas y la dependencia de Sistemas de Gestión integrados las acciones a ejecutar y se establecieron  compromisos y responsabilidades.
En este orden de ideas, se definió que desde la Etapa de Diseño y Planificación se elaborarán los documentos, políticas, reglamentos, controles e instructivos, y se construirá de manera armónica e integrada con el Programa de Gestión Documental, el Sistema Integrado de Gestión (SG-Calidad, SG-Ambiental y SG-SST), el Modelo Integrado de Planificación y Gestión, el Marco de Referencia de Arquitectura Empresarial para las TIC y el Modelo de Privacidad y Seguridad de la Información.</t>
  </si>
  <si>
    <t>Al cierre de la vigencia 2022 la entidad alcanzó el 100% de cumplimiento de la meta, logrando que la Corporación tuviera el 5% del total sus equipos reemplazados y mantenidos conforme a lo programado.
Para ello, se elaboró e implementó el Cronograma de Mantenimientos 2022 con personal de apoyo del área de sistemas de la CRA (Ver documento 2022S1-PE-FT-01 5.3.2.1 A1.pdf), lo que permitió el alcance la meta esperada en la presente vigencia.</t>
  </si>
  <si>
    <t xml:space="preserve">Se cumplió con la meta proyectada de alcanzar un 30% de la Red de voz y datos corporativos y servidores virtualizados implementados en la Corporación.
Actualmente desde el area de Sistemas de la Corporación, se realizan permanentemente las actividades de mantenimiento y mejora de las aplicaciones adquiridas y/o desarrolladas en los años anteriores, garantizando su disponibilidad y facilitando la ejecución de los procesos. </t>
  </si>
  <si>
    <t>Para el logro de esta meta, se hizo la adquisición del licenciamiento a través de la tienda virtual del estado colombiano TVEC de la Agencia Colombiana para la Contratación Pública – Colombia Compra. 
De igual manera, se contrató el servició de asistencia especializada y certificada por los fabricantes, para garantizar la óptima administración de los recursos tecnológicos, la seguridad de la información y la eficiencia en la atención de incidentes. Para ello se suscribió el contrato No. 301 de 2022 con la empresa Lan Security Networks – LSN.
De otra parte, es importante señala que teniendo en cuenta que las licencias de las diferentes herramientas tecnológicas utilizadas por al CRA son de periodo anual, sus periodos de renovación inician entre agosto y noviembre, y las etapas de despliegue, actualización y mantenimiento llegan hasta Enero o Febrero de la siguiente vigencia, de acuerdo al ciclo de vida del software.  Por consiguiente, la meta fue cumplida en un 100%</t>
  </si>
  <si>
    <t>Con la implementación del sistema de getión documental ORFEO, se cumple con la implementación de la nómina electrónica satisfaciendo las necesidades del proceso de  gestión humana, dandole cumplimiento a la meta de un servicio tecnológico implementado.
Adicionalmente, se logró la consolidación de los servicios cloud como Microsoft 365, la elaboración del nuevo software para la gestión del registro de Generadores de Residuos de Construcción y Demolición – RCD, utilizando el ambiente Microsoft 365, Windows Server y Azure.</t>
  </si>
  <si>
    <t>En la vigencia 2022 se trabajó en el diseño e implementación de 5 estrategias para posicionar a la CRA entre los Stakeholder internos y externos, con la implementación de 15 herramientas de comunicación, cumpliendo con el 100% de la meta programada en dicha vigencia.
El logro de la meta se obtiene a través de la ejecución de las siguientes 5 estrategias de comunicación:
I.	Estrategia de Divulgación y Visibilización de acciones institucionales.
II.	Estrategia de Crecimiento en Redes Sociales.
III.	Estrategia de Promoción de Imagen institucional.
IV.	Estrategia de Engagement (Marketing Online).
V.	Estrategia de relacionamiento con medios de comunicación.</t>
  </si>
  <si>
    <t>Para el cumplimiento de esta meta se ejecutó la ESTRATEGIA DE PROMOCIÓN DE IMAGEN INSTITUCIONAL, desarrollando un total de 5 campañas en medios tradicionales en los siguientes medios radiales: Emisora Atlántico, Emisoras ABC, Emisora La Voz de la Costa y Canal Telecaribe, y 59 en redes sociales para un total de 61 campañas institucionales impulsadas, logrando superar ampliamente la meta de la vigencia.</t>
  </si>
  <si>
    <t>El total de interacciones entre las tres redes sociales que tuvo la entidad con sus seguidores, fue de 39.446 para lo corrido de la vigencia 2022.   Las gráficas de medición en redes sociales (Facebook / Instagram / Twitter) presentadas en la Acción Estratégica 5.4.1.2, soportan las anteriores cifras de interacciones alcanzadas por la Corporación.</t>
  </si>
  <si>
    <t>Para el cumplimiento de esta meta, se ejecutó la “Estrategia de crecimiento en redes sociales”, que se apoyó con el Contrato No.119 del 2022, como apoyo a la estrategia digital de la Corporación y las actividades de comunicación interna y externa.
Los resultados de Crecimiento alcanzados para cada Red Social, denotan un crecimiento general promedio del 12%</t>
  </si>
  <si>
    <t>Teniendo en cuenta lo programado en el PAI 2020-2023, la Corporación cumplió al 100% con la meta programada para la vigencia 2022, de tener un Proyecto financiado con recursos nacionales o internacionales. 
El cumplimiento de la meta se logró con la financiación del proyecto denominado: “Implementación de acciones para la conservación de áreas ambientales estratégicas en la jurisdicción de la Corporación Autónoma Regional del Atlántico”, al cual, le fueron asignados recursos financieros por valor de  cuatro mil cincuenta y siete millones setecientos ochenta y cuatro mil ciento sesenta pesos m/cte. ($4.057.784.160) según Resolución No.0852 del 05 de agosto del 2022 del Ministerio de Ambiente y Desarrollo Sostenible, por medio de la cual se priorizaron y aprobaron los proyectos de la convocatoria de conservación de las áreas ambientales estratégicas en el marco de la Asignación Ambiental y 20% del mayor recaudo del Sistema General de Regalías para el Bienio 2021-2022 y se designaron las entidades públicas ejecutoras y las instancias encargadas de adelantar la contratación de la interventoría</t>
  </si>
  <si>
    <t>Con la revisión de la totalidad de proyectos ambientales radicados en el Banco de proyectos de la entidad, se dio cumplimiento al 100% de la meta de la vigencia 2022. 
Al respecto, es preciso señalar que, en la vigencia 2022 se radicaron veinte (20) proyectos ambientales en el Banco de Proyectos de la Corporación, de los cuales, siete (7) de éstos son de tipo institucional; es decir, formulados por la CRA y los otros trece (13) proyectos ambientales fueron presentados por entes territoriales (municipios).
De los siete (7) proyectos institucionales presentados al MADS, tres (3) de éstos proyectos fueron calificados como no viables; quedando los otros cuatro (4) proyectos en proceso de evaluación al cierre de la vigencia 2022 para su posible financiación con recursos financieros del Presupuesto General de la Nación a través del Sistema General de Regalías – SGR y/o del Fondo Nacional Ambiental – FONAM.</t>
  </si>
  <si>
    <t xml:space="preserve">Durante la vigencia se celebró el Convenio No. 00001 de 2022 con Edured, fudamental para continuar con el cambio en la cultura de los funcionarios para la gestión de documentos digitales y electrónicos, en consonancia con la política de “Cero Papel” del gobierno nacional e incursión en la estratégia digital de manejo de archivos para garantizar el trabajo en casa o remoto, cuando se requiera. Al entrar en operación el software de Gestión Documental ORFEO, se hace dinámico el proceso de recepción, asignación, distribución y respuesta de la correspodencia. 
Es importante destacar el Contrato No. 247 de 2022, realizado con PCT Ltda., por medio del cual  se realiza la renovación del Software contable (PCT), un paso adelante en la emisión de facturación y nomina electrónica cumpliendo así con la normativa y directrices emitidas por la DIAN.  
Con las acciones desarrolladas en la presente acción estratégica, se tiene un avance en la meta establecida de 100%. </t>
  </si>
  <si>
    <t>Con las acciones desarrolladas al 31 de diciembre de 2022, se puede evidenciar que la meta asociada a la presente acción estratégica, se ha cumplido al 100% revisar word para ampliar información</t>
  </si>
  <si>
    <t>Durante la vigencia 2022 se adquirió el software de la Oficina Juridica, se realizaron los ajustes de acuerdo con el procedimiento establecido por la Corporación y se transmitieron los seguimientos de los contratos y sus seguimientos de la vigencia 2022.</t>
  </si>
  <si>
    <t>Durante la vigencia 2022 se realizaron mesas de trabajo para identificar necesidades de mejora de ORFEO, dentro de las necesidades identificadas se encuentra la asignación de las PQR dentro de la entidad para su trámite, lo que permitirá mejorar la eficiencia en el proceso.  A finales del mes de octubre de 2022, se concluyeron todas las observaciones presentadas por el área responsable de esta sección (PQRS) siendo entregadas a satisfacción.</t>
  </si>
  <si>
    <t>Durante la vigencia 2022, en el marco del Contrato No. 254 de 2022, cuyo objeto contractual fue: “PRESTACIÓN DE SERVICIOS Y DE APOYO A LA GESTIÓN PARA LA ASESORÍA EN LA FORMULACIÓN DE LA HOJA DE RUTA DEL PROYECTO DE TRANSFORMACIÓN DIGITAL DE LA CORPORACIÓN AUTÓNOMA REGIONAL DEL ATLÁNTICO”, se realizó asesoría en la formulación de la hoja de ruta del proyecto de transformación digital de la Corporación; documento útil para la construcción de la Política.  Al cierre de la vigencia, el documento se encontraba formulado en el 100%.</t>
  </si>
  <si>
    <t>En la vigencia 2022, la Corporación desarrolló mesa de trabajo con el IGAC, territorio Atlántico para la realización de un convenio, con el fin de intercambiar información SIG; sin embargo, ello no fue posible en dicha vigencia, razón por la cual, se mantiene la meta en un avance del 50% frente a lo programado para el cuatrienio 2020-2023.</t>
  </si>
  <si>
    <t>Durante la vigencia 2022, se avanzó mensualmente en la actualización de registros de los sistemas de información ambiental.</t>
  </si>
  <si>
    <t xml:space="preserve">A corte 31 de Diciembre del 2022 a meta de esta acción estratégica fue cumplida en un 100%, realizandose la auditoría interna con su respectiva metodología aplicada. 
El cumplmiento de la misma se encuentra representado en una serie de actividades de planificación, mesas de trabajo y socialización para alistar a los funcionarios y contratistas para recibir el ciclo de auditorías de la vigencia 2022. 
El proceso de alistamiento a los funcionarios y contratistas para atender el ciclo de auditorías, se ha logrado con el apoyo recibido a traves de los  Contratos de Prestación de Servicios Profesionales No. 83, 153 y 237 del 2022. </t>
  </si>
  <si>
    <t>La meta de garantizar un Sistema de Gestión de Calidad (SGC) certificado y mantenido conforme a la Norma ISO 9001:2015 se cumplió al 100% en el año 2022.
Adicionalmente, la Corporación tiene establecido en su PAI 2020 – 2023 además de la cetificación y mantenimiento del SGC previamente señalado, dos nuevas acciones estratégicas relacionadas con la implementación del Sistema de Gestión de la Seguridad y Salud en el Trabajo – SG SST (Norma 45001:2018) y Sistema de Gestión Ambiental – SGA (Norma ISO 14001:2015), con el fin de tener un Sistema de Gestión Integrado.
Para ello, fue necesario realizar una serie de ajustes al Sistema de Gestión de la Calidad tanto en sus procedimientos como en sus formatos para actualizar y optimizar los procesos certificados, asi como para ajustarlos a la estructura de alto nivel que permite realizar dicha integración de los tres Sistemas de Gestión.</t>
  </si>
  <si>
    <t>La Corporación actualmente tiene su Sistema de Gestión de la Seguridad y Salud en el Trabajo implementado según la norma tecnica: NTC 45001:2018, cumpliendo con el 100% de la meta planificada para la presente vigencia.</t>
  </si>
  <si>
    <t>Las acciones desarrolladas para el cumplimiento de la meta permiten reportar un avance del 100% a corte 31 de Diciembre del 2022.
Teniendo en cuenta que con el cierre de las actividades rezagadas de la vigencia 2021, tenemos un Sistema de Gestión Ambiental Implementado según la NTC 14001:2015, sin embargo, es preciso aclarar que su sostenimiento se soporta con la ejecución de unas actividades cuyo objetivo es obtener la certificación del SGA, el avance de estas actividades a corte de 31 de diciembre de 2022 es del 100%.</t>
  </si>
  <si>
    <t>La meta no presentó avances en la vigencia 2022, dado que la entidad se encontraba revisando diferentes estrategias que permitieran implementar la norma.</t>
  </si>
  <si>
    <t>La meta de esta acción estratégica presenta un avance del 50%, a corte 31 de diciembre del 2022.
La adopción del modelo integrado de planeación y gestión, conlleva una serie de actividades que se encuentran incluidas en las siete dimensiones que configuran el modelo.</t>
  </si>
  <si>
    <t xml:space="preserve">A corte 31 de diciembre del 2022, la meta fue cumplida y superó la establecida, alcanzando el 90% de documentos custodiados en condiciones de espacio y medioambientales adecuadas de como son: seguridad, medición de temperatura y humedad relativa, uso y manejo de extintores, alarmas contra incendio y personal especializado para el desarrollo de todas las actividades
Lo anterior, teniendo en cuenta que del total de 4.000 cajas que conforman el archivo central de la corporación, se encuentran en las bodegas del contratista MERCADATOS SA 3600 cajas lo que representa el 90% antes señalado. </t>
  </si>
  <si>
    <t>Para este año 2022, se ha establecido una meta del 20%; las cajas (unidades de conservación) a digitalizar dentro del periodo del 2022 son de 1.500; de las cuales, se digitalizaron en su totalidad.
Para el logro de la meta se contó con el Contrato No. 186 de 2022, cuyo objeto fue el de prestar servicios para la complementación de la gestión de documentos digitales y electrónicos, en consonancia con la política de "Cero Papel" del gobierno nacional e incursión En la estrategia digital de manejo de Archivos para garantizar el trabajo en Casa o remoto, cuando se requiera.</t>
  </si>
  <si>
    <t>Para la vigencia 2022 se actualizaron 2 instrumentos archivísticos, los cuales fueron aprobación por el Comité de Gestión y desempeño de la Corporación, lo que representa el cumplimento del 100% de la meta: 1.	Programa de Gestión Documental -PGD, 2.	Sistema integrado de Conservación-SIC</t>
  </si>
  <si>
    <t>urante el  año 2022 se brindó apoyo y acompañamiento para la gestión de los archivos de las siguientes dependencias:
1.	Subdirección de Planeación
2.	Subdirección Financiera
3.	Subdirección Ambiental 
4.	Control Interno
5.	Secretaría General 
6.	Dirección General
7.	Oficina Juríca
Lo anterior, con el fin de atender los requerimientos frente a los procesos de digitalización de sus archivos y verificación de las transferencias documentales de préstamo, acceso y consulta de la información.</t>
  </si>
  <si>
    <t>El saneamiento de expedientes abarca la organización y ordenación relacionada en la respectiva hoja de control, colocación de rótulos en las cajas de tomos de expedientes de los tramites concesión de aguas (01) y de los permisos de vertimientos líquidos (02).
En este sentido, la entidad en el desarrollo del proceso de revisión y actualización de expedientes de saneamiento ambiental, de un total de 1782 cajas con expedientes que se tienen actualmente en el área de saneamiento, alcanzó al cierre de la vigencia 2022 un total de 1600 cajas de expedientes organizadas (revisadas y actualizadas), lo que corresponde al 90% de la meta programada para la vigencia 2022. 
Es importante señalar que dichas cajas contienen alrededor de 10.374 carpetas debidamente saneadas.</t>
  </si>
  <si>
    <t xml:space="preserve">Las acciones judiciales instauradas ante la Corporación se atendieron en su totalidad, dándole a cada una el impulso correspondiente por el abogado asignado, cumpliendo con la meta de atención del 100% de las acciones judiciales presentadas. 
Cada una de las actuaciones o trámites procesales se registraron en la base de datos de la oficina jurídica. Entre el 1ero de Enero y el 30 de Junio del 2022 se atendieron (25) procesos; entre el 1 de julio y el 31 de diciembre del 2022 se atendieron (28) procesos, para un total 53 trámites jurídico procesales atendidos durante el año 2022. 
</t>
  </si>
  <si>
    <t xml:space="preserve">El propósito de la implementación de la política del daño antijurídico es prevenir la ocurrencia de cualquier situación interna o externa que le implique responsabilidades jurídicas a la Corporación Autónoma Regional del Atlántico, teniendo en cuenta los efectos patrimoniales, que implican costos a cargo de los recursos públicos. En tal sentido la Agencia Nacional de Defensa Jurídica del Estado, ha propuesto la metodología para la formulación de la política de prevención del Daño antijurídico. </t>
  </si>
  <si>
    <t>A corte 31 de Diciembre del 2022 han sido asignados a la Oficina Jurídica (profesional de peticiones) un total de 1674 derechos de petición de los cuales han sido atendidos 1483, lo que corresponde a un cumplimiento del 89,18% de la meta de la vigencia 2022.
En este sentido, la Oficina Jurídica ha hecho la gestión pertinente conforme a sus competencias, en concordancia con los procedimientos establecidos para las Peticiones verbales y escritas, definidos en el Sistema de Gestión de la Calidad de la Corporación.</t>
  </si>
  <si>
    <t>En el proceso de Adquisición de Bienes y Servicios (Contratación Estatal) a corte 31 de diciembre de 2022, se registra un cumplimiento del 100%. 
Durante la vigencia 2022 se recibieron 365 solicitudes de trámites procesales contractuales requeridos por la Dirección General de la Entidad, los cuales fueron atendidos y tramitados conforme al reglamento interno y al Estatuto de Contratación Estatal, con un cumplimiento del 100% de lo solicitado.
A efectos de establecer las evidencias y por ser bastante numerosa la información generada en los procesos contractuales, la misma puede ser consultada en la plataforma del SECOP II, donde se encuentran los datos correspondientes al número de contrato, objeto, valor, tiempo de ejecución y demás información relevante de cada uno de lo procesos contractuales.</t>
  </si>
  <si>
    <t>La meta alcanzada para la vigencia 2022 presenta un cumplimiento del 96.5% de los mantenimientos vigentes (Mantenimiento de mobiliarios, aires acondicionados, vehículos, equipos de medición, subestación eléctrica, motobombas, extintores, entre otros), dentro del total del programa de mantenimientos proyectados para el año 2022.
Para el avance de este indicador, la entidad suscribió varios contratos de mantenimiento descritos en el documento word</t>
  </si>
  <si>
    <t>A corte 31 de diciembre del 2022, la meta correspondiente al mantenimiento preventivo y correctivo de la infraestructura de la Corporación, se encuentra en un 100%.  El logro de esta meta fue apoyado con la ADICIÓN al Contrato No. 300, suscrito con la empresa DOCTOR HOUSE SOLUTIONS; a traves del cual se realizó el mantenimiento a las diferentes sedes de la entidad a principios del año 2022. Asimismo, se ejecutó la la Orden de Compra 91937 del 16 de junio de 2022 con la empresa ASEOS COLOMBIANOS ASEOCOLBA S.A., como apoyo para el cumplimiento de la meta.</t>
  </si>
  <si>
    <t>A corte 31 de diciembre de 2022, se cuenta con un avance del 100% del 10% programado para la vigencia 2022, logrado a través de la sucripción del Contrato No. 261 del 2022, cuyo objeto es: “MANTENIMIENTO Y OPERACIÓN DEL SISTEMA INTEGRAL DE CAPTACIÓN, TRATAMIENTO CON BIOTECNOLOGÍA Y REÚSO DE LAS AGUAS DEL ARROYO LEÓN PARA GARANTIZAR LA SOSTENIBILIDAD HÍDRICA Y AMBIENTAL DE LA CIÉNAGA DEL RINCÓN "LAGO DEL CISNE" EN EL DEPARTAMENTO DEL ATLÁNTICO”.
Igualmente, enmarcado dentro del subprograma de Consolidación de una Cultura Ambiental del POMCA Mallorquin, se suscribió el Contrato No.*243 del 2022, con el cual se ejecutó el proyecto denominado de Educación Ambiental "JUVENTUD, AGUA, Y CONSTRUCCIÓN DE PAZ" . Dicho contrato fue ejecutado en un 100%.(* Por error de digitación en el informe de gestión se reportó 244, el No. de contrato correcto es 243)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</si>
</sst>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41" formatCode="_-* #,##0_-;\-* #,##0_-;_-* &quot;-&quot;_-;_-@_-"/>
    <numFmt numFmtId="44" formatCode="_-&quot;$&quot;\ * #,##0.00_-;\-&quot;$&quot;\ * #,##0.00_-;_-&quot;$&quot;\ * &quot;-&quot;??_-;_-@_-"/>
    <numFmt numFmtId="43" formatCode="_-* #,##0.00_-;\-* #,##0.00_-;_-* &quot;-&quot;??_-;_-@_-"/>
    <numFmt numFmtId="164" formatCode="_(* #,##0.00_);_(* \(#,##0.00\);_(* &quot;-&quot;??_);_(@_)"/>
    <numFmt numFmtId="165" formatCode="0.0"/>
    <numFmt numFmtId="166" formatCode="_-* #,##0_-;\-* #,##0_-;_-* &quot;-&quot;??_-;_-@_-"/>
    <numFmt numFmtId="167" formatCode="_(* #,##0_);_(* \(#,##0\);_(* &quot;-&quot;??_);_(@_)"/>
    <numFmt numFmtId="168" formatCode="_(* #,##0.000_);_(* \(#,##0.000\);_(* &quot;-&quot;???_);_(@_)"/>
    <numFmt numFmtId="169" formatCode="_(* #,##0.000_);_(* \(#,##0.000\);_(* &quot;-&quot;??_);_(@_)"/>
    <numFmt numFmtId="170" formatCode="0.0%"/>
    <numFmt numFmtId="171" formatCode="[$$-240A]\ #,##0"/>
    <numFmt numFmtId="172" formatCode="[$$-240A]\ #,##0.00"/>
    <numFmt numFmtId="173" formatCode="0.000"/>
    <numFmt numFmtId="174" formatCode="_ * #,##0.00_ ;_ * \-#,##0.00_ ;_ * &quot;-&quot;??_ ;_ @_ "/>
    <numFmt numFmtId="175" formatCode="_ * #,##0_ ;_ * \-#,##0_ ;_ * &quot;-&quot;??_ ;_ @_ "/>
    <numFmt numFmtId="176" formatCode="_(&quot;$&quot;* #,##0.00_);_(&quot;$&quot;* \(#,##0.00\);_(&quot;$&quot;* &quot;-&quot;??_);_(@_)"/>
    <numFmt numFmtId="177" formatCode="#,##0.00_);\-#,##0.00"/>
    <numFmt numFmtId="178" formatCode="#,##0.00_ ;\-#,##0.00\ "/>
    <numFmt numFmtId="179" formatCode="_ &quot;$&quot;\ * #,##0.00_ ;_ &quot;$&quot;\ * \-#,##0.00_ ;_ &quot;$&quot;\ * &quot;-&quot;??_ ;_ @_ "/>
    <numFmt numFmtId="180" formatCode="_(&quot;$&quot;* #,##0_);_(&quot;$&quot;* \(#,##0\);_(&quot;$&quot;* &quot;-&quot;??_);_(@_)"/>
    <numFmt numFmtId="181" formatCode="_(&quot;$&quot;* #,##0.000_);_(&quot;$&quot;* \(#,##0.000\);_(&quot;$&quot;* &quot;-&quot;???_);_(@_)"/>
    <numFmt numFmtId="182" formatCode="_(&quot;$&quot;* #,##0.00_);_(&quot;$&quot;* \(#,##0.00\);_(&quot;$&quot;* &quot;-&quot;???_);_(@_)"/>
    <numFmt numFmtId="183" formatCode="_-&quot;$&quot;\ * #,##0.00_-;\-&quot;$&quot;\ * #,##0.00_-;_-&quot;$&quot;\ * &quot;-&quot;???_-;_-@_-"/>
    <numFmt numFmtId="184" formatCode="_-&quot;$&quot;\ * #,##0_-;\-&quot;$&quot;\ * #,##0_-;_-&quot;$&quot;\ * &quot;-&quot;??_-;_-@_-"/>
    <numFmt numFmtId="185" formatCode="#,##0.0"/>
    <numFmt numFmtId="186" formatCode="[$$-240A]\ #,##0.0"/>
    <numFmt numFmtId="187" formatCode="0.0000000000000%"/>
    <numFmt numFmtId="188" formatCode="0.00000000000%"/>
    <numFmt numFmtId="189" formatCode="0.000%"/>
    <numFmt numFmtId="190" formatCode="#,##0_ ;\-#,##0\ "/>
    <numFmt numFmtId="191" formatCode="_-* #,##0.000\ _€_-;\-* #,##0.000\ _€_-;_-* &quot;-&quot;???\ _€_-;_-@_-"/>
    <numFmt numFmtId="192" formatCode="_-* #,##0.00\ _€_-;\-* #,##0.00\ _€_-;_-* &quot;-&quot;??\ _€_-;_-@_-"/>
    <numFmt numFmtId="193" formatCode="_-&quot;$&quot;\ * #,##0.000_-;\-&quot;$&quot;\ * #,##0.000_-;_-&quot;$&quot;\ * &quot;-&quot;???_-;_-@_-"/>
  </numFmts>
  <fonts count="65">
    <font>
      <sz val="11"/>
      <color theme="1"/>
      <name val="Calibri"/>
      <family val="2"/>
      <scheme val="minor"/>
    </font>
    <font>
      <u/>
      <sz val="11"/>
      <color theme="10"/>
      <name val="Calibri"/>
      <family val="2"/>
      <scheme val="minor"/>
    </font>
    <font>
      <sz val="11"/>
      <color theme="1"/>
      <name val="Calibri"/>
      <family val="2"/>
      <scheme val="minor"/>
    </font>
    <font>
      <b/>
      <sz val="11"/>
      <color theme="1"/>
      <name val="Calibri"/>
      <family val="2"/>
      <scheme val="minor"/>
    </font>
    <font>
      <sz val="10"/>
      <name val="Arial Narrow"/>
      <family val="2"/>
    </font>
    <font>
      <b/>
      <sz val="12"/>
      <name val="Arial Narrow"/>
      <family val="2"/>
    </font>
    <font>
      <sz val="10"/>
      <name val="Arial"/>
      <family val="2"/>
    </font>
    <font>
      <b/>
      <sz val="10"/>
      <name val="Arial Narrow"/>
      <family val="2"/>
    </font>
    <font>
      <b/>
      <sz val="10"/>
      <color indexed="10"/>
      <name val="Arial Narrow"/>
      <family val="2"/>
    </font>
    <font>
      <b/>
      <sz val="9"/>
      <name val="Arial Narrow"/>
      <family val="2"/>
    </font>
    <font>
      <b/>
      <sz val="7"/>
      <name val="Arial Narrow"/>
      <family val="2"/>
    </font>
    <font>
      <sz val="7"/>
      <name val="Arial Narrow"/>
      <family val="2"/>
    </font>
    <font>
      <u/>
      <sz val="7"/>
      <name val="Arial Narrow"/>
      <family val="2"/>
    </font>
    <font>
      <b/>
      <sz val="11"/>
      <color theme="1"/>
      <name val="Arial Narrow"/>
      <family val="2"/>
    </font>
    <font>
      <b/>
      <sz val="9"/>
      <color theme="1"/>
      <name val="Verdana"/>
      <family val="2"/>
    </font>
    <font>
      <b/>
      <sz val="9"/>
      <name val="Verdana"/>
      <family val="2"/>
    </font>
    <font>
      <sz val="9"/>
      <color theme="1"/>
      <name val="Verdana"/>
      <family val="2"/>
    </font>
    <font>
      <b/>
      <sz val="9"/>
      <color rgb="FF000000"/>
      <name val="Verdana"/>
      <family val="2"/>
    </font>
    <font>
      <sz val="11"/>
      <name val="Calibri"/>
      <family val="2"/>
    </font>
    <font>
      <sz val="11"/>
      <color rgb="FF000000"/>
      <name val="Calibri"/>
      <family val="2"/>
    </font>
    <font>
      <sz val="9"/>
      <name val="Verdana"/>
      <family val="2"/>
    </font>
    <font>
      <sz val="9"/>
      <color rgb="FF000000"/>
      <name val="Verdana"/>
      <family val="2"/>
    </font>
    <font>
      <b/>
      <sz val="11"/>
      <color rgb="FF000000"/>
      <name val="Calibri"/>
      <family val="2"/>
    </font>
    <font>
      <sz val="10"/>
      <color theme="1"/>
      <name val="Arial Narrow"/>
      <family val="2"/>
    </font>
    <font>
      <b/>
      <sz val="10"/>
      <color theme="1"/>
      <name val="Arial Narrow"/>
      <family val="2"/>
    </font>
    <font>
      <sz val="10"/>
      <color rgb="FF000000"/>
      <name val="Arial Narrow"/>
      <family val="2"/>
    </font>
    <font>
      <b/>
      <sz val="10"/>
      <color indexed="8"/>
      <name val="Arial Narrow"/>
      <family val="2"/>
    </font>
    <font>
      <sz val="9"/>
      <color indexed="81"/>
      <name val="Tahoma"/>
      <family val="2"/>
    </font>
    <font>
      <b/>
      <sz val="9"/>
      <color indexed="81"/>
      <name val="Tahoma"/>
      <family val="2"/>
    </font>
    <font>
      <b/>
      <sz val="10"/>
      <color rgb="FFFF0000"/>
      <name val="Arial Narrow"/>
      <family val="2"/>
    </font>
    <font>
      <b/>
      <sz val="7"/>
      <color rgb="FFFF0000"/>
      <name val="Arial Narrow"/>
      <family val="2"/>
    </font>
    <font>
      <sz val="7"/>
      <color rgb="FFFF0000"/>
      <name val="Arial Narrow"/>
      <family val="2"/>
    </font>
    <font>
      <sz val="10"/>
      <color theme="1"/>
      <name val="Arial"/>
      <family val="2"/>
    </font>
    <font>
      <sz val="11"/>
      <color theme="1"/>
      <name val="Arial"/>
      <family val="2"/>
    </font>
    <font>
      <sz val="10"/>
      <name val="Calibri"/>
      <family val="2"/>
    </font>
    <font>
      <sz val="11"/>
      <name val="Arial"/>
      <family val="2"/>
    </font>
    <font>
      <b/>
      <sz val="8"/>
      <name val="Arial Narrow"/>
      <family val="2"/>
    </font>
    <font>
      <b/>
      <sz val="8"/>
      <color rgb="FFFF0000"/>
      <name val="Arial Narrow"/>
      <family val="2"/>
    </font>
    <font>
      <sz val="8"/>
      <name val="Calibri"/>
      <family val="2"/>
      <scheme val="minor"/>
    </font>
    <font>
      <sz val="10"/>
      <color rgb="FF000000"/>
      <name val="Arial"/>
      <family val="2"/>
    </font>
    <font>
      <sz val="10"/>
      <color rgb="FF000000"/>
      <name val="Arial, sans-serif"/>
    </font>
    <font>
      <sz val="10"/>
      <color rgb="FFFF0000"/>
      <name val="Arial, sans-serif"/>
    </font>
    <font>
      <sz val="10"/>
      <color rgb="FFFF0000"/>
      <name val="Arial"/>
      <family val="2"/>
    </font>
    <font>
      <sz val="10"/>
      <color rgb="FFFF0000"/>
      <name val="Arial Narrow"/>
      <family val="2"/>
    </font>
    <font>
      <sz val="10"/>
      <color theme="1"/>
      <name val="Arial  N"/>
    </font>
    <font>
      <sz val="10"/>
      <color rgb="FF000000"/>
      <name val="Arial  N"/>
    </font>
    <font>
      <b/>
      <sz val="10"/>
      <color rgb="FF000000"/>
      <name val="Arial Narrow"/>
      <family val="2"/>
    </font>
    <font>
      <sz val="10"/>
      <name val="Arial  N"/>
    </font>
    <font>
      <b/>
      <sz val="10"/>
      <color rgb="FFFFFFFF"/>
      <name val="Arial Narrow"/>
      <family val="2"/>
    </font>
    <font>
      <b/>
      <sz val="10"/>
      <name val="Arial"/>
      <family val="2"/>
    </font>
    <font>
      <b/>
      <i/>
      <sz val="12"/>
      <color theme="1"/>
      <name val="Arial Narrow"/>
      <family val="2"/>
    </font>
    <font>
      <sz val="12"/>
      <name val="Arial Narrow"/>
      <family val="2"/>
    </font>
    <font>
      <sz val="12"/>
      <color theme="1"/>
      <name val="Arial Narrow"/>
      <family val="2"/>
    </font>
    <font>
      <sz val="12"/>
      <color indexed="8"/>
      <name val="Arial Narrow"/>
      <family val="2"/>
    </font>
    <font>
      <b/>
      <sz val="12"/>
      <color theme="1"/>
      <name val="Arial Narrow"/>
      <family val="2"/>
    </font>
    <font>
      <b/>
      <sz val="12"/>
      <color indexed="8"/>
      <name val="Arial Narrow"/>
      <family val="2"/>
    </font>
    <font>
      <sz val="12"/>
      <color rgb="FFFF0000"/>
      <name val="Arial Narrow"/>
      <family val="2"/>
    </font>
    <font>
      <b/>
      <sz val="14"/>
      <color rgb="FFC00000"/>
      <name val="Arial Narrow"/>
      <family val="2"/>
    </font>
    <font>
      <sz val="10"/>
      <color theme="1"/>
      <name val="Calibri"/>
      <family val="2"/>
    </font>
    <font>
      <b/>
      <sz val="10"/>
      <color theme="0"/>
      <name val="Arial Narrow"/>
      <family val="2"/>
    </font>
    <font>
      <b/>
      <sz val="11"/>
      <color theme="0"/>
      <name val="Calibri"/>
      <family val="2"/>
      <scheme val="minor"/>
    </font>
    <font>
      <b/>
      <sz val="9"/>
      <color theme="0"/>
      <name val="Verdana"/>
      <family val="2"/>
    </font>
    <font>
      <sz val="10"/>
      <color rgb="FF444444"/>
      <name val="Arial Narrow"/>
      <family val="2"/>
    </font>
    <font>
      <sz val="12"/>
      <color theme="1"/>
      <name val="Arial"/>
      <family val="2"/>
    </font>
    <font>
      <sz val="10"/>
      <color theme="0"/>
      <name val="Arial Narrow"/>
      <family val="2"/>
    </font>
  </fonts>
  <fills count="90">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theme="4" tint="-0.249977111117893"/>
        <bgColor indexed="64"/>
      </patternFill>
    </fill>
    <fill>
      <patternFill patternType="solid">
        <fgColor indexed="41"/>
        <bgColor indexed="64"/>
      </patternFill>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indexed="13"/>
        <bgColor indexed="64"/>
      </patternFill>
    </fill>
    <fill>
      <patternFill patternType="solid">
        <fgColor indexed="45"/>
        <bgColor indexed="64"/>
      </patternFill>
    </fill>
    <fill>
      <patternFill patternType="solid">
        <fgColor indexed="14"/>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rgb="FF92D050"/>
        <bgColor rgb="FF92D050"/>
      </patternFill>
    </fill>
    <fill>
      <patternFill patternType="solid">
        <fgColor rgb="FFE2EFD9"/>
        <bgColor rgb="FFE2EFD9"/>
      </patternFill>
    </fill>
    <fill>
      <patternFill patternType="solid">
        <fgColor rgb="FFA8D08D"/>
        <bgColor rgb="FFA8D08D"/>
      </patternFill>
    </fill>
    <fill>
      <patternFill patternType="solid">
        <fgColor rgb="FFC5E0B3"/>
        <bgColor rgb="FFC5E0B3"/>
      </patternFill>
    </fill>
    <fill>
      <patternFill patternType="solid">
        <fgColor indexed="11"/>
        <bgColor indexed="64"/>
      </patternFill>
    </fill>
    <fill>
      <patternFill patternType="solid">
        <fgColor rgb="FF66FF66"/>
        <bgColor rgb="FFA8D08D"/>
      </patternFill>
    </fill>
    <fill>
      <patternFill patternType="solid">
        <fgColor rgb="FF99FF99"/>
        <bgColor rgb="FFA8D08D"/>
      </patternFill>
    </fill>
    <fill>
      <patternFill patternType="solid">
        <fgColor rgb="FFCCFFCC"/>
        <bgColor rgb="FFA8D08D"/>
      </patternFill>
    </fill>
    <fill>
      <patternFill patternType="solid">
        <fgColor rgb="FF66FF66"/>
        <bgColor indexed="64"/>
      </patternFill>
    </fill>
    <fill>
      <patternFill patternType="solid">
        <fgColor rgb="FF99FF99"/>
        <bgColor indexed="64"/>
      </patternFill>
    </fill>
    <fill>
      <patternFill patternType="solid">
        <fgColor rgb="FFCCFFCC"/>
        <bgColor indexed="64"/>
      </patternFill>
    </fill>
    <fill>
      <patternFill patternType="solid">
        <fgColor theme="2" tint="-0.499984740745262"/>
        <bgColor indexed="64"/>
      </patternFill>
    </fill>
    <fill>
      <patternFill patternType="solid">
        <fgColor theme="0"/>
        <bgColor rgb="FFE0FACD"/>
      </patternFill>
    </fill>
    <fill>
      <patternFill patternType="solid">
        <fgColor theme="0"/>
        <bgColor rgb="FFCCF1B0"/>
      </patternFill>
    </fill>
    <fill>
      <patternFill patternType="solid">
        <fgColor theme="0"/>
        <bgColor rgb="FFEDFFE0"/>
      </patternFill>
    </fill>
    <fill>
      <patternFill patternType="solid">
        <fgColor theme="0"/>
        <bgColor rgb="FFFFD966"/>
      </patternFill>
    </fill>
    <fill>
      <patternFill patternType="solid">
        <fgColor theme="0"/>
        <bgColor rgb="FFFFF2CC"/>
      </patternFill>
    </fill>
    <fill>
      <patternFill patternType="solid">
        <fgColor theme="0"/>
        <bgColor rgb="FFFFE599"/>
      </patternFill>
    </fill>
    <fill>
      <patternFill patternType="solid">
        <fgColor theme="0"/>
        <bgColor rgb="FFF191E4"/>
      </patternFill>
    </fill>
    <fill>
      <patternFill patternType="solid">
        <fgColor theme="0"/>
        <bgColor rgb="FFFAC7F3"/>
      </patternFill>
    </fill>
    <fill>
      <patternFill patternType="solid">
        <fgColor theme="0"/>
        <bgColor rgb="FFB3CEFA"/>
      </patternFill>
    </fill>
    <fill>
      <patternFill patternType="solid">
        <fgColor theme="0"/>
        <bgColor rgb="FF9FC5E8"/>
      </patternFill>
    </fill>
    <fill>
      <patternFill patternType="solid">
        <fgColor theme="0"/>
        <bgColor rgb="FFCFE2F3"/>
      </patternFill>
    </fill>
    <fill>
      <patternFill patternType="solid">
        <fgColor theme="0"/>
        <bgColor rgb="FFE7F4FF"/>
      </patternFill>
    </fill>
    <fill>
      <patternFill patternType="solid">
        <fgColor theme="0"/>
        <bgColor rgb="FFF1C232"/>
      </patternFill>
    </fill>
    <fill>
      <patternFill patternType="solid">
        <fgColor theme="0"/>
        <bgColor rgb="FFC4F7A2"/>
      </patternFill>
    </fill>
    <fill>
      <patternFill patternType="solid">
        <fgColor theme="0"/>
        <bgColor rgb="FFD5F8BD"/>
      </patternFill>
    </fill>
    <fill>
      <patternFill patternType="solid">
        <fgColor theme="0"/>
        <bgColor rgb="FFDFFCCB"/>
      </patternFill>
    </fill>
    <fill>
      <patternFill patternType="solid">
        <fgColor theme="0"/>
        <bgColor rgb="FFECF8E3"/>
      </patternFill>
    </fill>
    <fill>
      <patternFill patternType="solid">
        <fgColor theme="0"/>
        <bgColor rgb="FFFF53D2"/>
      </patternFill>
    </fill>
    <fill>
      <patternFill patternType="solid">
        <fgColor theme="0"/>
        <bgColor rgb="FFFAAAE5"/>
      </patternFill>
    </fill>
    <fill>
      <patternFill patternType="solid">
        <fgColor theme="0"/>
        <bgColor rgb="FFFF98E4"/>
      </patternFill>
    </fill>
    <fill>
      <patternFill patternType="solid">
        <fgColor theme="0"/>
        <bgColor rgb="FFFFCBF1"/>
      </patternFill>
    </fill>
    <fill>
      <patternFill patternType="solid">
        <fgColor theme="0"/>
        <bgColor rgb="FFFF8EE1"/>
      </patternFill>
    </fill>
    <fill>
      <patternFill patternType="solid">
        <fgColor theme="0"/>
        <bgColor rgb="FFFFFE83"/>
      </patternFill>
    </fill>
    <fill>
      <patternFill patternType="solid">
        <fgColor theme="0"/>
        <bgColor rgb="FFFFFEA4"/>
      </patternFill>
    </fill>
    <fill>
      <patternFill patternType="solid">
        <fgColor theme="0"/>
        <bgColor rgb="FFFDFDC3"/>
      </patternFill>
    </fill>
    <fill>
      <patternFill patternType="solid">
        <fgColor theme="0"/>
        <bgColor rgb="FFB7B7B7"/>
      </patternFill>
    </fill>
    <fill>
      <patternFill patternType="solid">
        <fgColor theme="0"/>
        <bgColor rgb="FFCCCCCC"/>
      </patternFill>
    </fill>
    <fill>
      <patternFill patternType="solid">
        <fgColor theme="0"/>
        <bgColor rgb="FFEFEFEF"/>
      </patternFill>
    </fill>
    <fill>
      <patternFill patternType="solid">
        <fgColor theme="0"/>
        <bgColor rgb="FFFF9900"/>
      </patternFill>
    </fill>
    <fill>
      <patternFill patternType="solid">
        <fgColor theme="5" tint="0.39997558519241921"/>
        <bgColor indexed="64"/>
      </patternFill>
    </fill>
    <fill>
      <patternFill patternType="solid">
        <fgColor rgb="FF70AD47"/>
        <bgColor rgb="FF70AD47"/>
      </patternFill>
    </fill>
    <fill>
      <patternFill patternType="solid">
        <fgColor theme="5"/>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8" tint="0.39997558519241921"/>
        <bgColor indexed="64"/>
      </patternFill>
    </fill>
    <fill>
      <patternFill patternType="solid">
        <fgColor rgb="FF92D050"/>
        <bgColor indexed="64"/>
      </patternFill>
    </fill>
    <fill>
      <patternFill patternType="solid">
        <fgColor rgb="FFCFE2F3"/>
        <bgColor indexed="64"/>
      </patternFill>
    </fill>
    <fill>
      <patternFill patternType="solid">
        <fgColor theme="5" tint="0.79998168889431442"/>
        <bgColor indexed="64"/>
      </patternFill>
    </fill>
    <fill>
      <patternFill patternType="solid">
        <fgColor rgb="FF00FF00"/>
        <bgColor indexed="64"/>
      </patternFill>
    </fill>
    <fill>
      <patternFill patternType="solid">
        <fgColor theme="9"/>
        <bgColor indexed="64"/>
      </patternFill>
    </fill>
    <fill>
      <patternFill patternType="solid">
        <fgColor rgb="FFE1FFE1"/>
        <bgColor indexed="64"/>
      </patternFill>
    </fill>
    <fill>
      <patternFill patternType="solid">
        <fgColor rgb="FF66FF66"/>
        <bgColor rgb="FFFFFE83"/>
      </patternFill>
    </fill>
    <fill>
      <patternFill patternType="solid">
        <fgColor rgb="FF92D050"/>
        <bgColor rgb="FFA8D08D"/>
      </patternFill>
    </fill>
    <fill>
      <patternFill patternType="solid">
        <fgColor theme="0"/>
        <bgColor rgb="FFA4C2F4"/>
      </patternFill>
    </fill>
    <fill>
      <patternFill patternType="solid">
        <fgColor theme="0"/>
        <bgColor rgb="FFA8D08D"/>
      </patternFill>
    </fill>
    <fill>
      <patternFill patternType="solid">
        <fgColor theme="8" tint="-0.249977111117893"/>
        <bgColor indexed="64"/>
      </patternFill>
    </fill>
    <fill>
      <patternFill patternType="solid">
        <fgColor theme="8" tint="0.59999389629810485"/>
        <bgColor indexed="64"/>
      </patternFill>
    </fill>
    <fill>
      <patternFill patternType="solid">
        <fgColor rgb="FFEFF6FB"/>
        <bgColor indexed="64"/>
      </patternFill>
    </fill>
    <fill>
      <patternFill patternType="solid">
        <fgColor theme="2"/>
        <bgColor indexed="64"/>
      </patternFill>
    </fill>
    <fill>
      <patternFill patternType="solid">
        <fgColor rgb="FFFF0000"/>
        <bgColor indexed="64"/>
      </patternFill>
    </fill>
    <fill>
      <patternFill patternType="solid">
        <fgColor theme="5" tint="-0.499984740745262"/>
        <bgColor indexed="64"/>
      </patternFill>
    </fill>
    <fill>
      <patternFill patternType="solid">
        <fgColor rgb="FF00B0F0"/>
        <bgColor indexed="64"/>
      </patternFill>
    </fill>
    <fill>
      <patternFill patternType="solid">
        <fgColor rgb="FFFFC000"/>
        <bgColor indexed="64"/>
      </patternFill>
    </fill>
    <fill>
      <patternFill patternType="solid">
        <fgColor rgb="FFFF3399"/>
        <bgColor indexed="64"/>
      </patternFill>
    </fill>
    <fill>
      <patternFill patternType="solid">
        <fgColor theme="7" tint="0.79998168889431442"/>
        <bgColor indexed="64"/>
      </patternFill>
    </fill>
    <fill>
      <patternFill patternType="solid">
        <fgColor rgb="FF66FF66"/>
        <bgColor rgb="FFE2EFD9"/>
      </patternFill>
    </fill>
    <fill>
      <patternFill patternType="solid">
        <fgColor rgb="FFFF0000"/>
        <bgColor rgb="FF9FC5E8"/>
      </patternFill>
    </fill>
    <fill>
      <patternFill patternType="solid">
        <fgColor theme="7" tint="0.79998168889431442"/>
        <bgColor rgb="FFFF53D2"/>
      </patternFill>
    </fill>
    <fill>
      <patternFill patternType="solid">
        <fgColor theme="7" tint="0.79998168889431442"/>
        <bgColor rgb="FFFFCBF1"/>
      </patternFill>
    </fill>
    <fill>
      <patternFill patternType="solid">
        <fgColor theme="7" tint="0.79998168889431442"/>
        <bgColor rgb="FFFFFEA4"/>
      </patternFill>
    </fill>
    <fill>
      <patternFill patternType="solid">
        <fgColor theme="7" tint="0.79998168889431442"/>
        <bgColor rgb="FFB7B7B7"/>
      </patternFill>
    </fill>
    <fill>
      <patternFill patternType="solid">
        <fgColor rgb="FFFF0000"/>
        <bgColor rgb="FFFAAAE5"/>
      </patternFill>
    </fill>
  </fills>
  <borders count="122">
    <border>
      <left/>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style="medium">
        <color indexed="8"/>
      </right>
      <top style="medium">
        <color indexed="64"/>
      </top>
      <bottom/>
      <diagonal/>
    </border>
    <border>
      <left/>
      <right/>
      <top/>
      <bottom style="double">
        <color indexed="64"/>
      </bottom>
      <diagonal/>
    </border>
    <border>
      <left/>
      <right style="double">
        <color indexed="64"/>
      </right>
      <top/>
      <bottom style="double">
        <color indexed="64"/>
      </bottom>
      <diagonal/>
    </border>
    <border>
      <left style="double">
        <color indexed="64"/>
      </left>
      <right style="double">
        <color indexed="64"/>
      </right>
      <top/>
      <bottom style="double">
        <color indexed="64"/>
      </bottom>
      <diagonal/>
    </border>
    <border>
      <left style="double">
        <color indexed="64"/>
      </left>
      <right/>
      <top/>
      <bottom style="double">
        <color indexed="64"/>
      </bottom>
      <diagonal/>
    </border>
    <border>
      <left style="double">
        <color indexed="64"/>
      </left>
      <right style="double">
        <color indexed="64"/>
      </right>
      <top/>
      <bottom/>
      <diagonal/>
    </border>
    <border>
      <left style="double">
        <color indexed="64"/>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style="double">
        <color rgb="FF000000"/>
      </left>
      <right/>
      <top style="double">
        <color rgb="FF000000"/>
      </top>
      <bottom style="double">
        <color rgb="FF000000"/>
      </bottom>
      <diagonal/>
    </border>
    <border>
      <left/>
      <right/>
      <top style="double">
        <color rgb="FF000000"/>
      </top>
      <bottom style="double">
        <color rgb="FF000000"/>
      </bottom>
      <diagonal/>
    </border>
    <border>
      <left/>
      <right style="double">
        <color rgb="FF000000"/>
      </right>
      <top style="double">
        <color rgb="FF000000"/>
      </top>
      <bottom style="double">
        <color rgb="FF000000"/>
      </bottom>
      <diagonal/>
    </border>
    <border>
      <left style="double">
        <color rgb="FF000000"/>
      </left>
      <right style="double">
        <color rgb="FF000000"/>
      </right>
      <top style="double">
        <color rgb="FF000000"/>
      </top>
      <bottom/>
      <diagonal/>
    </border>
    <border>
      <left style="double">
        <color rgb="FF000000"/>
      </left>
      <right style="double">
        <color rgb="FF000000"/>
      </right>
      <top style="double">
        <color rgb="FF000000"/>
      </top>
      <bottom style="double">
        <color rgb="FF000000"/>
      </bottom>
      <diagonal/>
    </border>
    <border>
      <left style="double">
        <color rgb="FF000000"/>
      </left>
      <right style="double">
        <color rgb="FF000000"/>
      </right>
      <top/>
      <bottom style="double">
        <color rgb="FF000000"/>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rgb="FF000000"/>
      </left>
      <right style="thin">
        <color rgb="FF000000"/>
      </right>
      <top style="thin">
        <color rgb="FF000000"/>
      </top>
      <bottom style="thin">
        <color rgb="FF000000"/>
      </bottom>
      <diagonal/>
    </border>
    <border>
      <left style="medium">
        <color indexed="64"/>
      </left>
      <right style="medium">
        <color indexed="64"/>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rgb="FF000000"/>
      </right>
      <top/>
      <bottom/>
      <diagonal/>
    </border>
    <border>
      <left/>
      <right style="thin">
        <color rgb="FF000000"/>
      </right>
      <top style="thin">
        <color rgb="FF000000"/>
      </top>
      <bottom style="thin">
        <color rgb="FF000000"/>
      </bottom>
      <diagonal/>
    </border>
    <border>
      <left style="medium">
        <color rgb="FFCCCCCC"/>
      </left>
      <right style="medium">
        <color rgb="FF000000"/>
      </right>
      <top/>
      <bottom style="medium">
        <color rgb="FF000000"/>
      </bottom>
      <diagonal/>
    </border>
    <border>
      <left style="medium">
        <color indexed="64"/>
      </left>
      <right style="medium">
        <color indexed="64"/>
      </right>
      <top style="thin">
        <color rgb="FF000000"/>
      </top>
      <bottom style="thin">
        <color indexed="64"/>
      </bottom>
      <diagonal/>
    </border>
    <border>
      <left/>
      <right style="medium">
        <color indexed="64"/>
      </right>
      <top style="thin">
        <color rgb="FF000000"/>
      </top>
      <bottom style="thin">
        <color rgb="FF000000"/>
      </bottom>
      <diagonal/>
    </border>
    <border>
      <left style="medium">
        <color indexed="64"/>
      </left>
      <right style="medium">
        <color indexed="64"/>
      </right>
      <top/>
      <bottom style="thin">
        <color rgb="FF000000"/>
      </bottom>
      <diagonal/>
    </border>
    <border>
      <left style="medium">
        <color indexed="64"/>
      </left>
      <right style="medium">
        <color indexed="64"/>
      </right>
      <top style="medium">
        <color rgb="FF000000"/>
      </top>
      <bottom style="thin">
        <color indexed="64"/>
      </bottom>
      <diagonal/>
    </border>
    <border>
      <left style="medium">
        <color indexed="64"/>
      </left>
      <right style="medium">
        <color indexed="64"/>
      </right>
      <top style="medium">
        <color rgb="FFCCCCCC"/>
      </top>
      <bottom style="thin">
        <color indexed="64"/>
      </bottom>
      <diagonal/>
    </border>
    <border>
      <left style="medium">
        <color indexed="64"/>
      </left>
      <right style="medium">
        <color indexed="64"/>
      </right>
      <top/>
      <bottom style="medium">
        <color rgb="FF000000"/>
      </bottom>
      <diagonal/>
    </border>
    <border>
      <left/>
      <right/>
      <top style="medium">
        <color rgb="FFCCCCCC"/>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rgb="FF000000"/>
      </top>
      <bottom/>
      <diagonal/>
    </border>
    <border>
      <left/>
      <right style="medium">
        <color indexed="64"/>
      </right>
      <top style="thin">
        <color rgb="FF000000"/>
      </top>
      <bottom style="thin">
        <color indexed="64"/>
      </bottom>
      <diagonal/>
    </border>
    <border>
      <left/>
      <right style="medium">
        <color indexed="64"/>
      </right>
      <top/>
      <bottom style="thin">
        <color rgb="FF000000"/>
      </bottom>
      <diagonal/>
    </border>
    <border>
      <left/>
      <right style="medium">
        <color indexed="64"/>
      </right>
      <top style="thin">
        <color rgb="FF000000"/>
      </top>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right style="double">
        <color indexed="64"/>
      </right>
      <top style="double">
        <color indexed="64"/>
      </top>
      <bottom style="double">
        <color indexed="64"/>
      </bottom>
      <diagonal/>
    </border>
    <border>
      <left style="medium">
        <color indexed="64"/>
      </left>
      <right style="medium">
        <color indexed="64"/>
      </right>
      <top style="thin">
        <color indexed="64"/>
      </top>
      <bottom style="thin">
        <color rgb="FF000000"/>
      </bottom>
      <diagonal/>
    </border>
    <border>
      <left/>
      <right/>
      <top style="thin">
        <color rgb="FF000000"/>
      </top>
      <bottom/>
      <diagonal/>
    </border>
    <border>
      <left style="medium">
        <color indexed="64"/>
      </left>
      <right/>
      <top style="thin">
        <color rgb="FF000000"/>
      </top>
      <bottom style="thin">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medium">
        <color indexed="64"/>
      </left>
      <right style="medium">
        <color indexed="64"/>
      </right>
      <top style="medium">
        <color indexed="64"/>
      </top>
      <bottom style="thin">
        <color rgb="FF000000"/>
      </bottom>
      <diagonal/>
    </border>
    <border>
      <left style="medium">
        <color indexed="64"/>
      </left>
      <right/>
      <top style="thin">
        <color rgb="FF000000"/>
      </top>
      <bottom/>
      <diagonal/>
    </border>
    <border>
      <left style="medium">
        <color indexed="64"/>
      </left>
      <right/>
      <top/>
      <bottom style="thin">
        <color rgb="FF000000"/>
      </bottom>
      <diagonal/>
    </border>
    <border>
      <left style="medium">
        <color indexed="64"/>
      </left>
      <right style="medium">
        <color indexed="64"/>
      </right>
      <top style="medium">
        <color rgb="FFCCCCCC"/>
      </top>
      <bottom/>
      <diagonal/>
    </border>
    <border>
      <left/>
      <right/>
      <top style="medium">
        <color rgb="FFCCCCCC"/>
      </top>
      <bottom/>
      <diagonal/>
    </border>
    <border>
      <left/>
      <right style="medium">
        <color rgb="FF000000"/>
      </right>
      <top/>
      <bottom style="thin">
        <color indexed="64"/>
      </bottom>
      <diagonal/>
    </border>
    <border>
      <left/>
      <right style="medium">
        <color rgb="FF000000"/>
      </right>
      <top/>
      <bottom/>
      <diagonal/>
    </border>
    <border>
      <left style="medium">
        <color rgb="FFCCCCCC"/>
      </left>
      <right style="medium">
        <color rgb="FF000000"/>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thin">
        <color rgb="FF000000"/>
      </bottom>
      <diagonal/>
    </border>
    <border>
      <left/>
      <right style="medium">
        <color indexed="64"/>
      </right>
      <top style="thin">
        <color indexed="64"/>
      </top>
      <bottom style="thin">
        <color rgb="FF000000"/>
      </bottom>
      <diagonal/>
    </border>
    <border>
      <left style="medium">
        <color indexed="64"/>
      </left>
      <right style="thin">
        <color indexed="64"/>
      </right>
      <top style="thin">
        <color indexed="64"/>
      </top>
      <bottom/>
      <diagonal/>
    </border>
    <border>
      <left style="thin">
        <color rgb="FF000000"/>
      </left>
      <right/>
      <top style="thin">
        <color rgb="FF000000"/>
      </top>
      <bottom/>
      <diagonal/>
    </border>
    <border>
      <left style="double">
        <color indexed="64"/>
      </left>
      <right style="double">
        <color indexed="64"/>
      </right>
      <top style="medium">
        <color indexed="64"/>
      </top>
      <bottom/>
      <diagonal/>
    </border>
    <border>
      <left style="double">
        <color rgb="FF000000"/>
      </left>
      <right style="double">
        <color rgb="FF000000"/>
      </right>
      <top/>
      <bottom/>
      <diagonal/>
    </border>
    <border>
      <left style="thin">
        <color indexed="64"/>
      </left>
      <right style="medium">
        <color indexed="64"/>
      </right>
      <top style="thin">
        <color indexed="64"/>
      </top>
      <bottom/>
      <diagonal/>
    </border>
    <border>
      <left style="thin">
        <color indexed="64"/>
      </left>
      <right style="medium">
        <color indexed="64"/>
      </right>
      <top/>
      <bottom style="thin">
        <color rgb="FF000000"/>
      </bottom>
      <diagonal/>
    </border>
    <border>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bottom/>
      <diagonal/>
    </border>
  </borders>
  <cellStyleXfs count="18">
    <xf numFmtId="0" fontId="0" fillId="0" borderId="0"/>
    <xf numFmtId="0" fontId="1" fillId="0" borderId="0" applyNumberForma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6" fillId="0" borderId="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0" fontId="6" fillId="0" borderId="0"/>
    <xf numFmtId="0" fontId="2" fillId="0" borderId="0"/>
    <xf numFmtId="179" fontId="6"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174" fontId="6" fillId="0" borderId="0" applyFont="0" applyFill="0" applyBorder="0" applyAlignment="0" applyProtection="0"/>
  </cellStyleXfs>
  <cellXfs count="2427">
    <xf numFmtId="0" fontId="0" fillId="0" borderId="0" xfId="0"/>
    <xf numFmtId="0" fontId="3" fillId="0" borderId="0" xfId="0" applyFont="1"/>
    <xf numFmtId="0" fontId="4" fillId="0" borderId="0" xfId="0" applyFont="1" applyAlignment="1">
      <alignment vertical="center" wrapText="1"/>
    </xf>
    <xf numFmtId="0" fontId="4" fillId="0" borderId="0" xfId="0" applyFont="1" applyAlignment="1">
      <alignment vertical="center"/>
    </xf>
    <xf numFmtId="0" fontId="4" fillId="0" borderId="0" xfId="4" applyFont="1" applyAlignment="1">
      <alignment vertical="center" wrapText="1"/>
    </xf>
    <xf numFmtId="0" fontId="4" fillId="0" borderId="0" xfId="4" applyFont="1" applyAlignment="1">
      <alignment vertical="center"/>
    </xf>
    <xf numFmtId="0" fontId="6" fillId="0" borderId="0" xfId="4" applyAlignment="1">
      <alignment vertical="center"/>
    </xf>
    <xf numFmtId="0" fontId="10" fillId="7" borderId="1" xfId="4" applyFont="1" applyFill="1" applyBorder="1" applyAlignment="1">
      <alignment horizontal="center" vertical="center" wrapText="1"/>
    </xf>
    <xf numFmtId="0" fontId="10" fillId="0" borderId="38" xfId="4" applyFont="1" applyBorder="1" applyAlignment="1">
      <alignment vertical="center" wrapText="1"/>
    </xf>
    <xf numFmtId="0" fontId="11" fillId="0" borderId="38" xfId="4" applyFont="1" applyBorder="1" applyAlignment="1">
      <alignment horizontal="justify" vertical="center" wrapText="1"/>
    </xf>
    <xf numFmtId="0" fontId="10" fillId="0" borderId="42" xfId="4" applyFont="1" applyBorder="1" applyAlignment="1">
      <alignment vertical="center" wrapText="1"/>
    </xf>
    <xf numFmtId="0" fontId="11" fillId="0" borderId="42" xfId="4" applyFont="1" applyBorder="1" applyAlignment="1">
      <alignment horizontal="justify" vertical="center" wrapText="1"/>
    </xf>
    <xf numFmtId="0" fontId="0" fillId="0" borderId="0" xfId="0" applyAlignment="1">
      <alignment vertical="center"/>
    </xf>
    <xf numFmtId="0" fontId="3" fillId="0" borderId="27" xfId="0" applyFont="1" applyBorder="1" applyAlignment="1">
      <alignment vertical="center"/>
    </xf>
    <xf numFmtId="0" fontId="0" fillId="0" borderId="28" xfId="0" applyBorder="1" applyAlignment="1">
      <alignment vertical="center"/>
    </xf>
    <xf numFmtId="0" fontId="3" fillId="0" borderId="29" xfId="0" applyFont="1" applyBorder="1" applyAlignment="1">
      <alignment vertical="center"/>
    </xf>
    <xf numFmtId="0" fontId="0" fillId="0" borderId="30" xfId="0" applyBorder="1" applyAlignment="1">
      <alignment vertical="center"/>
    </xf>
    <xf numFmtId="0" fontId="3" fillId="0" borderId="32" xfId="0" applyFont="1" applyBorder="1" applyAlignment="1">
      <alignment vertical="center"/>
    </xf>
    <xf numFmtId="0" fontId="4" fillId="5" borderId="14" xfId="0" applyFont="1" applyFill="1" applyBorder="1" applyAlignment="1">
      <alignment vertical="center" wrapText="1"/>
    </xf>
    <xf numFmtId="0" fontId="4" fillId="5" borderId="15" xfId="0" applyFont="1" applyFill="1" applyBorder="1" applyAlignment="1">
      <alignment vertical="center" wrapText="1"/>
    </xf>
    <xf numFmtId="0" fontId="4" fillId="5" borderId="7" xfId="0" applyFont="1" applyFill="1" applyBorder="1" applyAlignment="1">
      <alignment vertical="center" wrapText="1"/>
    </xf>
    <xf numFmtId="49" fontId="14" fillId="0" borderId="51" xfId="4" applyNumberFormat="1" applyFont="1" applyBorder="1" applyAlignment="1">
      <alignment vertical="center" wrapText="1"/>
    </xf>
    <xf numFmtId="49" fontId="15" fillId="0" borderId="50" xfId="4" applyNumberFormat="1" applyFont="1" applyBorder="1" applyAlignment="1">
      <alignment horizontal="center" vertical="center" wrapText="1"/>
    </xf>
    <xf numFmtId="49" fontId="14" fillId="4" borderId="50" xfId="4" applyNumberFormat="1" applyFont="1" applyFill="1" applyBorder="1" applyAlignment="1">
      <alignment horizontal="center" vertical="center" wrapText="1"/>
    </xf>
    <xf numFmtId="0" fontId="3" fillId="0" borderId="0" xfId="0" applyFont="1" applyAlignment="1">
      <alignment horizontal="center" wrapText="1"/>
    </xf>
    <xf numFmtId="49" fontId="16" fillId="13" borderId="50" xfId="4" applyNumberFormat="1" applyFont="1" applyFill="1" applyBorder="1" applyAlignment="1">
      <alignment horizontal="center" vertical="center"/>
    </xf>
    <xf numFmtId="49" fontId="16" fillId="14" borderId="50" xfId="4" applyNumberFormat="1" applyFont="1" applyFill="1" applyBorder="1" applyAlignment="1">
      <alignment horizontal="center" vertical="center"/>
    </xf>
    <xf numFmtId="0" fontId="16" fillId="0" borderId="50" xfId="4" applyFont="1" applyBorder="1" applyAlignment="1">
      <alignment horizontal="center" vertical="center"/>
    </xf>
    <xf numFmtId="167" fontId="16" fillId="0" borderId="50" xfId="3" applyNumberFormat="1" applyFont="1" applyFill="1" applyBorder="1" applyAlignment="1">
      <alignment horizontal="right" vertical="center"/>
    </xf>
    <xf numFmtId="43" fontId="16" fillId="0" borderId="50" xfId="3" applyFont="1" applyFill="1" applyBorder="1" applyAlignment="1">
      <alignment horizontal="right" vertical="center"/>
    </xf>
    <xf numFmtId="0" fontId="15" fillId="0" borderId="54" xfId="0" applyFont="1" applyBorder="1" applyAlignment="1">
      <alignment horizontal="center" vertical="center"/>
    </xf>
    <xf numFmtId="164" fontId="17" fillId="15" borderId="55" xfId="0" applyNumberFormat="1" applyFont="1" applyFill="1" applyBorder="1" applyAlignment="1">
      <alignment horizontal="center" vertical="center" wrapText="1"/>
    </xf>
    <xf numFmtId="49" fontId="17" fillId="16" borderId="56" xfId="0" applyNumberFormat="1" applyFont="1" applyFill="1" applyBorder="1" applyAlignment="1">
      <alignment horizontal="center" vertical="center"/>
    </xf>
    <xf numFmtId="0" fontId="7" fillId="16" borderId="56" xfId="0" applyFont="1" applyFill="1" applyBorder="1"/>
    <xf numFmtId="164" fontId="7" fillId="16" borderId="56" xfId="3" applyNumberFormat="1" applyFont="1" applyFill="1" applyBorder="1" applyAlignment="1">
      <alignment horizontal="center"/>
    </xf>
    <xf numFmtId="168" fontId="7" fillId="16" borderId="56" xfId="3" applyNumberFormat="1" applyFont="1" applyFill="1" applyBorder="1" applyAlignment="1">
      <alignment horizontal="center"/>
    </xf>
    <xf numFmtId="0" fontId="20" fillId="0" borderId="54" xfId="0" applyFont="1" applyBorder="1" applyAlignment="1">
      <alignment horizontal="left" vertical="center"/>
    </xf>
    <xf numFmtId="49" fontId="17" fillId="17" borderId="56" xfId="0" applyNumberFormat="1" applyFont="1" applyFill="1" applyBorder="1" applyAlignment="1">
      <alignment horizontal="center" vertical="center"/>
    </xf>
    <xf numFmtId="0" fontId="7" fillId="17" borderId="56" xfId="0" applyFont="1" applyFill="1" applyBorder="1"/>
    <xf numFmtId="164" fontId="7" fillId="17" borderId="56" xfId="3" applyNumberFormat="1" applyFont="1" applyFill="1" applyBorder="1" applyAlignment="1">
      <alignment horizontal="center"/>
    </xf>
    <xf numFmtId="169" fontId="7" fillId="17" borderId="56" xfId="3" applyNumberFormat="1" applyFont="1" applyFill="1" applyBorder="1" applyAlignment="1">
      <alignment horizontal="center"/>
    </xf>
    <xf numFmtId="0" fontId="17" fillId="17" borderId="56" xfId="0" applyFont="1" applyFill="1" applyBorder="1" applyAlignment="1">
      <alignment horizontal="center" vertical="center"/>
    </xf>
    <xf numFmtId="0" fontId="21" fillId="0" borderId="56" xfId="0" applyFont="1" applyBorder="1" applyAlignment="1">
      <alignment horizontal="center" vertical="center"/>
    </xf>
    <xf numFmtId="49" fontId="21" fillId="0" borderId="56" xfId="0" applyNumberFormat="1" applyFont="1" applyBorder="1" applyAlignment="1">
      <alignment horizontal="center" vertical="center"/>
    </xf>
    <xf numFmtId="49" fontId="17" fillId="0" borderId="56" xfId="0" applyNumberFormat="1" applyFont="1" applyBorder="1" applyAlignment="1">
      <alignment horizontal="center" vertical="center"/>
    </xf>
    <xf numFmtId="0" fontId="4" fillId="0" borderId="56" xfId="0" applyFont="1" applyBorder="1"/>
    <xf numFmtId="164" fontId="4" fillId="0" borderId="56" xfId="3" applyNumberFormat="1" applyFont="1" applyBorder="1" applyAlignment="1">
      <alignment horizontal="center"/>
    </xf>
    <xf numFmtId="169" fontId="4" fillId="0" borderId="56" xfId="3" applyNumberFormat="1" applyFont="1" applyBorder="1" applyAlignment="1">
      <alignment horizontal="center"/>
    </xf>
    <xf numFmtId="0" fontId="17" fillId="18" borderId="56" xfId="0" applyFont="1" applyFill="1" applyBorder="1" applyAlignment="1">
      <alignment horizontal="center" vertical="center"/>
    </xf>
    <xf numFmtId="49" fontId="17" fillId="18" borderId="56" xfId="0" applyNumberFormat="1" applyFont="1" applyFill="1" applyBorder="1" applyAlignment="1">
      <alignment horizontal="center" vertical="center"/>
    </xf>
    <xf numFmtId="0" fontId="7" fillId="18" borderId="56" xfId="0" applyFont="1" applyFill="1" applyBorder="1"/>
    <xf numFmtId="164" fontId="7" fillId="18" borderId="56" xfId="3" applyNumberFormat="1" applyFont="1" applyFill="1" applyBorder="1" applyAlignment="1">
      <alignment horizontal="center"/>
    </xf>
    <xf numFmtId="169" fontId="7" fillId="18" borderId="56" xfId="3" applyNumberFormat="1" applyFont="1" applyFill="1" applyBorder="1" applyAlignment="1">
      <alignment horizontal="center"/>
    </xf>
    <xf numFmtId="164" fontId="4" fillId="0" borderId="56" xfId="3" applyNumberFormat="1" applyFont="1" applyFill="1" applyBorder="1" applyAlignment="1">
      <alignment horizontal="center"/>
    </xf>
    <xf numFmtId="169" fontId="4" fillId="0" borderId="56" xfId="3" applyNumberFormat="1" applyFont="1" applyFill="1" applyBorder="1" applyAlignment="1">
      <alignment horizontal="center"/>
    </xf>
    <xf numFmtId="164" fontId="7" fillId="0" borderId="56" xfId="3" applyNumberFormat="1" applyFont="1" applyFill="1" applyBorder="1" applyAlignment="1">
      <alignment horizontal="center"/>
    </xf>
    <xf numFmtId="169" fontId="7" fillId="0" borderId="56" xfId="3" applyNumberFormat="1" applyFont="1" applyFill="1" applyBorder="1" applyAlignment="1">
      <alignment horizontal="center"/>
    </xf>
    <xf numFmtId="0" fontId="21" fillId="18" borderId="56" xfId="0" applyFont="1" applyFill="1" applyBorder="1" applyAlignment="1">
      <alignment horizontal="center" vertical="center"/>
    </xf>
    <xf numFmtId="49" fontId="21" fillId="18" borderId="56" xfId="0" applyNumberFormat="1" applyFont="1" applyFill="1" applyBorder="1" applyAlignment="1">
      <alignment horizontal="center" vertical="center"/>
    </xf>
    <xf numFmtId="164" fontId="4" fillId="18" borderId="56" xfId="3" applyNumberFormat="1" applyFont="1" applyFill="1" applyBorder="1" applyAlignment="1">
      <alignment horizontal="center"/>
    </xf>
    <xf numFmtId="169" fontId="4" fillId="18" borderId="56" xfId="3" applyNumberFormat="1" applyFont="1" applyFill="1" applyBorder="1" applyAlignment="1">
      <alignment horizontal="center"/>
    </xf>
    <xf numFmtId="164" fontId="7" fillId="17" borderId="56" xfId="3" applyNumberFormat="1" applyFont="1" applyFill="1" applyBorder="1"/>
    <xf numFmtId="169" fontId="7" fillId="17" borderId="56" xfId="3" applyNumberFormat="1" applyFont="1" applyFill="1" applyBorder="1"/>
    <xf numFmtId="164" fontId="7" fillId="18" borderId="56" xfId="3" applyNumberFormat="1" applyFont="1" applyFill="1" applyBorder="1"/>
    <xf numFmtId="169" fontId="7" fillId="18" borderId="56" xfId="3" applyNumberFormat="1" applyFont="1" applyFill="1" applyBorder="1"/>
    <xf numFmtId="164" fontId="4" fillId="0" borderId="56" xfId="3" applyNumberFormat="1" applyFont="1" applyBorder="1"/>
    <xf numFmtId="169" fontId="4" fillId="0" borderId="56" xfId="3" applyNumberFormat="1" applyFont="1" applyBorder="1"/>
    <xf numFmtId="0" fontId="21" fillId="17" borderId="56" xfId="0" applyFont="1" applyFill="1" applyBorder="1" applyAlignment="1">
      <alignment horizontal="center" vertical="center"/>
    </xf>
    <xf numFmtId="0" fontId="4" fillId="17" borderId="56" xfId="0" applyFont="1" applyFill="1" applyBorder="1"/>
    <xf numFmtId="0" fontId="4" fillId="18" borderId="56" xfId="0" quotePrefix="1" applyFont="1" applyFill="1" applyBorder="1" applyAlignment="1">
      <alignment horizontal="left"/>
    </xf>
    <xf numFmtId="0" fontId="4" fillId="0" borderId="56" xfId="0" quotePrefix="1" applyFont="1" applyBorder="1" applyAlignment="1">
      <alignment horizontal="left"/>
    </xf>
    <xf numFmtId="0" fontId="23" fillId="0" borderId="0" xfId="0" applyFont="1" applyAlignment="1">
      <alignment horizontal="left" vertical="center"/>
    </xf>
    <xf numFmtId="0" fontId="7" fillId="7" borderId="12" xfId="4" applyFont="1" applyFill="1" applyBorder="1" applyAlignment="1">
      <alignment horizontal="center" vertical="center" wrapText="1"/>
    </xf>
    <xf numFmtId="49" fontId="24" fillId="0" borderId="47" xfId="4" quotePrefix="1" applyNumberFormat="1" applyFont="1" applyBorder="1" applyAlignment="1">
      <alignment horizontal="left" vertical="center" wrapText="1"/>
    </xf>
    <xf numFmtId="0" fontId="25" fillId="0" borderId="47" xfId="0" quotePrefix="1" applyFont="1" applyBorder="1" applyAlignment="1">
      <alignment horizontal="left" vertical="center" wrapText="1"/>
    </xf>
    <xf numFmtId="49" fontId="24" fillId="0" borderId="50" xfId="4" applyNumberFormat="1" applyFont="1" applyBorder="1" applyAlignment="1">
      <alignment horizontal="left" vertical="center" wrapText="1"/>
    </xf>
    <xf numFmtId="0" fontId="25" fillId="0" borderId="47" xfId="0" applyFont="1" applyBorder="1" applyAlignment="1">
      <alignment vertical="center" wrapText="1"/>
    </xf>
    <xf numFmtId="49" fontId="7" fillId="0" borderId="50" xfId="4" applyNumberFormat="1" applyFont="1" applyBorder="1" applyAlignment="1">
      <alignment horizontal="left" vertical="center" wrapText="1"/>
    </xf>
    <xf numFmtId="49" fontId="24" fillId="4" borderId="50" xfId="4" applyNumberFormat="1" applyFont="1" applyFill="1" applyBorder="1" applyAlignment="1">
      <alignment horizontal="left" vertical="center" wrapText="1"/>
    </xf>
    <xf numFmtId="49" fontId="24" fillId="4" borderId="51" xfId="4" applyNumberFormat="1" applyFont="1" applyFill="1" applyBorder="1" applyAlignment="1">
      <alignment horizontal="left" vertical="center" wrapText="1"/>
    </xf>
    <xf numFmtId="49" fontId="24" fillId="0" borderId="51" xfId="4" applyNumberFormat="1" applyFont="1" applyBorder="1" applyAlignment="1">
      <alignment horizontal="left" vertical="center" wrapText="1"/>
    </xf>
    <xf numFmtId="49" fontId="23" fillId="0" borderId="50" xfId="4" quotePrefix="1" applyNumberFormat="1" applyFont="1" applyBorder="1" applyAlignment="1">
      <alignment horizontal="left" vertical="center" wrapText="1"/>
    </xf>
    <xf numFmtId="49" fontId="24" fillId="0" borderId="50" xfId="4" quotePrefix="1" applyNumberFormat="1" applyFont="1" applyBorder="1" applyAlignment="1">
      <alignment horizontal="left" vertical="center" wrapText="1"/>
    </xf>
    <xf numFmtId="0" fontId="23" fillId="0" borderId="0" xfId="0" applyFont="1"/>
    <xf numFmtId="0" fontId="4" fillId="0" borderId="16" xfId="1" applyFont="1" applyBorder="1" applyAlignment="1" applyProtection="1">
      <alignment horizontal="left" vertical="top"/>
    </xf>
    <xf numFmtId="10" fontId="8" fillId="7" borderId="7" xfId="2" applyNumberFormat="1" applyFont="1" applyFill="1" applyBorder="1" applyAlignment="1">
      <alignment horizontal="center" vertical="center" wrapText="1"/>
    </xf>
    <xf numFmtId="0" fontId="16" fillId="0" borderId="50" xfId="4" applyFont="1" applyBorder="1" applyAlignment="1">
      <alignment horizontal="left" vertical="center"/>
    </xf>
    <xf numFmtId="0" fontId="14" fillId="0" borderId="51" xfId="4" applyFont="1" applyBorder="1" applyAlignment="1">
      <alignment vertical="center" wrapText="1"/>
    </xf>
    <xf numFmtId="49" fontId="16" fillId="0" borderId="50" xfId="4" applyNumberFormat="1" applyFont="1" applyBorder="1" applyAlignment="1">
      <alignment horizontal="center" vertical="center"/>
    </xf>
    <xf numFmtId="10" fontId="16" fillId="0" borderId="50" xfId="2" applyNumberFormat="1" applyFont="1" applyFill="1" applyBorder="1" applyAlignment="1">
      <alignment horizontal="right" vertical="center"/>
    </xf>
    <xf numFmtId="0" fontId="4" fillId="0" borderId="0" xfId="4" applyFont="1" applyAlignment="1">
      <alignment horizontal="center" vertical="center" wrapText="1"/>
    </xf>
    <xf numFmtId="0" fontId="30" fillId="0" borderId="38" xfId="4" applyFont="1" applyBorder="1" applyAlignment="1">
      <alignment vertical="center" wrapText="1"/>
    </xf>
    <xf numFmtId="0" fontId="31" fillId="0" borderId="38" xfId="4" applyFont="1" applyBorder="1" applyAlignment="1">
      <alignment horizontal="justify" vertical="center" wrapText="1"/>
    </xf>
    <xf numFmtId="0" fontId="4" fillId="0" borderId="38" xfId="4" applyFont="1" applyBorder="1" applyAlignment="1">
      <alignment vertical="center" wrapText="1"/>
    </xf>
    <xf numFmtId="0" fontId="32" fillId="0" borderId="0" xfId="4" applyFont="1" applyAlignment="1">
      <alignment vertical="center"/>
    </xf>
    <xf numFmtId="0" fontId="7" fillId="0" borderId="0" xfId="4" applyFont="1" applyAlignment="1">
      <alignment horizontal="right" vertical="center"/>
    </xf>
    <xf numFmtId="0" fontId="7" fillId="23" borderId="9" xfId="4" applyFont="1" applyFill="1" applyBorder="1" applyAlignment="1">
      <alignment horizontal="center" vertical="center" wrapText="1"/>
    </xf>
    <xf numFmtId="0" fontId="4" fillId="24" borderId="38" xfId="4" applyFont="1" applyFill="1" applyBorder="1" applyAlignment="1">
      <alignment vertical="center" wrapText="1"/>
    </xf>
    <xf numFmtId="0" fontId="4" fillId="25" borderId="38" xfId="4" applyFont="1" applyFill="1" applyBorder="1" applyAlignment="1">
      <alignment vertical="center" wrapText="1"/>
    </xf>
    <xf numFmtId="0" fontId="4" fillId="23" borderId="38" xfId="4" applyFont="1" applyFill="1" applyBorder="1" applyAlignment="1">
      <alignment vertical="center" wrapText="1"/>
    </xf>
    <xf numFmtId="0" fontId="7" fillId="23" borderId="1" xfId="4" applyFont="1" applyFill="1" applyBorder="1" applyAlignment="1">
      <alignment horizontal="center" vertical="center" wrapText="1"/>
    </xf>
    <xf numFmtId="0" fontId="7" fillId="0" borderId="37" xfId="4" applyFont="1" applyBorder="1" applyAlignment="1">
      <alignment horizontal="center" vertical="center" wrapText="1"/>
    </xf>
    <xf numFmtId="0" fontId="7" fillId="23" borderId="2" xfId="4" applyFont="1" applyFill="1" applyBorder="1" applyAlignment="1">
      <alignment horizontal="center" vertical="center" wrapText="1"/>
    </xf>
    <xf numFmtId="0" fontId="7" fillId="0" borderId="41" xfId="4" applyFont="1" applyBorder="1" applyAlignment="1">
      <alignment horizontal="center" vertical="center" wrapText="1"/>
    </xf>
    <xf numFmtId="0" fontId="4" fillId="0" borderId="38" xfId="4" applyFont="1" applyBorder="1" applyAlignment="1">
      <alignment horizontal="center" vertical="center" wrapText="1"/>
    </xf>
    <xf numFmtId="0" fontId="4" fillId="0" borderId="42" xfId="4" applyFont="1" applyBorder="1" applyAlignment="1">
      <alignment horizontal="center" vertical="center" wrapText="1"/>
    </xf>
    <xf numFmtId="15" fontId="7" fillId="23" borderId="9" xfId="4" applyNumberFormat="1" applyFont="1" applyFill="1" applyBorder="1" applyAlignment="1">
      <alignment horizontal="center" vertical="center" wrapText="1"/>
    </xf>
    <xf numFmtId="10" fontId="7" fillId="23" borderId="5" xfId="2" applyNumberFormat="1" applyFont="1" applyFill="1" applyBorder="1" applyAlignment="1">
      <alignment horizontal="right" vertical="center" wrapText="1"/>
    </xf>
    <xf numFmtId="0" fontId="7" fillId="23" borderId="36" xfId="4" applyFont="1" applyFill="1" applyBorder="1" applyAlignment="1">
      <alignment vertical="center" wrapText="1"/>
    </xf>
    <xf numFmtId="170" fontId="8" fillId="7" borderId="7" xfId="4" applyNumberFormat="1" applyFont="1" applyFill="1" applyBorder="1" applyAlignment="1">
      <alignment horizontal="center" vertical="center" wrapText="1"/>
    </xf>
    <xf numFmtId="49" fontId="16" fillId="0" borderId="0" xfId="4" applyNumberFormat="1" applyFont="1" applyAlignment="1">
      <alignment horizontal="center" vertical="center"/>
    </xf>
    <xf numFmtId="0" fontId="16" fillId="13" borderId="50" xfId="4" applyFont="1" applyFill="1" applyBorder="1" applyAlignment="1">
      <alignment horizontal="left" vertical="center"/>
    </xf>
    <xf numFmtId="0" fontId="10" fillId="0" borderId="40" xfId="4" applyFont="1" applyBorder="1" applyAlignment="1">
      <alignment vertical="center" wrapText="1"/>
    </xf>
    <xf numFmtId="0" fontId="11" fillId="0" borderId="40" xfId="4" applyFont="1" applyBorder="1" applyAlignment="1">
      <alignment horizontal="justify" vertical="center" wrapText="1"/>
    </xf>
    <xf numFmtId="0" fontId="7" fillId="0" borderId="0" xfId="4" applyFont="1" applyAlignment="1">
      <alignment horizontal="left" vertical="center" wrapText="1"/>
    </xf>
    <xf numFmtId="0" fontId="7" fillId="0" borderId="0" xfId="4" applyFont="1" applyAlignment="1">
      <alignment horizontal="center" vertical="center" wrapText="1"/>
    </xf>
    <xf numFmtId="0" fontId="8" fillId="7" borderId="7" xfId="4" applyFont="1" applyFill="1" applyBorder="1" applyAlignment="1">
      <alignment horizontal="center" vertical="center" wrapText="1"/>
    </xf>
    <xf numFmtId="0" fontId="7" fillId="6" borderId="14" xfId="4" applyFont="1" applyFill="1" applyBorder="1" applyAlignment="1">
      <alignment vertical="center" wrapText="1"/>
    </xf>
    <xf numFmtId="0" fontId="7" fillId="6" borderId="15" xfId="4" applyFont="1" applyFill="1" applyBorder="1" applyAlignment="1">
      <alignment vertical="center" wrapText="1"/>
    </xf>
    <xf numFmtId="0" fontId="7" fillId="6" borderId="15" xfId="4" applyFont="1" applyFill="1" applyBorder="1" applyAlignment="1">
      <alignment horizontal="center" vertical="center" wrapText="1"/>
    </xf>
    <xf numFmtId="0" fontId="7" fillId="6" borderId="7" xfId="4" applyFont="1" applyFill="1" applyBorder="1" applyAlignment="1">
      <alignment vertical="center" wrapText="1"/>
    </xf>
    <xf numFmtId="0" fontId="7" fillId="9" borderId="12" xfId="4" applyFont="1" applyFill="1" applyBorder="1" applyAlignment="1">
      <alignment horizontal="center" vertical="center" wrapText="1"/>
    </xf>
    <xf numFmtId="0" fontId="7" fillId="9" borderId="14" xfId="4" applyFont="1" applyFill="1" applyBorder="1" applyAlignment="1">
      <alignment horizontal="center" vertical="center" wrapText="1"/>
    </xf>
    <xf numFmtId="3" fontId="7" fillId="23" borderId="24" xfId="4" applyNumberFormat="1" applyFont="1" applyFill="1" applyBorder="1" applyAlignment="1">
      <alignment vertical="center" wrapText="1"/>
    </xf>
    <xf numFmtId="1" fontId="7" fillId="23" borderId="35" xfId="4" applyNumberFormat="1" applyFont="1" applyFill="1" applyBorder="1" applyAlignment="1">
      <alignment horizontal="center" vertical="center" wrapText="1"/>
    </xf>
    <xf numFmtId="170" fontId="7" fillId="23" borderId="43" xfId="2" applyNumberFormat="1" applyFont="1" applyFill="1" applyBorder="1" applyAlignment="1">
      <alignment horizontal="center" vertical="center" wrapText="1"/>
    </xf>
    <xf numFmtId="9" fontId="7" fillId="23" borderId="36" xfId="2" applyFont="1" applyFill="1" applyBorder="1" applyAlignment="1">
      <alignment horizontal="center" vertical="center" wrapText="1"/>
    </xf>
    <xf numFmtId="3" fontId="7" fillId="23" borderId="66" xfId="4" applyNumberFormat="1" applyFont="1" applyFill="1" applyBorder="1" applyAlignment="1">
      <alignment vertical="center" wrapText="1"/>
    </xf>
    <xf numFmtId="3" fontId="7" fillId="23" borderId="43" xfId="4" applyNumberFormat="1" applyFont="1" applyFill="1" applyBorder="1" applyAlignment="1">
      <alignment vertical="center" wrapText="1"/>
    </xf>
    <xf numFmtId="1" fontId="4" fillId="24" borderId="37" xfId="4" applyNumberFormat="1" applyFont="1" applyFill="1" applyBorder="1" applyAlignment="1">
      <alignment horizontal="center" vertical="center" wrapText="1"/>
    </xf>
    <xf numFmtId="10" fontId="4" fillId="24" borderId="38" xfId="2" applyNumberFormat="1" applyFont="1" applyFill="1" applyBorder="1" applyAlignment="1">
      <alignment horizontal="center" vertical="center" wrapText="1"/>
    </xf>
    <xf numFmtId="170" fontId="4" fillId="24" borderId="38" xfId="2" applyNumberFormat="1" applyFont="1" applyFill="1" applyBorder="1" applyAlignment="1">
      <alignment horizontal="center" vertical="center" wrapText="1"/>
    </xf>
    <xf numFmtId="3" fontId="4" fillId="24" borderId="37" xfId="4" applyNumberFormat="1" applyFont="1" applyFill="1" applyBorder="1" applyAlignment="1">
      <alignment vertical="center" wrapText="1"/>
    </xf>
    <xf numFmtId="3" fontId="4" fillId="24" borderId="38" xfId="4" applyNumberFormat="1" applyFont="1" applyFill="1" applyBorder="1" applyAlignment="1">
      <alignment vertical="center" wrapText="1"/>
    </xf>
    <xf numFmtId="170" fontId="4" fillId="24" borderId="38" xfId="2" applyNumberFormat="1" applyFont="1" applyFill="1" applyBorder="1" applyAlignment="1">
      <alignment vertical="center" wrapText="1"/>
    </xf>
    <xf numFmtId="3" fontId="7" fillId="24" borderId="67" xfId="4" applyNumberFormat="1" applyFont="1" applyFill="1" applyBorder="1" applyAlignment="1">
      <alignment vertical="center" wrapText="1"/>
    </xf>
    <xf numFmtId="3" fontId="7" fillId="24" borderId="38" xfId="4" applyNumberFormat="1" applyFont="1" applyFill="1" applyBorder="1" applyAlignment="1">
      <alignment vertical="center" wrapText="1"/>
    </xf>
    <xf numFmtId="3" fontId="7" fillId="24" borderId="18" xfId="4" applyNumberFormat="1" applyFont="1" applyFill="1" applyBorder="1" applyAlignment="1">
      <alignment vertical="center" wrapText="1"/>
    </xf>
    <xf numFmtId="3" fontId="4" fillId="25" borderId="18" xfId="4" applyNumberFormat="1" applyFont="1" applyFill="1" applyBorder="1" applyAlignment="1">
      <alignment vertical="center" wrapText="1"/>
    </xf>
    <xf numFmtId="1" fontId="4" fillId="25" borderId="37" xfId="4" applyNumberFormat="1" applyFont="1" applyFill="1" applyBorder="1" applyAlignment="1">
      <alignment horizontal="center" vertical="center" wrapText="1"/>
    </xf>
    <xf numFmtId="9" fontId="4" fillId="25" borderId="38" xfId="2" applyFont="1" applyFill="1" applyBorder="1" applyAlignment="1">
      <alignment horizontal="center" vertical="center" wrapText="1"/>
    </xf>
    <xf numFmtId="3" fontId="4" fillId="25" borderId="37" xfId="4" applyNumberFormat="1" applyFont="1" applyFill="1" applyBorder="1" applyAlignment="1">
      <alignment vertical="center" wrapText="1"/>
    </xf>
    <xf numFmtId="3" fontId="4" fillId="25" borderId="38" xfId="4" applyNumberFormat="1" applyFont="1" applyFill="1" applyBorder="1" applyAlignment="1">
      <alignment vertical="center" wrapText="1"/>
    </xf>
    <xf numFmtId="10" fontId="4" fillId="25" borderId="38" xfId="2" applyNumberFormat="1" applyFont="1" applyFill="1" applyBorder="1" applyAlignment="1">
      <alignment vertical="center" wrapText="1"/>
    </xf>
    <xf numFmtId="3" fontId="7" fillId="25" borderId="67" xfId="4" applyNumberFormat="1" applyFont="1" applyFill="1" applyBorder="1" applyAlignment="1">
      <alignment vertical="center" wrapText="1"/>
    </xf>
    <xf numFmtId="3" fontId="7" fillId="25" borderId="18" xfId="4" applyNumberFormat="1" applyFont="1" applyFill="1" applyBorder="1" applyAlignment="1">
      <alignment vertical="center" wrapText="1"/>
    </xf>
    <xf numFmtId="3" fontId="4" fillId="0" borderId="18" xfId="4" applyNumberFormat="1" applyFont="1" applyBorder="1" applyAlignment="1">
      <alignment vertical="center" wrapText="1"/>
    </xf>
    <xf numFmtId="1" fontId="4" fillId="0" borderId="37" xfId="4" applyNumberFormat="1" applyFont="1" applyBorder="1" applyAlignment="1">
      <alignment horizontal="center" vertical="center" wrapText="1"/>
    </xf>
    <xf numFmtId="170" fontId="4" fillId="0" borderId="38" xfId="2" applyNumberFormat="1" applyFont="1" applyFill="1" applyBorder="1" applyAlignment="1">
      <alignment horizontal="center" vertical="center" wrapText="1"/>
    </xf>
    <xf numFmtId="3" fontId="4" fillId="0" borderId="37" xfId="4" applyNumberFormat="1" applyFont="1" applyBorder="1" applyAlignment="1">
      <alignment vertical="center" wrapText="1"/>
    </xf>
    <xf numFmtId="14" fontId="4" fillId="0" borderId="37" xfId="4" applyNumberFormat="1" applyFont="1" applyBorder="1" applyAlignment="1">
      <alignment vertical="center" wrapText="1"/>
    </xf>
    <xf numFmtId="10" fontId="4" fillId="0" borderId="38" xfId="2" applyNumberFormat="1" applyFont="1" applyFill="1" applyBorder="1" applyAlignment="1">
      <alignment vertical="center" wrapText="1"/>
    </xf>
    <xf numFmtId="3" fontId="4" fillId="0" borderId="38" xfId="4" applyNumberFormat="1" applyFont="1" applyBorder="1" applyAlignment="1">
      <alignment vertical="center" wrapText="1"/>
    </xf>
    <xf numFmtId="170" fontId="4" fillId="0" borderId="24" xfId="2" applyNumberFormat="1" applyFont="1" applyFill="1" applyBorder="1" applyAlignment="1">
      <alignment horizontal="center" vertical="center" wrapText="1"/>
    </xf>
    <xf numFmtId="3" fontId="7" fillId="0" borderId="38" xfId="4" applyNumberFormat="1" applyFont="1" applyBorder="1" applyAlignment="1">
      <alignment vertical="center" wrapText="1"/>
    </xf>
    <xf numFmtId="10" fontId="4" fillId="0" borderId="37" xfId="2" applyNumberFormat="1" applyFont="1" applyFill="1" applyBorder="1" applyAlignment="1">
      <alignment vertical="center" wrapText="1"/>
    </xf>
    <xf numFmtId="3" fontId="7" fillId="0" borderId="18" xfId="4" applyNumberFormat="1" applyFont="1" applyBorder="1" applyAlignment="1">
      <alignment vertical="center" wrapText="1"/>
    </xf>
    <xf numFmtId="3" fontId="7" fillId="0" borderId="37" xfId="4" applyNumberFormat="1" applyFont="1" applyBorder="1" applyAlignment="1">
      <alignment vertical="center" wrapText="1"/>
    </xf>
    <xf numFmtId="9" fontId="4" fillId="0" borderId="37" xfId="2" applyFont="1" applyFill="1" applyBorder="1" applyAlignment="1">
      <alignment vertical="center" wrapText="1"/>
    </xf>
    <xf numFmtId="14" fontId="4" fillId="24" borderId="37" xfId="4" applyNumberFormat="1" applyFont="1" applyFill="1" applyBorder="1" applyAlignment="1">
      <alignment vertical="center" wrapText="1"/>
    </xf>
    <xf numFmtId="3" fontId="7" fillId="24" borderId="37" xfId="4" applyNumberFormat="1" applyFont="1" applyFill="1" applyBorder="1" applyAlignment="1">
      <alignment vertical="center" wrapText="1"/>
    </xf>
    <xf numFmtId="10" fontId="4" fillId="25" borderId="38" xfId="2" applyNumberFormat="1" applyFont="1" applyFill="1" applyBorder="1" applyAlignment="1">
      <alignment horizontal="center" vertical="center" wrapText="1"/>
    </xf>
    <xf numFmtId="1" fontId="4" fillId="25" borderId="37" xfId="4" applyNumberFormat="1" applyFont="1" applyFill="1" applyBorder="1" applyAlignment="1">
      <alignment vertical="center" wrapText="1"/>
    </xf>
    <xf numFmtId="14" fontId="4" fillId="25" borderId="37" xfId="4" applyNumberFormat="1" applyFont="1" applyFill="1" applyBorder="1" applyAlignment="1">
      <alignment vertical="center" wrapText="1"/>
    </xf>
    <xf numFmtId="9" fontId="4" fillId="25" borderId="37" xfId="2" applyFont="1" applyFill="1" applyBorder="1" applyAlignment="1">
      <alignment vertical="center" wrapText="1"/>
    </xf>
    <xf numFmtId="3" fontId="7" fillId="25" borderId="37" xfId="4" applyNumberFormat="1" applyFont="1" applyFill="1" applyBorder="1" applyAlignment="1">
      <alignment vertical="center" wrapText="1"/>
    </xf>
    <xf numFmtId="1" fontId="4" fillId="23" borderId="35" xfId="4" applyNumberFormat="1" applyFont="1" applyFill="1" applyBorder="1" applyAlignment="1">
      <alignment horizontal="center" vertical="center" wrapText="1"/>
    </xf>
    <xf numFmtId="3" fontId="4" fillId="23" borderId="37" xfId="4" applyNumberFormat="1" applyFont="1" applyFill="1" applyBorder="1" applyAlignment="1">
      <alignment vertical="center" wrapText="1"/>
    </xf>
    <xf numFmtId="3" fontId="7" fillId="23" borderId="18" xfId="4" applyNumberFormat="1" applyFont="1" applyFill="1" applyBorder="1" applyAlignment="1">
      <alignment vertical="center" wrapText="1"/>
    </xf>
    <xf numFmtId="3" fontId="7" fillId="23" borderId="37" xfId="4" applyNumberFormat="1" applyFont="1" applyFill="1" applyBorder="1" applyAlignment="1">
      <alignment vertical="center" wrapText="1"/>
    </xf>
    <xf numFmtId="3" fontId="4" fillId="24" borderId="39" xfId="4" applyNumberFormat="1" applyFont="1" applyFill="1" applyBorder="1" applyAlignment="1">
      <alignment vertical="center" wrapText="1"/>
    </xf>
    <xf numFmtId="3" fontId="7" fillId="24" borderId="21" xfId="4" applyNumberFormat="1" applyFont="1" applyFill="1" applyBorder="1" applyAlignment="1">
      <alignment vertical="center" wrapText="1"/>
    </xf>
    <xf numFmtId="3" fontId="7" fillId="24" borderId="39" xfId="4" applyNumberFormat="1" applyFont="1" applyFill="1" applyBorder="1" applyAlignment="1">
      <alignment vertical="center" wrapText="1"/>
    </xf>
    <xf numFmtId="3" fontId="7" fillId="0" borderId="39" xfId="4" applyNumberFormat="1" applyFont="1" applyBorder="1" applyAlignment="1">
      <alignment vertical="center" wrapText="1"/>
    </xf>
    <xf numFmtId="3" fontId="7" fillId="0" borderId="40" xfId="4" applyNumberFormat="1" applyFont="1" applyBorder="1" applyAlignment="1">
      <alignment vertical="center" wrapText="1"/>
    </xf>
    <xf numFmtId="3" fontId="7" fillId="0" borderId="21" xfId="4" applyNumberFormat="1" applyFont="1" applyBorder="1" applyAlignment="1">
      <alignment vertical="center" wrapText="1"/>
    </xf>
    <xf numFmtId="3" fontId="4" fillId="25" borderId="39" xfId="4" applyNumberFormat="1" applyFont="1" applyFill="1" applyBorder="1" applyAlignment="1">
      <alignment vertical="center" wrapText="1"/>
    </xf>
    <xf numFmtId="9" fontId="4" fillId="25" borderId="37" xfId="2" applyFont="1" applyFill="1" applyBorder="1" applyAlignment="1">
      <alignment horizontal="center" vertical="center" wrapText="1"/>
    </xf>
    <xf numFmtId="3" fontId="7" fillId="25" borderId="21" xfId="4" applyNumberFormat="1" applyFont="1" applyFill="1" applyBorder="1" applyAlignment="1">
      <alignment vertical="center" wrapText="1"/>
    </xf>
    <xf numFmtId="3" fontId="7" fillId="25" borderId="39" xfId="4" applyNumberFormat="1" applyFont="1" applyFill="1" applyBorder="1" applyAlignment="1">
      <alignment vertical="center" wrapText="1"/>
    </xf>
    <xf numFmtId="9" fontId="4" fillId="0" borderId="38" xfId="2" applyFont="1" applyFill="1" applyBorder="1" applyAlignment="1">
      <alignment horizontal="center" vertical="center" wrapText="1"/>
    </xf>
    <xf numFmtId="3" fontId="4" fillId="0" borderId="39" xfId="4" applyNumberFormat="1" applyFont="1" applyBorder="1" applyAlignment="1">
      <alignment vertical="center" wrapText="1"/>
    </xf>
    <xf numFmtId="9" fontId="4" fillId="0" borderId="37" xfId="2" applyFont="1" applyFill="1" applyBorder="1" applyAlignment="1">
      <alignment horizontal="center" vertical="center" wrapText="1"/>
    </xf>
    <xf numFmtId="3" fontId="4" fillId="0" borderId="41" xfId="4" applyNumberFormat="1" applyFont="1" applyBorder="1" applyAlignment="1">
      <alignment vertical="center" wrapText="1"/>
    </xf>
    <xf numFmtId="3" fontId="7" fillId="0" borderId="43" xfId="4" applyNumberFormat="1" applyFont="1" applyBorder="1" applyAlignment="1">
      <alignment vertical="center" wrapText="1"/>
    </xf>
    <xf numFmtId="14" fontId="4" fillId="23" borderId="37" xfId="4" applyNumberFormat="1" applyFont="1" applyFill="1" applyBorder="1" applyAlignment="1">
      <alignment vertical="center" wrapText="1"/>
    </xf>
    <xf numFmtId="10" fontId="4" fillId="0" borderId="24" xfId="2" applyNumberFormat="1" applyFont="1" applyFill="1" applyBorder="1" applyAlignment="1">
      <alignment horizontal="center" vertical="center" wrapText="1"/>
    </xf>
    <xf numFmtId="3" fontId="4" fillId="24" borderId="40" xfId="4" applyNumberFormat="1" applyFont="1" applyFill="1" applyBorder="1" applyAlignment="1">
      <alignment vertical="center" wrapText="1"/>
    </xf>
    <xf numFmtId="3" fontId="4" fillId="25" borderId="40" xfId="4" applyNumberFormat="1" applyFont="1" applyFill="1" applyBorder="1" applyAlignment="1">
      <alignment vertical="center" wrapText="1"/>
    </xf>
    <xf numFmtId="3" fontId="4" fillId="0" borderId="40" xfId="4" applyNumberFormat="1" applyFont="1" applyBorder="1" applyAlignment="1">
      <alignment vertical="center" wrapText="1"/>
    </xf>
    <xf numFmtId="3" fontId="4" fillId="0" borderId="43" xfId="4" applyNumberFormat="1" applyFont="1" applyBorder="1" applyAlignment="1">
      <alignment vertical="center" wrapText="1"/>
    </xf>
    <xf numFmtId="3" fontId="7" fillId="0" borderId="35" xfId="4" applyNumberFormat="1" applyFont="1" applyBorder="1" applyAlignment="1">
      <alignment vertical="center" wrapText="1"/>
    </xf>
    <xf numFmtId="0" fontId="4" fillId="23" borderId="39" xfId="4" applyFont="1" applyFill="1" applyBorder="1" applyAlignment="1">
      <alignment vertical="center" wrapText="1"/>
    </xf>
    <xf numFmtId="0" fontId="4" fillId="24" borderId="39" xfId="4" applyFont="1" applyFill="1" applyBorder="1" applyAlignment="1">
      <alignment vertical="center" wrapText="1"/>
    </xf>
    <xf numFmtId="0" fontId="4" fillId="25" borderId="39" xfId="4" applyFont="1" applyFill="1" applyBorder="1" applyAlignment="1">
      <alignment vertical="center" wrapText="1"/>
    </xf>
    <xf numFmtId="0" fontId="4" fillId="0" borderId="39" xfId="4" applyFont="1" applyBorder="1" applyAlignment="1">
      <alignment vertical="center" wrapText="1"/>
    </xf>
    <xf numFmtId="10" fontId="7" fillId="7" borderId="12" xfId="2" applyNumberFormat="1" applyFont="1" applyFill="1" applyBorder="1" applyAlignment="1">
      <alignment vertical="center" wrapText="1"/>
    </xf>
    <xf numFmtId="0" fontId="4" fillId="0" borderId="37" xfId="4" applyFont="1" applyBorder="1" applyAlignment="1">
      <alignment horizontal="center" vertical="center" wrapText="1"/>
    </xf>
    <xf numFmtId="9" fontId="7" fillId="24" borderId="37" xfId="2" applyFont="1" applyFill="1" applyBorder="1" applyAlignment="1">
      <alignment horizontal="center" vertical="center" wrapText="1"/>
    </xf>
    <xf numFmtId="9" fontId="7" fillId="24" borderId="38" xfId="2" applyFont="1" applyFill="1" applyBorder="1" applyAlignment="1">
      <alignment horizontal="center" vertical="center" wrapText="1"/>
    </xf>
    <xf numFmtId="1" fontId="7" fillId="24" borderId="37" xfId="4" applyNumberFormat="1" applyFont="1" applyFill="1" applyBorder="1" applyAlignment="1">
      <alignment horizontal="center" vertical="center" wrapText="1"/>
    </xf>
    <xf numFmtId="1" fontId="7" fillId="24" borderId="37" xfId="4" applyNumberFormat="1" applyFont="1" applyFill="1" applyBorder="1" applyAlignment="1">
      <alignment vertical="center" wrapText="1"/>
    </xf>
    <xf numFmtId="14" fontId="7" fillId="24" borderId="37" xfId="4" applyNumberFormat="1" applyFont="1" applyFill="1" applyBorder="1" applyAlignment="1">
      <alignment vertical="center" wrapText="1"/>
    </xf>
    <xf numFmtId="9" fontId="7" fillId="24" borderId="37" xfId="2" applyFont="1" applyFill="1" applyBorder="1" applyAlignment="1">
      <alignment vertical="center" wrapText="1"/>
    </xf>
    <xf numFmtId="3" fontId="4" fillId="0" borderId="35" xfId="4" applyNumberFormat="1" applyFont="1" applyBorder="1" applyAlignment="1">
      <alignment vertical="center" wrapText="1"/>
    </xf>
    <xf numFmtId="9" fontId="7" fillId="23" borderId="38" xfId="2" applyFont="1" applyFill="1" applyBorder="1" applyAlignment="1">
      <alignment horizontal="center" vertical="center" wrapText="1"/>
    </xf>
    <xf numFmtId="0" fontId="7" fillId="0" borderId="39" xfId="4" applyFont="1" applyBorder="1" applyAlignment="1">
      <alignment horizontal="center" vertical="center" wrapText="1"/>
    </xf>
    <xf numFmtId="0" fontId="4" fillId="0" borderId="40" xfId="4" applyFont="1" applyBorder="1" applyAlignment="1">
      <alignment horizontal="center" vertical="center" wrapText="1"/>
    </xf>
    <xf numFmtId="9" fontId="4" fillId="0" borderId="39" xfId="2" applyFont="1" applyFill="1" applyBorder="1" applyAlignment="1">
      <alignment horizontal="center" vertical="center" wrapText="1"/>
    </xf>
    <xf numFmtId="0" fontId="7" fillId="9" borderId="15" xfId="4" applyFont="1" applyFill="1" applyBorder="1" applyAlignment="1">
      <alignment horizontal="center" vertical="center" wrapText="1"/>
    </xf>
    <xf numFmtId="1" fontId="7" fillId="23" borderId="24" xfId="4" applyNumberFormat="1" applyFont="1" applyFill="1" applyBorder="1" applyAlignment="1">
      <alignment horizontal="center" vertical="center" wrapText="1"/>
    </xf>
    <xf numFmtId="1" fontId="4" fillId="24" borderId="18" xfId="4" applyNumberFormat="1" applyFont="1" applyFill="1" applyBorder="1" applyAlignment="1">
      <alignment horizontal="center" vertical="center" wrapText="1"/>
    </xf>
    <xf numFmtId="1" fontId="4" fillId="25" borderId="18" xfId="4" applyNumberFormat="1" applyFont="1" applyFill="1" applyBorder="1" applyAlignment="1">
      <alignment horizontal="center" vertical="center" wrapText="1"/>
    </xf>
    <xf numFmtId="1" fontId="4" fillId="0" borderId="18" xfId="4" applyNumberFormat="1" applyFont="1" applyBorder="1" applyAlignment="1">
      <alignment horizontal="center" vertical="center" wrapText="1"/>
    </xf>
    <xf numFmtId="0" fontId="23" fillId="0" borderId="70" xfId="0" applyFont="1" applyBorder="1" applyAlignment="1">
      <alignment horizontal="center" vertical="center"/>
    </xf>
    <xf numFmtId="0" fontId="23" fillId="27" borderId="70" xfId="0" applyFont="1" applyFill="1" applyBorder="1" applyAlignment="1">
      <alignment horizontal="center" vertical="center"/>
    </xf>
    <xf numFmtId="0" fontId="23" fillId="28" borderId="70" xfId="0" applyFont="1" applyFill="1" applyBorder="1" applyAlignment="1">
      <alignment horizontal="center" vertical="center"/>
    </xf>
    <xf numFmtId="0" fontId="23" fillId="31" borderId="70" xfId="0" applyFont="1" applyFill="1" applyBorder="1" applyAlignment="1">
      <alignment horizontal="center" vertical="center"/>
    </xf>
    <xf numFmtId="0" fontId="23" fillId="33" borderId="70" xfId="0" applyFont="1" applyFill="1" applyBorder="1" applyAlignment="1">
      <alignment horizontal="center" vertical="center"/>
    </xf>
    <xf numFmtId="0" fontId="23" fillId="34" borderId="70" xfId="0" applyFont="1" applyFill="1" applyBorder="1" applyAlignment="1">
      <alignment horizontal="center" vertical="center"/>
    </xf>
    <xf numFmtId="0" fontId="23" fillId="35" borderId="70" xfId="0" applyFont="1" applyFill="1" applyBorder="1" applyAlignment="1">
      <alignment horizontal="center" vertical="center"/>
    </xf>
    <xf numFmtId="1" fontId="7" fillId="23" borderId="36" xfId="4" applyNumberFormat="1" applyFont="1" applyFill="1" applyBorder="1" applyAlignment="1">
      <alignment horizontal="center" vertical="center" wrapText="1"/>
    </xf>
    <xf numFmtId="1" fontId="4" fillId="24" borderId="38" xfId="4" applyNumberFormat="1" applyFont="1" applyFill="1" applyBorder="1" applyAlignment="1">
      <alignment horizontal="center" vertical="center" wrapText="1"/>
    </xf>
    <xf numFmtId="1" fontId="4" fillId="25" borderId="38" xfId="4" applyNumberFormat="1" applyFont="1" applyFill="1" applyBorder="1" applyAlignment="1">
      <alignment horizontal="center" vertical="center" wrapText="1"/>
    </xf>
    <xf numFmtId="1" fontId="7" fillId="24" borderId="38" xfId="4" applyNumberFormat="1" applyFont="1" applyFill="1" applyBorder="1" applyAlignment="1">
      <alignment horizontal="center" vertical="center" wrapText="1"/>
    </xf>
    <xf numFmtId="1" fontId="4" fillId="23" borderId="43" xfId="4" applyNumberFormat="1" applyFont="1" applyFill="1" applyBorder="1" applyAlignment="1">
      <alignment horizontal="center" vertical="center" wrapText="1"/>
    </xf>
    <xf numFmtId="9" fontId="23" fillId="30" borderId="70" xfId="0" applyNumberFormat="1" applyFont="1" applyFill="1" applyBorder="1" applyAlignment="1">
      <alignment horizontal="center" vertical="center"/>
    </xf>
    <xf numFmtId="0" fontId="8" fillId="7" borderId="12" xfId="4" applyFont="1" applyFill="1" applyBorder="1" applyAlignment="1">
      <alignment horizontal="center" vertical="center" wrapText="1"/>
    </xf>
    <xf numFmtId="3" fontId="4" fillId="0" borderId="37" xfId="4" applyNumberFormat="1" applyFont="1" applyBorder="1" applyAlignment="1">
      <alignment horizontal="center" vertical="center" wrapText="1"/>
    </xf>
    <xf numFmtId="3" fontId="7" fillId="23" borderId="35" xfId="4" applyNumberFormat="1" applyFont="1" applyFill="1" applyBorder="1" applyAlignment="1">
      <alignment horizontal="center" vertical="center" wrapText="1"/>
    </xf>
    <xf numFmtId="3" fontId="4" fillId="24" borderId="37" xfId="4" applyNumberFormat="1" applyFont="1" applyFill="1" applyBorder="1" applyAlignment="1">
      <alignment horizontal="center" vertical="center" wrapText="1"/>
    </xf>
    <xf numFmtId="3" fontId="4" fillId="25" borderId="37" xfId="4" applyNumberFormat="1" applyFont="1" applyFill="1" applyBorder="1" applyAlignment="1">
      <alignment horizontal="center" vertical="center" wrapText="1"/>
    </xf>
    <xf numFmtId="3" fontId="7" fillId="24" borderId="37" xfId="4" applyNumberFormat="1" applyFont="1" applyFill="1" applyBorder="1" applyAlignment="1">
      <alignment horizontal="center" vertical="center" wrapText="1"/>
    </xf>
    <xf numFmtId="3" fontId="4" fillId="23" borderId="37" xfId="4" applyNumberFormat="1" applyFont="1" applyFill="1" applyBorder="1" applyAlignment="1">
      <alignment horizontal="center" vertical="center" wrapText="1"/>
    </xf>
    <xf numFmtId="3" fontId="4" fillId="24" borderId="39" xfId="4" applyNumberFormat="1" applyFont="1" applyFill="1" applyBorder="1" applyAlignment="1">
      <alignment horizontal="center" vertical="center" wrapText="1"/>
    </xf>
    <xf numFmtId="3" fontId="4" fillId="25" borderId="39" xfId="4" applyNumberFormat="1" applyFont="1" applyFill="1" applyBorder="1" applyAlignment="1">
      <alignment horizontal="center" vertical="center" wrapText="1"/>
    </xf>
    <xf numFmtId="3" fontId="4" fillId="0" borderId="39" xfId="4" applyNumberFormat="1" applyFont="1" applyBorder="1" applyAlignment="1">
      <alignment horizontal="center" vertical="center" wrapText="1"/>
    </xf>
    <xf numFmtId="3" fontId="4" fillId="0" borderId="35" xfId="4" applyNumberFormat="1" applyFont="1" applyBorder="1" applyAlignment="1">
      <alignment horizontal="center" vertical="center" wrapText="1"/>
    </xf>
    <xf numFmtId="0" fontId="4" fillId="23" borderId="39" xfId="4" applyFont="1" applyFill="1" applyBorder="1" applyAlignment="1">
      <alignment horizontal="center" vertical="center" wrapText="1"/>
    </xf>
    <xf numFmtId="0" fontId="4" fillId="24" borderId="39" xfId="4" applyFont="1" applyFill="1" applyBorder="1" applyAlignment="1">
      <alignment horizontal="center" vertical="center" wrapText="1"/>
    </xf>
    <xf numFmtId="0" fontId="4" fillId="25" borderId="39" xfId="4" applyFont="1" applyFill="1" applyBorder="1" applyAlignment="1">
      <alignment horizontal="center" vertical="center" wrapText="1"/>
    </xf>
    <xf numFmtId="0" fontId="4" fillId="0" borderId="39" xfId="4" applyFont="1" applyBorder="1" applyAlignment="1">
      <alignment horizontal="center" vertical="center" wrapText="1"/>
    </xf>
    <xf numFmtId="3" fontId="4" fillId="0" borderId="38" xfId="4" applyNumberFormat="1" applyFont="1" applyBorder="1" applyAlignment="1">
      <alignment horizontal="center" vertical="center" wrapText="1"/>
    </xf>
    <xf numFmtId="3" fontId="4" fillId="25" borderId="35" xfId="4" applyNumberFormat="1" applyFont="1" applyFill="1" applyBorder="1" applyAlignment="1">
      <alignment vertical="center" wrapText="1"/>
    </xf>
    <xf numFmtId="0" fontId="7" fillId="25" borderId="37" xfId="4" applyFont="1" applyFill="1" applyBorder="1" applyAlignment="1">
      <alignment horizontal="center" vertical="center" wrapText="1"/>
    </xf>
    <xf numFmtId="0" fontId="4" fillId="25" borderId="38" xfId="4" applyFont="1" applyFill="1" applyBorder="1" applyAlignment="1">
      <alignment horizontal="center" vertical="center" wrapText="1"/>
    </xf>
    <xf numFmtId="3" fontId="4" fillId="25" borderId="35" xfId="4" applyNumberFormat="1" applyFont="1" applyFill="1" applyBorder="1" applyAlignment="1">
      <alignment horizontal="center" vertical="center" wrapText="1"/>
    </xf>
    <xf numFmtId="0" fontId="4" fillId="23" borderId="9" xfId="4" applyFont="1" applyFill="1" applyBorder="1" applyAlignment="1">
      <alignment horizontal="center" vertical="center" wrapText="1"/>
    </xf>
    <xf numFmtId="0" fontId="4" fillId="24" borderId="38" xfId="2" applyNumberFormat="1" applyFont="1" applyFill="1" applyBorder="1" applyAlignment="1">
      <alignment horizontal="center" vertical="center" wrapText="1"/>
    </xf>
    <xf numFmtId="171" fontId="32" fillId="0" borderId="69" xfId="0" applyNumberFormat="1" applyFont="1" applyBorder="1" applyAlignment="1">
      <alignment horizontal="right" vertical="center"/>
    </xf>
    <xf numFmtId="171" fontId="6" fillId="0" borderId="69" xfId="0" applyNumberFormat="1" applyFont="1" applyBorder="1" applyAlignment="1">
      <alignment horizontal="right" vertical="center"/>
    </xf>
    <xf numFmtId="171" fontId="34" fillId="0" borderId="69" xfId="0" applyNumberFormat="1" applyFont="1" applyBorder="1" applyAlignment="1">
      <alignment vertical="center"/>
    </xf>
    <xf numFmtId="172" fontId="8" fillId="7" borderId="7" xfId="4" applyNumberFormat="1" applyFont="1" applyFill="1" applyBorder="1" applyAlignment="1">
      <alignment horizontal="center" vertical="center" wrapText="1"/>
    </xf>
    <xf numFmtId="171" fontId="34" fillId="0" borderId="69" xfId="0" applyNumberFormat="1" applyFont="1" applyBorder="1" applyAlignment="1">
      <alignment horizontal="right" vertical="center"/>
    </xf>
    <xf numFmtId="9" fontId="4" fillId="24" borderId="38" xfId="2" applyFont="1" applyFill="1" applyBorder="1" applyAlignment="1">
      <alignment horizontal="center" vertical="center" wrapText="1"/>
    </xf>
    <xf numFmtId="10" fontId="8" fillId="7" borderId="12" xfId="2" applyNumberFormat="1" applyFont="1" applyFill="1" applyBorder="1" applyAlignment="1">
      <alignment horizontal="center" vertical="center" wrapText="1"/>
    </xf>
    <xf numFmtId="3" fontId="7" fillId="23" borderId="36" xfId="4" applyNumberFormat="1" applyFont="1" applyFill="1" applyBorder="1" applyAlignment="1">
      <alignment horizontal="center" vertical="center" wrapText="1"/>
    </xf>
    <xf numFmtId="3" fontId="4" fillId="24" borderId="38" xfId="4" applyNumberFormat="1" applyFont="1" applyFill="1" applyBorder="1" applyAlignment="1">
      <alignment horizontal="center" vertical="center" wrapText="1"/>
    </xf>
    <xf numFmtId="3" fontId="4" fillId="25" borderId="38" xfId="4" applyNumberFormat="1" applyFont="1" applyFill="1" applyBorder="1" applyAlignment="1">
      <alignment horizontal="center" vertical="center" wrapText="1"/>
    </xf>
    <xf numFmtId="3" fontId="7" fillId="24" borderId="38" xfId="4" applyNumberFormat="1" applyFont="1" applyFill="1" applyBorder="1" applyAlignment="1">
      <alignment horizontal="center" vertical="center" wrapText="1"/>
    </xf>
    <xf numFmtId="3" fontId="4" fillId="23" borderId="38" xfId="4" applyNumberFormat="1" applyFont="1" applyFill="1" applyBorder="1" applyAlignment="1">
      <alignment horizontal="center" vertical="center" wrapText="1"/>
    </xf>
    <xf numFmtId="3" fontId="4" fillId="25" borderId="43" xfId="4" applyNumberFormat="1" applyFont="1" applyFill="1" applyBorder="1" applyAlignment="1">
      <alignment horizontal="center" vertical="center" wrapText="1"/>
    </xf>
    <xf numFmtId="0" fontId="7" fillId="6" borderId="15" xfId="4" applyFont="1" applyFill="1" applyBorder="1" applyAlignment="1">
      <alignment horizontal="right" vertical="center" wrapText="1"/>
    </xf>
    <xf numFmtId="10" fontId="7" fillId="7" borderId="12" xfId="2" applyNumberFormat="1" applyFont="1" applyFill="1" applyBorder="1" applyAlignment="1">
      <alignment horizontal="right" vertical="center" wrapText="1"/>
    </xf>
    <xf numFmtId="0" fontId="4" fillId="0" borderId="0" xfId="4" applyFont="1" applyAlignment="1">
      <alignment horizontal="right" vertical="center" wrapText="1"/>
    </xf>
    <xf numFmtId="166" fontId="7" fillId="0" borderId="18" xfId="3" applyNumberFormat="1" applyFont="1" applyFill="1" applyBorder="1" applyAlignment="1">
      <alignment vertical="center" wrapText="1"/>
    </xf>
    <xf numFmtId="166" fontId="7" fillId="0" borderId="21" xfId="3" applyNumberFormat="1" applyFont="1" applyFill="1" applyBorder="1" applyAlignment="1">
      <alignment vertical="center" wrapText="1"/>
    </xf>
    <xf numFmtId="166" fontId="7" fillId="0" borderId="66" xfId="3" applyNumberFormat="1" applyFont="1" applyFill="1" applyBorder="1" applyAlignment="1">
      <alignment vertical="center" wrapText="1"/>
    </xf>
    <xf numFmtId="166" fontId="7" fillId="0" borderId="67" xfId="3" applyNumberFormat="1" applyFont="1" applyFill="1" applyBorder="1" applyAlignment="1">
      <alignment vertical="center" wrapText="1"/>
    </xf>
    <xf numFmtId="166" fontId="7" fillId="0" borderId="68" xfId="3" applyNumberFormat="1" applyFont="1" applyFill="1" applyBorder="1" applyAlignment="1">
      <alignment vertical="center" wrapText="1"/>
    </xf>
    <xf numFmtId="10" fontId="7" fillId="23" borderId="36" xfId="2" applyNumberFormat="1" applyFont="1" applyFill="1" applyBorder="1" applyAlignment="1">
      <alignment horizontal="right" vertical="center" wrapText="1"/>
    </xf>
    <xf numFmtId="10" fontId="4" fillId="24" borderId="38" xfId="2" applyNumberFormat="1" applyFont="1" applyFill="1" applyBorder="1" applyAlignment="1">
      <alignment horizontal="right" vertical="center" wrapText="1"/>
    </xf>
    <xf numFmtId="10" fontId="4" fillId="25" borderId="38" xfId="2" applyNumberFormat="1" applyFont="1" applyFill="1" applyBorder="1" applyAlignment="1">
      <alignment horizontal="right" vertical="center" wrapText="1"/>
    </xf>
    <xf numFmtId="10" fontId="4" fillId="0" borderId="38" xfId="2" applyNumberFormat="1" applyFont="1" applyFill="1" applyBorder="1" applyAlignment="1">
      <alignment horizontal="right" vertical="center" wrapText="1"/>
    </xf>
    <xf numFmtId="10" fontId="4" fillId="23" borderId="38" xfId="2" applyNumberFormat="1" applyFont="1" applyFill="1" applyBorder="1" applyAlignment="1">
      <alignment horizontal="right" vertical="center" wrapText="1"/>
    </xf>
    <xf numFmtId="10" fontId="4" fillId="23" borderId="43" xfId="2" applyNumberFormat="1" applyFont="1" applyFill="1" applyBorder="1" applyAlignment="1">
      <alignment horizontal="right" vertical="center" wrapText="1"/>
    </xf>
    <xf numFmtId="9" fontId="7" fillId="25" borderId="38" xfId="2" applyFont="1" applyFill="1" applyBorder="1" applyAlignment="1">
      <alignment horizontal="center" vertical="center" wrapText="1"/>
    </xf>
    <xf numFmtId="9" fontId="7" fillId="0" borderId="38" xfId="2" applyFont="1" applyFill="1" applyBorder="1" applyAlignment="1">
      <alignment horizontal="center" vertical="center" wrapText="1"/>
    </xf>
    <xf numFmtId="3" fontId="7" fillId="25" borderId="38" xfId="4" applyNumberFormat="1" applyFont="1" applyFill="1" applyBorder="1" applyAlignment="1">
      <alignment horizontal="center" vertical="center" wrapText="1"/>
    </xf>
    <xf numFmtId="3" fontId="7" fillId="0" borderId="38" xfId="4" applyNumberFormat="1" applyFont="1" applyBorder="1" applyAlignment="1">
      <alignment horizontal="center" vertical="center" wrapText="1"/>
    </xf>
    <xf numFmtId="3" fontId="7" fillId="24" borderId="40" xfId="4" applyNumberFormat="1" applyFont="1" applyFill="1" applyBorder="1" applyAlignment="1">
      <alignment horizontal="center" vertical="center" wrapText="1"/>
    </xf>
    <xf numFmtId="3" fontId="7" fillId="23" borderId="9" xfId="4" applyNumberFormat="1" applyFont="1" applyFill="1" applyBorder="1" applyAlignment="1">
      <alignment vertical="center" wrapText="1"/>
    </xf>
    <xf numFmtId="3" fontId="7" fillId="23" borderId="39" xfId="4" applyNumberFormat="1" applyFont="1" applyFill="1" applyBorder="1" applyAlignment="1">
      <alignment vertical="center" wrapText="1"/>
    </xf>
    <xf numFmtId="3" fontId="7" fillId="25" borderId="12" xfId="4" applyNumberFormat="1" applyFont="1" applyFill="1" applyBorder="1" applyAlignment="1">
      <alignment vertical="center" wrapText="1"/>
    </xf>
    <xf numFmtId="0" fontId="4" fillId="25" borderId="15" xfId="4" applyFont="1" applyFill="1" applyBorder="1" applyAlignment="1">
      <alignment vertical="center" wrapText="1"/>
    </xf>
    <xf numFmtId="0" fontId="4" fillId="25" borderId="7" xfId="4" applyFont="1" applyFill="1" applyBorder="1" applyAlignment="1">
      <alignment vertical="center" wrapText="1"/>
    </xf>
    <xf numFmtId="0" fontId="4" fillId="25" borderId="12" xfId="4" applyFont="1" applyFill="1" applyBorder="1" applyAlignment="1">
      <alignment vertical="center" wrapText="1"/>
    </xf>
    <xf numFmtId="0" fontId="7" fillId="11" borderId="8" xfId="4" applyFont="1" applyFill="1" applyBorder="1" applyAlignment="1">
      <alignment horizontal="center" vertical="center" wrapText="1"/>
    </xf>
    <xf numFmtId="0" fontId="7" fillId="24" borderId="39" xfId="4" applyFont="1" applyFill="1" applyBorder="1" applyAlignment="1">
      <alignment vertical="center" wrapText="1"/>
    </xf>
    <xf numFmtId="0" fontId="7" fillId="24" borderId="39" xfId="4" applyFont="1" applyFill="1" applyBorder="1" applyAlignment="1">
      <alignment horizontal="center" vertical="center" wrapText="1"/>
    </xf>
    <xf numFmtId="171" fontId="32" fillId="0" borderId="0" xfId="0" applyNumberFormat="1" applyFont="1" applyAlignment="1">
      <alignment horizontal="right" vertical="center"/>
    </xf>
    <xf numFmtId="0" fontId="32" fillId="0" borderId="0" xfId="0" applyFont="1" applyAlignment="1">
      <alignment horizontal="center" vertical="center" wrapText="1"/>
    </xf>
    <xf numFmtId="0" fontId="7" fillId="11" borderId="7" xfId="4" applyFont="1" applyFill="1" applyBorder="1" applyAlignment="1">
      <alignment horizontal="center" vertical="center" wrapText="1"/>
    </xf>
    <xf numFmtId="0" fontId="39" fillId="42" borderId="75" xfId="0" applyFont="1" applyFill="1" applyBorder="1" applyAlignment="1">
      <alignment horizontal="center" vertical="center"/>
    </xf>
    <xf numFmtId="9" fontId="4" fillId="25" borderId="43" xfId="2" applyFont="1" applyFill="1" applyBorder="1" applyAlignment="1">
      <alignment horizontal="center" vertical="center" wrapText="1"/>
    </xf>
    <xf numFmtId="0" fontId="32" fillId="4" borderId="78" xfId="0" applyFont="1" applyFill="1" applyBorder="1" applyAlignment="1">
      <alignment horizontal="center" vertical="center" wrapText="1"/>
    </xf>
    <xf numFmtId="1" fontId="4" fillId="24" borderId="43" xfId="4" applyNumberFormat="1" applyFont="1" applyFill="1" applyBorder="1" applyAlignment="1">
      <alignment horizontal="center" vertical="center" wrapText="1"/>
    </xf>
    <xf numFmtId="0" fontId="39" fillId="48" borderId="75" xfId="0" applyFont="1" applyFill="1" applyBorder="1" applyAlignment="1">
      <alignment horizontal="center" vertical="center"/>
    </xf>
    <xf numFmtId="9" fontId="39" fillId="48" borderId="75" xfId="0" applyNumberFormat="1" applyFont="1" applyFill="1" applyBorder="1" applyAlignment="1">
      <alignment horizontal="center" vertical="center"/>
    </xf>
    <xf numFmtId="0" fontId="39" fillId="50" borderId="0" xfId="0" applyFont="1" applyFill="1" applyAlignment="1">
      <alignment horizontal="center" vertical="center" wrapText="1"/>
    </xf>
    <xf numFmtId="9" fontId="39" fillId="49" borderId="73" xfId="0" applyNumberFormat="1" applyFont="1" applyFill="1" applyBorder="1" applyAlignment="1">
      <alignment horizontal="center" vertical="center"/>
    </xf>
    <xf numFmtId="9" fontId="39" fillId="49" borderId="75" xfId="0" applyNumberFormat="1" applyFont="1" applyFill="1" applyBorder="1" applyAlignment="1">
      <alignment horizontal="center" vertical="center"/>
    </xf>
    <xf numFmtId="0" fontId="39" fillId="49" borderId="73" xfId="0" applyFont="1" applyFill="1" applyBorder="1" applyAlignment="1">
      <alignment horizontal="center" vertical="center"/>
    </xf>
    <xf numFmtId="0" fontId="4" fillId="25" borderId="79" xfId="4" applyFont="1" applyFill="1" applyBorder="1" applyAlignment="1">
      <alignment horizontal="center" vertical="center" wrapText="1"/>
    </xf>
    <xf numFmtId="0" fontId="39" fillId="52" borderId="75" xfId="0" applyFont="1" applyFill="1" applyBorder="1" applyAlignment="1">
      <alignment horizontal="center" vertical="center"/>
    </xf>
    <xf numFmtId="9" fontId="39" fillId="52" borderId="75" xfId="0" applyNumberFormat="1" applyFont="1" applyFill="1" applyBorder="1" applyAlignment="1">
      <alignment horizontal="center" vertical="center"/>
    </xf>
    <xf numFmtId="0" fontId="39" fillId="53" borderId="73" xfId="0" applyFont="1" applyFill="1" applyBorder="1" applyAlignment="1">
      <alignment horizontal="center" vertical="center"/>
    </xf>
    <xf numFmtId="0" fontId="39" fillId="53" borderId="75" xfId="0" applyFont="1" applyFill="1" applyBorder="1" applyAlignment="1">
      <alignment horizontal="center" vertical="center"/>
    </xf>
    <xf numFmtId="9" fontId="23" fillId="35" borderId="70" xfId="2" applyFont="1" applyFill="1" applyBorder="1" applyAlignment="1">
      <alignment horizontal="center" vertical="center"/>
    </xf>
    <xf numFmtId="9" fontId="39" fillId="53" borderId="75" xfId="0" applyNumberFormat="1" applyFont="1" applyFill="1" applyBorder="1" applyAlignment="1">
      <alignment horizontal="center" vertical="center"/>
    </xf>
    <xf numFmtId="0" fontId="39" fillId="52" borderId="0" xfId="0" applyFont="1" applyFill="1" applyAlignment="1">
      <alignment horizontal="center" vertical="center" wrapText="1"/>
    </xf>
    <xf numFmtId="9" fontId="39" fillId="54" borderId="75" xfId="0" applyNumberFormat="1" applyFont="1" applyFill="1" applyBorder="1" applyAlignment="1">
      <alignment horizontal="center" vertical="center"/>
    </xf>
    <xf numFmtId="0" fontId="39" fillId="54" borderId="75" xfId="0" applyFont="1" applyFill="1" applyBorder="1" applyAlignment="1">
      <alignment horizontal="center" vertical="center"/>
    </xf>
    <xf numFmtId="0" fontId="7" fillId="20" borderId="36" xfId="0" applyFont="1" applyFill="1" applyBorder="1" applyAlignment="1">
      <alignment vertical="center" wrapText="1"/>
    </xf>
    <xf numFmtId="0" fontId="7" fillId="21" borderId="38" xfId="0" applyFont="1" applyFill="1" applyBorder="1" applyAlignment="1">
      <alignment vertical="center" wrapText="1"/>
    </xf>
    <xf numFmtId="0" fontId="4" fillId="22" borderId="38" xfId="0" applyFont="1" applyFill="1" applyBorder="1" applyAlignment="1">
      <alignment vertical="center" wrapText="1"/>
    </xf>
    <xf numFmtId="0" fontId="39" fillId="36" borderId="70" xfId="0" applyFont="1" applyFill="1" applyBorder="1" applyAlignment="1">
      <alignment vertical="center" wrapText="1"/>
    </xf>
    <xf numFmtId="0" fontId="39" fillId="36" borderId="81" xfId="0" applyFont="1" applyFill="1" applyBorder="1" applyAlignment="1">
      <alignment vertical="center" wrapText="1"/>
    </xf>
    <xf numFmtId="0" fontId="39" fillId="37" borderId="81" xfId="0" applyFont="1" applyFill="1" applyBorder="1" applyAlignment="1">
      <alignment vertical="center" wrapText="1"/>
    </xf>
    <xf numFmtId="0" fontId="39" fillId="38" borderId="81" xfId="0" applyFont="1" applyFill="1" applyBorder="1" applyAlignment="1">
      <alignment vertical="center" wrapText="1"/>
    </xf>
    <xf numFmtId="0" fontId="39" fillId="37" borderId="5" xfId="0" applyFont="1" applyFill="1" applyBorder="1" applyAlignment="1">
      <alignment vertical="center" wrapText="1"/>
    </xf>
    <xf numFmtId="0" fontId="39" fillId="36" borderId="5" xfId="0" applyFont="1" applyFill="1" applyBorder="1" applyAlignment="1">
      <alignment vertical="center" wrapText="1"/>
    </xf>
    <xf numFmtId="0" fontId="39" fillId="40" borderId="70" xfId="0" applyFont="1" applyFill="1" applyBorder="1" applyAlignment="1">
      <alignment vertical="center" wrapText="1"/>
    </xf>
    <xf numFmtId="0" fontId="39" fillId="40" borderId="81" xfId="0" applyFont="1" applyFill="1" applyBorder="1" applyAlignment="1">
      <alignment vertical="center" wrapText="1"/>
    </xf>
    <xf numFmtId="0" fontId="39" fillId="41" borderId="81" xfId="0" applyFont="1" applyFill="1" applyBorder="1" applyAlignment="1">
      <alignment vertical="center" wrapText="1"/>
    </xf>
    <xf numFmtId="0" fontId="39" fillId="0" borderId="81" xfId="0" applyFont="1" applyBorder="1" applyAlignment="1">
      <alignment vertical="center" wrapText="1"/>
    </xf>
    <xf numFmtId="0" fontId="39" fillId="43" borderId="81" xfId="0" applyFont="1" applyFill="1" applyBorder="1" applyAlignment="1">
      <alignment vertical="center" wrapText="1"/>
    </xf>
    <xf numFmtId="0" fontId="39" fillId="42" borderId="81" xfId="0" applyFont="1" applyFill="1" applyBorder="1" applyAlignment="1">
      <alignment vertical="center" wrapText="1"/>
    </xf>
    <xf numFmtId="0" fontId="32" fillId="4" borderId="82" xfId="0" applyFont="1" applyFill="1" applyBorder="1" applyAlignment="1">
      <alignment vertical="center" wrapText="1"/>
    </xf>
    <xf numFmtId="0" fontId="32" fillId="4" borderId="38" xfId="0" applyFont="1" applyFill="1" applyBorder="1" applyAlignment="1">
      <alignment vertical="center" wrapText="1"/>
    </xf>
    <xf numFmtId="0" fontId="32" fillId="4" borderId="83" xfId="0" applyFont="1" applyFill="1" applyBorder="1" applyAlignment="1">
      <alignment vertical="center" wrapText="1"/>
    </xf>
    <xf numFmtId="0" fontId="4" fillId="22" borderId="43" xfId="0" applyFont="1" applyFill="1" applyBorder="1" applyAlignment="1">
      <alignment vertical="center" wrapText="1"/>
    </xf>
    <xf numFmtId="0" fontId="39" fillId="40" borderId="38" xfId="0" applyFont="1" applyFill="1" applyBorder="1" applyAlignment="1">
      <alignment vertical="center" wrapText="1"/>
    </xf>
    <xf numFmtId="0" fontId="39" fillId="44" borderId="81" xfId="0" applyFont="1" applyFill="1" applyBorder="1" applyAlignment="1">
      <alignment vertical="center" wrapText="1"/>
    </xf>
    <xf numFmtId="0" fontId="39" fillId="45" borderId="81" xfId="0" applyFont="1" applyFill="1" applyBorder="1" applyAlignment="1">
      <alignment vertical="center" wrapText="1"/>
    </xf>
    <xf numFmtId="0" fontId="6" fillId="45" borderId="81" xfId="0" applyFont="1" applyFill="1" applyBorder="1" applyAlignment="1">
      <alignment vertical="center" wrapText="1"/>
    </xf>
    <xf numFmtId="0" fontId="6" fillId="45" borderId="70" xfId="0" applyFont="1" applyFill="1" applyBorder="1" applyAlignment="1">
      <alignment horizontal="left" vertical="center" wrapText="1"/>
    </xf>
    <xf numFmtId="0" fontId="6" fillId="45" borderId="81" xfId="0" applyFont="1" applyFill="1" applyBorder="1" applyAlignment="1">
      <alignment horizontal="left" vertical="center" wrapText="1"/>
    </xf>
    <xf numFmtId="0" fontId="39" fillId="46" borderId="81" xfId="0" applyFont="1" applyFill="1" applyBorder="1" applyAlignment="1">
      <alignment vertical="center" wrapText="1"/>
    </xf>
    <xf numFmtId="0" fontId="39" fillId="47" borderId="81" xfId="0" applyFont="1" applyFill="1" applyBorder="1" applyAlignment="1">
      <alignment vertical="center" wrapText="1"/>
    </xf>
    <xf numFmtId="0" fontId="6" fillId="45" borderId="5" xfId="0" applyFont="1" applyFill="1" applyBorder="1" applyAlignment="1">
      <alignment horizontal="left" vertical="center" wrapText="1"/>
    </xf>
    <xf numFmtId="0" fontId="39" fillId="47" borderId="5" xfId="0" applyFont="1" applyFill="1" applyBorder="1" applyAlignment="1">
      <alignment horizontal="left" vertical="center" wrapText="1"/>
    </xf>
    <xf numFmtId="0" fontId="39" fillId="47" borderId="70" xfId="0" applyFont="1" applyFill="1" applyBorder="1" applyAlignment="1">
      <alignment horizontal="left" vertical="center" wrapText="1"/>
    </xf>
    <xf numFmtId="0" fontId="39" fillId="48" borderId="81" xfId="0" applyFont="1" applyFill="1" applyBorder="1" applyAlignment="1">
      <alignment vertical="center" wrapText="1"/>
    </xf>
    <xf numFmtId="0" fontId="39" fillId="48" borderId="5" xfId="0" applyFont="1" applyFill="1" applyBorder="1" applyAlignment="1">
      <alignment vertical="center" wrapText="1"/>
    </xf>
    <xf numFmtId="0" fontId="39" fillId="45" borderId="70" xfId="0" applyFont="1" applyFill="1" applyBorder="1" applyAlignment="1">
      <alignment vertical="center" wrapText="1"/>
    </xf>
    <xf numFmtId="0" fontId="39" fillId="49" borderId="81" xfId="0" applyFont="1" applyFill="1" applyBorder="1" applyAlignment="1">
      <alignment vertical="center" wrapText="1"/>
    </xf>
    <xf numFmtId="0" fontId="39" fillId="50" borderId="81" xfId="0" applyFont="1" applyFill="1" applyBorder="1" applyAlignment="1">
      <alignment vertical="center" wrapText="1"/>
    </xf>
    <xf numFmtId="0" fontId="39" fillId="51" borderId="5" xfId="0" applyFont="1" applyFill="1" applyBorder="1" applyAlignment="1">
      <alignment vertical="center" wrapText="1"/>
    </xf>
    <xf numFmtId="0" fontId="39" fillId="50" borderId="70" xfId="0" applyFont="1" applyFill="1" applyBorder="1" applyAlignment="1">
      <alignment vertical="center" wrapText="1"/>
    </xf>
    <xf numFmtId="0" fontId="39" fillId="51" borderId="81" xfId="0" applyFont="1" applyFill="1" applyBorder="1" applyAlignment="1">
      <alignment vertical="center" wrapText="1"/>
    </xf>
    <xf numFmtId="0" fontId="6" fillId="50" borderId="70" xfId="0" applyFont="1" applyFill="1" applyBorder="1" applyAlignment="1">
      <alignment horizontal="left" vertical="center" wrapText="1"/>
    </xf>
    <xf numFmtId="0" fontId="39" fillId="52" borderId="81" xfId="0" applyFont="1" applyFill="1" applyBorder="1" applyAlignment="1">
      <alignment vertical="center" wrapText="1"/>
    </xf>
    <xf numFmtId="0" fontId="39" fillId="53" borderId="81" xfId="0" applyFont="1" applyFill="1" applyBorder="1" applyAlignment="1">
      <alignment vertical="center" wrapText="1"/>
    </xf>
    <xf numFmtId="0" fontId="39" fillId="54" borderId="81" xfId="0" applyFont="1" applyFill="1" applyBorder="1" applyAlignment="1">
      <alignment vertical="center" wrapText="1"/>
    </xf>
    <xf numFmtId="0" fontId="39" fillId="52" borderId="5" xfId="0" applyFont="1" applyFill="1" applyBorder="1" applyAlignment="1">
      <alignment vertical="center" wrapText="1"/>
    </xf>
    <xf numFmtId="0" fontId="39" fillId="53" borderId="70" xfId="0" applyFont="1" applyFill="1" applyBorder="1" applyAlignment="1">
      <alignment vertical="center" wrapText="1"/>
    </xf>
    <xf numFmtId="0" fontId="39" fillId="54" borderId="13" xfId="0" applyFont="1" applyFill="1" applyBorder="1" applyAlignment="1">
      <alignment vertical="center" wrapText="1"/>
    </xf>
    <xf numFmtId="170" fontId="4" fillId="0" borderId="18" xfId="2" applyNumberFormat="1" applyFont="1" applyFill="1" applyBorder="1" applyAlignment="1">
      <alignment horizontal="center" vertical="center" wrapText="1"/>
    </xf>
    <xf numFmtId="171" fontId="25" fillId="36" borderId="77" xfId="0" applyNumberFormat="1" applyFont="1" applyFill="1" applyBorder="1" applyAlignment="1">
      <alignment horizontal="right" vertical="center"/>
    </xf>
    <xf numFmtId="171" fontId="25" fillId="36" borderId="75" xfId="0" applyNumberFormat="1" applyFont="1" applyFill="1" applyBorder="1" applyAlignment="1">
      <alignment horizontal="right" vertical="center"/>
    </xf>
    <xf numFmtId="171" fontId="25" fillId="37" borderId="75" xfId="0" applyNumberFormat="1" applyFont="1" applyFill="1" applyBorder="1" applyAlignment="1">
      <alignment horizontal="right" vertical="center"/>
    </xf>
    <xf numFmtId="171" fontId="25" fillId="38" borderId="75" xfId="0" applyNumberFormat="1" applyFont="1" applyFill="1" applyBorder="1" applyAlignment="1">
      <alignment horizontal="right" vertical="center"/>
    </xf>
    <xf numFmtId="171" fontId="25" fillId="38" borderId="76" xfId="0" applyNumberFormat="1" applyFont="1" applyFill="1" applyBorder="1" applyAlignment="1">
      <alignment horizontal="right" vertical="center"/>
    </xf>
    <xf numFmtId="171" fontId="25" fillId="40" borderId="77" xfId="0" applyNumberFormat="1" applyFont="1" applyFill="1" applyBorder="1" applyAlignment="1">
      <alignment horizontal="right" vertical="center"/>
    </xf>
    <xf numFmtId="171" fontId="25" fillId="40" borderId="75" xfId="0" applyNumberFormat="1" applyFont="1" applyFill="1" applyBorder="1" applyAlignment="1">
      <alignment horizontal="right" vertical="center"/>
    </xf>
    <xf numFmtId="171" fontId="45" fillId="44" borderId="75" xfId="0" applyNumberFormat="1" applyFont="1" applyFill="1" applyBorder="1" applyAlignment="1">
      <alignment horizontal="right" vertical="center"/>
    </xf>
    <xf numFmtId="171" fontId="45" fillId="45" borderId="75" xfId="0" applyNumberFormat="1" applyFont="1" applyFill="1" applyBorder="1" applyAlignment="1">
      <alignment horizontal="right" vertical="center"/>
    </xf>
    <xf numFmtId="171" fontId="45" fillId="46" borderId="75" xfId="0" applyNumberFormat="1" applyFont="1" applyFill="1" applyBorder="1" applyAlignment="1">
      <alignment horizontal="right" vertical="center"/>
    </xf>
    <xf numFmtId="171" fontId="45" fillId="47" borderId="75" xfId="0" applyNumberFormat="1" applyFont="1" applyFill="1" applyBorder="1" applyAlignment="1">
      <alignment horizontal="right" vertical="center"/>
    </xf>
    <xf numFmtId="171" fontId="45" fillId="49" borderId="75" xfId="0" applyNumberFormat="1" applyFont="1" applyFill="1" applyBorder="1" applyAlignment="1">
      <alignment horizontal="right" vertical="center"/>
    </xf>
    <xf numFmtId="171" fontId="25" fillId="50" borderId="75" xfId="0" applyNumberFormat="1" applyFont="1" applyFill="1" applyBorder="1" applyAlignment="1">
      <alignment horizontal="right" vertical="center"/>
    </xf>
    <xf numFmtId="171" fontId="25" fillId="51" borderId="75" xfId="0" applyNumberFormat="1" applyFont="1" applyFill="1" applyBorder="1" applyAlignment="1">
      <alignment horizontal="right" vertical="center"/>
    </xf>
    <xf numFmtId="171" fontId="25" fillId="49" borderId="75" xfId="0" applyNumberFormat="1" applyFont="1" applyFill="1" applyBorder="1" applyAlignment="1">
      <alignment horizontal="right" vertical="center"/>
    </xf>
    <xf numFmtId="0" fontId="25" fillId="49" borderId="75" xfId="0" applyFont="1" applyFill="1" applyBorder="1" applyAlignment="1">
      <alignment horizontal="right" vertical="center"/>
    </xf>
    <xf numFmtId="0" fontId="25" fillId="50" borderId="75" xfId="0" applyFont="1" applyFill="1" applyBorder="1" applyAlignment="1">
      <alignment horizontal="right" vertical="center"/>
    </xf>
    <xf numFmtId="171" fontId="25" fillId="52" borderId="75" xfId="0" applyNumberFormat="1" applyFont="1" applyFill="1" applyBorder="1" applyAlignment="1">
      <alignment horizontal="right" vertical="center"/>
    </xf>
    <xf numFmtId="171" fontId="25" fillId="53" borderId="75" xfId="0" applyNumberFormat="1" applyFont="1" applyFill="1" applyBorder="1" applyAlignment="1">
      <alignment horizontal="right" vertical="center"/>
    </xf>
    <xf numFmtId="171" fontId="25" fillId="54" borderId="75" xfId="0" applyNumberFormat="1" applyFont="1" applyFill="1" applyBorder="1" applyAlignment="1">
      <alignment horizontal="right" vertical="center"/>
    </xf>
    <xf numFmtId="172" fontId="25" fillId="36" borderId="77" xfId="0" applyNumberFormat="1" applyFont="1" applyFill="1" applyBorder="1" applyAlignment="1">
      <alignment horizontal="right" vertical="center"/>
    </xf>
    <xf numFmtId="0" fontId="4" fillId="0" borderId="38" xfId="2" applyNumberFormat="1" applyFont="1" applyFill="1" applyBorder="1" applyAlignment="1">
      <alignment horizontal="right" vertical="center" wrapText="1"/>
    </xf>
    <xf numFmtId="0" fontId="35" fillId="0" borderId="72" xfId="0" applyFont="1" applyBorder="1"/>
    <xf numFmtId="0" fontId="35" fillId="0" borderId="73" xfId="0" applyFont="1" applyBorder="1"/>
    <xf numFmtId="1" fontId="4" fillId="0" borderId="38" xfId="4" applyNumberFormat="1" applyFont="1" applyBorder="1" applyAlignment="1">
      <alignment horizontal="center" vertical="center" wrapText="1"/>
    </xf>
    <xf numFmtId="0" fontId="39" fillId="38" borderId="70" xfId="0" applyFont="1" applyFill="1" applyBorder="1" applyAlignment="1">
      <alignment horizontal="center" vertical="center"/>
    </xf>
    <xf numFmtId="0" fontId="39" fillId="36" borderId="70" xfId="0" applyFont="1" applyFill="1" applyBorder="1" applyAlignment="1">
      <alignment horizontal="center" vertical="center"/>
    </xf>
    <xf numFmtId="0" fontId="39" fillId="36" borderId="81" xfId="0" applyFont="1" applyFill="1" applyBorder="1" applyAlignment="1">
      <alignment horizontal="center" vertical="center"/>
    </xf>
    <xf numFmtId="0" fontId="39" fillId="40" borderId="70" xfId="0" applyFont="1" applyFill="1" applyBorder="1" applyAlignment="1">
      <alignment horizontal="center" vertical="center"/>
    </xf>
    <xf numFmtId="0" fontId="39" fillId="40" borderId="81" xfId="0" applyFont="1" applyFill="1" applyBorder="1" applyAlignment="1">
      <alignment horizontal="center" vertical="center"/>
    </xf>
    <xf numFmtId="0" fontId="39" fillId="40" borderId="5" xfId="0" applyFont="1" applyFill="1" applyBorder="1" applyAlignment="1">
      <alignment horizontal="center" vertical="center"/>
    </xf>
    <xf numFmtId="0" fontId="39" fillId="0" borderId="81" xfId="0" applyFont="1" applyBorder="1" applyAlignment="1">
      <alignment horizontal="center" vertical="center"/>
    </xf>
    <xf numFmtId="0" fontId="39" fillId="42" borderId="81" xfId="0" applyFont="1" applyFill="1" applyBorder="1" applyAlignment="1">
      <alignment horizontal="center" vertical="center"/>
    </xf>
    <xf numFmtId="0" fontId="39" fillId="44" borderId="81" xfId="0" applyFont="1" applyFill="1" applyBorder="1" applyAlignment="1">
      <alignment horizontal="center" vertical="center"/>
    </xf>
    <xf numFmtId="0" fontId="32" fillId="4" borderId="43" xfId="0" applyFont="1" applyFill="1" applyBorder="1" applyAlignment="1">
      <alignment horizontal="center" vertical="center" wrapText="1"/>
    </xf>
    <xf numFmtId="0" fontId="32" fillId="4" borderId="38" xfId="0" applyFont="1" applyFill="1" applyBorder="1" applyAlignment="1">
      <alignment horizontal="center" vertical="center" wrapText="1"/>
    </xf>
    <xf numFmtId="9" fontId="32" fillId="4" borderId="82" xfId="0" applyNumberFormat="1" applyFont="1" applyFill="1" applyBorder="1" applyAlignment="1">
      <alignment horizontal="center" vertical="center" wrapText="1"/>
    </xf>
    <xf numFmtId="0" fontId="32" fillId="4" borderId="84" xfId="0" applyFont="1" applyFill="1" applyBorder="1" applyAlignment="1">
      <alignment horizontal="center" vertical="center" wrapText="1"/>
    </xf>
    <xf numFmtId="0" fontId="39" fillId="45" borderId="81" xfId="0" applyFont="1" applyFill="1" applyBorder="1" applyAlignment="1">
      <alignment horizontal="center" vertical="center"/>
    </xf>
    <xf numFmtId="0" fontId="39" fillId="47" borderId="81" xfId="0" applyFont="1" applyFill="1" applyBorder="1" applyAlignment="1">
      <alignment horizontal="center" vertical="center"/>
    </xf>
    <xf numFmtId="0" fontId="39" fillId="48" borderId="81" xfId="0" applyFont="1" applyFill="1" applyBorder="1" applyAlignment="1">
      <alignment horizontal="center" vertical="center"/>
    </xf>
    <xf numFmtId="9" fontId="39" fillId="48" borderId="81" xfId="0" applyNumberFormat="1" applyFont="1" applyFill="1" applyBorder="1" applyAlignment="1">
      <alignment horizontal="center" vertical="center"/>
    </xf>
    <xf numFmtId="0" fontId="39" fillId="50" borderId="81" xfId="0" applyFont="1" applyFill="1" applyBorder="1" applyAlignment="1">
      <alignment horizontal="center" vertical="center"/>
    </xf>
    <xf numFmtId="9" fontId="39" fillId="50" borderId="81" xfId="0" applyNumberFormat="1" applyFont="1" applyFill="1" applyBorder="1" applyAlignment="1">
      <alignment horizontal="center" vertical="center"/>
    </xf>
    <xf numFmtId="0" fontId="39" fillId="51" borderId="81" xfId="0" applyFont="1" applyFill="1" applyBorder="1" applyAlignment="1">
      <alignment horizontal="center" vertical="center"/>
    </xf>
    <xf numFmtId="9" fontId="39" fillId="51" borderId="81" xfId="0" applyNumberFormat="1" applyFont="1" applyFill="1" applyBorder="1" applyAlignment="1">
      <alignment horizontal="center" vertical="center"/>
    </xf>
    <xf numFmtId="9" fontId="39" fillId="49" borderId="81" xfId="0" applyNumberFormat="1" applyFont="1" applyFill="1" applyBorder="1" applyAlignment="1">
      <alignment horizontal="center" vertical="center"/>
    </xf>
    <xf numFmtId="0" fontId="39" fillId="49" borderId="81" xfId="0" applyFont="1" applyFill="1" applyBorder="1" applyAlignment="1">
      <alignment horizontal="center" vertical="center"/>
    </xf>
    <xf numFmtId="0" fontId="39" fillId="52" borderId="81" xfId="0" applyFont="1" applyFill="1" applyBorder="1" applyAlignment="1">
      <alignment horizontal="center" vertical="center"/>
    </xf>
    <xf numFmtId="9" fontId="39" fillId="52" borderId="81" xfId="0" applyNumberFormat="1" applyFont="1" applyFill="1" applyBorder="1" applyAlignment="1">
      <alignment horizontal="center" vertical="center"/>
    </xf>
    <xf numFmtId="0" fontId="39" fillId="53" borderId="81" xfId="0" applyFont="1" applyFill="1" applyBorder="1" applyAlignment="1">
      <alignment horizontal="center" vertical="center"/>
    </xf>
    <xf numFmtId="9" fontId="39" fillId="53" borderId="81" xfId="0" applyNumberFormat="1" applyFont="1" applyFill="1" applyBorder="1" applyAlignment="1">
      <alignment horizontal="center" vertical="center"/>
    </xf>
    <xf numFmtId="9" fontId="39" fillId="54" borderId="81" xfId="0" applyNumberFormat="1" applyFont="1" applyFill="1" applyBorder="1" applyAlignment="1">
      <alignment horizontal="center" vertical="center"/>
    </xf>
    <xf numFmtId="0" fontId="39" fillId="54" borderId="13" xfId="0" applyFont="1" applyFill="1" applyBorder="1" applyAlignment="1">
      <alignment horizontal="center" vertical="center"/>
    </xf>
    <xf numFmtId="3" fontId="4" fillId="24" borderId="18" xfId="4" applyNumberFormat="1" applyFont="1" applyFill="1" applyBorder="1" applyAlignment="1">
      <alignment vertical="center" wrapText="1"/>
    </xf>
    <xf numFmtId="0" fontId="23" fillId="0" borderId="71" xfId="0" applyFont="1" applyBorder="1" applyAlignment="1">
      <alignment horizontal="center" vertical="center" wrapText="1"/>
    </xf>
    <xf numFmtId="0" fontId="39" fillId="36" borderId="74" xfId="0" applyFont="1" applyFill="1" applyBorder="1" applyAlignment="1">
      <alignment horizontal="center" vertical="center" wrapText="1"/>
    </xf>
    <xf numFmtId="0" fontId="39" fillId="37" borderId="74" xfId="0" applyFont="1" applyFill="1" applyBorder="1" applyAlignment="1">
      <alignment horizontal="center" vertical="center" wrapText="1"/>
    </xf>
    <xf numFmtId="0" fontId="23" fillId="4" borderId="71" xfId="0" applyFont="1" applyFill="1" applyBorder="1" applyAlignment="1">
      <alignment horizontal="center" vertical="center" wrapText="1"/>
    </xf>
    <xf numFmtId="0" fontId="6" fillId="38" borderId="74" xfId="0" applyFont="1" applyFill="1" applyBorder="1" applyAlignment="1">
      <alignment horizontal="center" vertical="center" wrapText="1"/>
    </xf>
    <xf numFmtId="0" fontId="32" fillId="39" borderId="71" xfId="0" applyFont="1" applyFill="1" applyBorder="1" applyAlignment="1">
      <alignment horizontal="center" vertical="center" wrapText="1"/>
    </xf>
    <xf numFmtId="0" fontId="39" fillId="39" borderId="71" xfId="0" applyFont="1" applyFill="1" applyBorder="1" applyAlignment="1">
      <alignment horizontal="center" vertical="center" wrapText="1"/>
    </xf>
    <xf numFmtId="0" fontId="32" fillId="38" borderId="71" xfId="0" applyFont="1" applyFill="1" applyBorder="1" applyAlignment="1">
      <alignment horizontal="center" vertical="center" wrapText="1"/>
    </xf>
    <xf numFmtId="0" fontId="23" fillId="0" borderId="0" xfId="0" applyFont="1" applyAlignment="1">
      <alignment horizontal="center" vertical="center" wrapText="1"/>
    </xf>
    <xf numFmtId="3" fontId="4" fillId="23" borderId="24" xfId="4" applyNumberFormat="1" applyFont="1" applyFill="1" applyBorder="1" applyAlignment="1">
      <alignment vertical="center" wrapText="1"/>
    </xf>
    <xf numFmtId="0" fontId="6" fillId="40" borderId="71" xfId="0" applyFont="1" applyFill="1" applyBorder="1" applyAlignment="1">
      <alignment horizontal="center" vertical="center" wrapText="1"/>
    </xf>
    <xf numFmtId="0" fontId="39" fillId="40" borderId="74" xfId="0" applyFont="1" applyFill="1" applyBorder="1" applyAlignment="1">
      <alignment horizontal="center" vertical="center" wrapText="1"/>
    </xf>
    <xf numFmtId="0" fontId="39" fillId="39" borderId="0" xfId="0" applyFont="1" applyFill="1" applyAlignment="1">
      <alignment horizontal="center" vertical="center" wrapText="1"/>
    </xf>
    <xf numFmtId="0" fontId="32" fillId="40" borderId="74" xfId="0" applyFont="1" applyFill="1" applyBorder="1" applyAlignment="1">
      <alignment horizontal="center" vertical="center" wrapText="1"/>
    </xf>
    <xf numFmtId="0" fontId="39" fillId="41" borderId="74" xfId="0" applyFont="1" applyFill="1" applyBorder="1" applyAlignment="1">
      <alignment horizontal="center" vertical="center" wrapText="1"/>
    </xf>
    <xf numFmtId="0" fontId="32" fillId="41" borderId="74" xfId="0" applyFont="1" applyFill="1" applyBorder="1" applyAlignment="1">
      <alignment horizontal="center" vertical="center" wrapText="1"/>
    </xf>
    <xf numFmtId="0" fontId="23" fillId="27" borderId="0" xfId="0" applyFont="1" applyFill="1" applyAlignment="1">
      <alignment horizontal="center" vertical="center" wrapText="1"/>
    </xf>
    <xf numFmtId="0" fontId="23" fillId="27" borderId="71" xfId="0" applyFont="1" applyFill="1" applyBorder="1" applyAlignment="1">
      <alignment horizontal="center" vertical="center" wrapText="1"/>
    </xf>
    <xf numFmtId="0" fontId="23" fillId="28" borderId="0" xfId="0" applyFont="1" applyFill="1" applyAlignment="1">
      <alignment horizontal="center" vertical="center" wrapText="1"/>
    </xf>
    <xf numFmtId="0" fontId="23" fillId="29" borderId="0" xfId="0" applyFont="1" applyFill="1" applyAlignment="1">
      <alignment horizontal="center" vertical="center" wrapText="1"/>
    </xf>
    <xf numFmtId="0" fontId="23" fillId="29" borderId="71" xfId="0" applyFont="1" applyFill="1" applyBorder="1" applyAlignment="1">
      <alignment horizontal="center" vertical="center" wrapText="1"/>
    </xf>
    <xf numFmtId="0" fontId="6" fillId="4" borderId="18" xfId="0" applyFont="1" applyFill="1" applyBorder="1" applyAlignment="1">
      <alignment horizontal="center" vertical="center" wrapText="1"/>
    </xf>
    <xf numFmtId="0" fontId="6" fillId="4" borderId="85" xfId="0" applyFont="1" applyFill="1" applyBorder="1" applyAlignment="1">
      <alignment horizontal="center" vertical="center" wrapText="1"/>
    </xf>
    <xf numFmtId="3" fontId="4" fillId="25" borderId="24" xfId="4" applyNumberFormat="1" applyFont="1" applyFill="1" applyBorder="1" applyAlignment="1">
      <alignment vertical="center" wrapText="1"/>
    </xf>
    <xf numFmtId="0" fontId="23" fillId="30" borderId="0" xfId="0" applyFont="1" applyFill="1" applyAlignment="1">
      <alignment horizontal="center" vertical="center" wrapText="1"/>
    </xf>
    <xf numFmtId="0" fontId="23" fillId="30" borderId="71" xfId="0" applyFont="1" applyFill="1" applyBorder="1" applyAlignment="1">
      <alignment horizontal="center" vertical="center" wrapText="1"/>
    </xf>
    <xf numFmtId="0" fontId="23" fillId="31" borderId="18" xfId="0" applyFont="1" applyFill="1" applyBorder="1" applyAlignment="1">
      <alignment horizontal="center" vertical="center" wrapText="1"/>
    </xf>
    <xf numFmtId="0" fontId="23" fillId="31" borderId="0" xfId="0" applyFont="1" applyFill="1" applyAlignment="1">
      <alignment horizontal="center" vertical="center" wrapText="1"/>
    </xf>
    <xf numFmtId="0" fontId="23" fillId="32" borderId="18" xfId="0" applyFont="1" applyFill="1" applyBorder="1" applyAlignment="1">
      <alignment horizontal="center" vertical="center" wrapText="1"/>
    </xf>
    <xf numFmtId="0" fontId="6" fillId="44" borderId="74" xfId="0" applyFont="1" applyFill="1" applyBorder="1" applyAlignment="1">
      <alignment horizontal="center" vertical="center" wrapText="1"/>
    </xf>
    <xf numFmtId="0" fontId="23" fillId="32" borderId="0" xfId="0" applyFont="1" applyFill="1" applyAlignment="1">
      <alignment horizontal="center" vertical="center" wrapText="1"/>
    </xf>
    <xf numFmtId="0" fontId="39" fillId="45" borderId="71" xfId="0" applyFont="1" applyFill="1" applyBorder="1" applyAlignment="1">
      <alignment horizontal="center" vertical="center" wrapText="1"/>
    </xf>
    <xf numFmtId="0" fontId="23" fillId="33" borderId="0" xfId="0" applyFont="1" applyFill="1" applyAlignment="1">
      <alignment horizontal="center" vertical="center" wrapText="1"/>
    </xf>
    <xf numFmtId="0" fontId="23" fillId="34" borderId="71" xfId="0" applyFont="1" applyFill="1" applyBorder="1" applyAlignment="1">
      <alignment horizontal="center" vertical="center" wrapText="1"/>
    </xf>
    <xf numFmtId="0" fontId="39" fillId="50" borderId="71" xfId="0" applyFont="1" applyFill="1" applyBorder="1" applyAlignment="1">
      <alignment horizontal="center" vertical="center" wrapText="1"/>
    </xf>
    <xf numFmtId="0" fontId="23" fillId="33" borderId="18" xfId="0" applyFont="1" applyFill="1" applyBorder="1" applyAlignment="1">
      <alignment horizontal="center" vertical="center" wrapText="1"/>
    </xf>
    <xf numFmtId="0" fontId="39" fillId="49" borderId="74" xfId="0" applyFont="1" applyFill="1" applyBorder="1" applyAlignment="1">
      <alignment horizontal="center" vertical="center" wrapText="1"/>
    </xf>
    <xf numFmtId="0" fontId="39" fillId="51" borderId="74" xfId="0" applyFont="1" applyFill="1" applyBorder="1" applyAlignment="1">
      <alignment horizontal="center" vertical="center" wrapText="1"/>
    </xf>
    <xf numFmtId="0" fontId="6" fillId="50" borderId="0" xfId="0" applyFont="1" applyFill="1" applyAlignment="1">
      <alignment horizontal="center" vertical="center" wrapText="1"/>
    </xf>
    <xf numFmtId="0" fontId="39" fillId="50" borderId="74" xfId="0" applyFont="1" applyFill="1" applyBorder="1" applyAlignment="1">
      <alignment horizontal="center" vertical="center" wrapText="1"/>
    </xf>
    <xf numFmtId="0" fontId="6" fillId="51" borderId="74" xfId="0" applyFont="1" applyFill="1" applyBorder="1" applyAlignment="1">
      <alignment horizontal="center" vertical="center" wrapText="1"/>
    </xf>
    <xf numFmtId="0" fontId="6" fillId="51" borderId="71" xfId="0" applyFont="1" applyFill="1" applyBorder="1" applyAlignment="1">
      <alignment horizontal="center" vertical="center" wrapText="1"/>
    </xf>
    <xf numFmtId="0" fontId="6" fillId="49" borderId="74" xfId="0" applyFont="1" applyFill="1" applyBorder="1" applyAlignment="1">
      <alignment horizontal="center" vertical="center" wrapText="1"/>
    </xf>
    <xf numFmtId="0" fontId="39" fillId="52" borderId="74" xfId="0" applyFont="1" applyFill="1" applyBorder="1" applyAlignment="1">
      <alignment horizontal="center" vertical="center" wrapText="1"/>
    </xf>
    <xf numFmtId="0" fontId="39" fillId="53" borderId="74" xfId="0" applyFont="1" applyFill="1" applyBorder="1" applyAlignment="1">
      <alignment horizontal="center" vertical="center" wrapText="1"/>
    </xf>
    <xf numFmtId="0" fontId="39" fillId="54" borderId="74" xfId="0" applyFont="1" applyFill="1" applyBorder="1" applyAlignment="1">
      <alignment horizontal="center" vertical="center" wrapText="1"/>
    </xf>
    <xf numFmtId="0" fontId="39" fillId="53" borderId="71" xfId="0" applyFont="1" applyFill="1" applyBorder="1" applyAlignment="1">
      <alignment horizontal="center" vertical="center" wrapText="1"/>
    </xf>
    <xf numFmtId="0" fontId="6" fillId="54" borderId="74" xfId="0" applyFont="1" applyFill="1" applyBorder="1" applyAlignment="1">
      <alignment horizontal="center" vertical="center" wrapText="1"/>
    </xf>
    <xf numFmtId="0" fontId="6" fillId="54" borderId="71" xfId="0" applyFont="1" applyFill="1" applyBorder="1" applyAlignment="1">
      <alignment horizontal="center" vertical="center" wrapText="1"/>
    </xf>
    <xf numFmtId="1" fontId="7" fillId="23" borderId="34" xfId="4" applyNumberFormat="1" applyFont="1" applyFill="1" applyBorder="1" applyAlignment="1">
      <alignment horizontal="center" vertical="center" wrapText="1"/>
    </xf>
    <xf numFmtId="170" fontId="7" fillId="23" borderId="35" xfId="2" applyNumberFormat="1" applyFont="1" applyFill="1" applyBorder="1" applyAlignment="1">
      <alignment horizontal="center" vertical="center" wrapText="1"/>
    </xf>
    <xf numFmtId="9" fontId="4" fillId="24" borderId="37" xfId="2" applyFont="1" applyFill="1" applyBorder="1" applyAlignment="1">
      <alignment horizontal="center" vertical="center" wrapText="1"/>
    </xf>
    <xf numFmtId="10" fontId="4" fillId="24" borderId="37" xfId="2" applyNumberFormat="1" applyFont="1" applyFill="1" applyBorder="1" applyAlignment="1">
      <alignment horizontal="center" vertical="center" wrapText="1"/>
    </xf>
    <xf numFmtId="170" fontId="4" fillId="24" borderId="37" xfId="2" applyNumberFormat="1" applyFont="1" applyFill="1" applyBorder="1" applyAlignment="1">
      <alignment horizontal="center" vertical="center" wrapText="1"/>
    </xf>
    <xf numFmtId="0" fontId="4" fillId="24" borderId="37" xfId="2" applyNumberFormat="1" applyFont="1" applyFill="1" applyBorder="1" applyAlignment="1">
      <alignment horizontal="center" vertical="center" wrapText="1"/>
    </xf>
    <xf numFmtId="9" fontId="7" fillId="23" borderId="86" xfId="2" applyFont="1" applyFill="1" applyBorder="1" applyAlignment="1">
      <alignment horizontal="center" vertical="center" wrapText="1"/>
    </xf>
    <xf numFmtId="9" fontId="7" fillId="24" borderId="67" xfId="2" applyFont="1" applyFill="1" applyBorder="1" applyAlignment="1">
      <alignment horizontal="center" vertical="center" wrapText="1"/>
    </xf>
    <xf numFmtId="9" fontId="4" fillId="25" borderId="67" xfId="2" applyFont="1" applyFill="1" applyBorder="1" applyAlignment="1">
      <alignment horizontal="center" vertical="center" wrapText="1"/>
    </xf>
    <xf numFmtId="9" fontId="4" fillId="0" borderId="67" xfId="2" applyFont="1" applyFill="1" applyBorder="1" applyAlignment="1">
      <alignment horizontal="center" vertical="center" wrapText="1"/>
    </xf>
    <xf numFmtId="9" fontId="32" fillId="4" borderId="66" xfId="0" applyNumberFormat="1" applyFont="1" applyFill="1" applyBorder="1" applyAlignment="1">
      <alignment horizontal="center" vertical="center" wrapText="1"/>
    </xf>
    <xf numFmtId="9" fontId="7" fillId="23" borderId="67" xfId="2" applyFont="1" applyFill="1" applyBorder="1" applyAlignment="1">
      <alignment horizontal="center" vertical="center" wrapText="1"/>
    </xf>
    <xf numFmtId="9" fontId="32" fillId="4" borderId="67" xfId="0" applyNumberFormat="1" applyFont="1" applyFill="1" applyBorder="1" applyAlignment="1">
      <alignment horizontal="center" vertical="center" wrapText="1"/>
    </xf>
    <xf numFmtId="9" fontId="23" fillId="0" borderId="80" xfId="0" applyNumberFormat="1" applyFont="1" applyBorder="1" applyAlignment="1">
      <alignment horizontal="center" vertical="center"/>
    </xf>
    <xf numFmtId="9" fontId="4" fillId="0" borderId="68" xfId="2" applyFont="1" applyFill="1" applyBorder="1" applyAlignment="1">
      <alignment horizontal="center" vertical="center" wrapText="1"/>
    </xf>
    <xf numFmtId="9" fontId="32" fillId="4" borderId="43" xfId="0" applyNumberFormat="1" applyFont="1" applyFill="1" applyBorder="1" applyAlignment="1">
      <alignment horizontal="center" vertical="center" wrapText="1"/>
    </xf>
    <xf numFmtId="9" fontId="39" fillId="53" borderId="81" xfId="0" applyNumberFormat="1" applyFont="1" applyFill="1" applyBorder="1" applyAlignment="1">
      <alignment horizontal="center" vertical="center" wrapText="1"/>
    </xf>
    <xf numFmtId="9" fontId="39" fillId="53" borderId="70" xfId="0" applyNumberFormat="1" applyFont="1" applyFill="1" applyBorder="1" applyAlignment="1">
      <alignment horizontal="center" vertical="center" wrapText="1"/>
    </xf>
    <xf numFmtId="0" fontId="25" fillId="42" borderId="77" xfId="0" applyFont="1" applyFill="1" applyBorder="1" applyAlignment="1">
      <alignment horizontal="right" vertical="center"/>
    </xf>
    <xf numFmtId="171" fontId="6" fillId="0" borderId="77" xfId="0" applyNumberFormat="1" applyFont="1" applyBorder="1" applyAlignment="1">
      <alignment horizontal="right" vertical="center"/>
    </xf>
    <xf numFmtId="0" fontId="45" fillId="45" borderId="77" xfId="0" applyFont="1" applyFill="1" applyBorder="1" applyAlignment="1">
      <alignment horizontal="right" vertical="center"/>
    </xf>
    <xf numFmtId="171" fontId="45" fillId="45" borderId="77" xfId="0" applyNumberFormat="1" applyFont="1" applyFill="1" applyBorder="1" applyAlignment="1">
      <alignment horizontal="right" vertical="center"/>
    </xf>
    <xf numFmtId="171" fontId="43" fillId="53" borderId="67" xfId="0" applyNumberFormat="1" applyFont="1" applyFill="1" applyBorder="1" applyAlignment="1">
      <alignment vertical="center"/>
    </xf>
    <xf numFmtId="171" fontId="43" fillId="52" borderId="67" xfId="0" applyNumberFormat="1" applyFont="1" applyFill="1" applyBorder="1" applyAlignment="1">
      <alignment vertical="center"/>
    </xf>
    <xf numFmtId="171" fontId="23" fillId="53" borderId="77" xfId="0" applyNumberFormat="1" applyFont="1" applyFill="1" applyBorder="1" applyAlignment="1">
      <alignment horizontal="right" vertical="center"/>
    </xf>
    <xf numFmtId="171" fontId="43" fillId="53" borderId="67" xfId="0" applyNumberFormat="1" applyFont="1" applyFill="1" applyBorder="1" applyAlignment="1">
      <alignment horizontal="right" vertical="center"/>
    </xf>
    <xf numFmtId="171" fontId="43" fillId="53" borderId="66" xfId="0" applyNumberFormat="1" applyFont="1" applyFill="1" applyBorder="1" applyAlignment="1">
      <alignment horizontal="right" vertical="center"/>
    </xf>
    <xf numFmtId="171" fontId="43" fillId="52" borderId="67" xfId="0" applyNumberFormat="1" applyFont="1" applyFill="1" applyBorder="1" applyAlignment="1">
      <alignment horizontal="right" vertical="center"/>
    </xf>
    <xf numFmtId="9" fontId="39" fillId="44" borderId="89" xfId="0" applyNumberFormat="1" applyFont="1" applyFill="1" applyBorder="1" applyAlignment="1">
      <alignment horizontal="center" vertical="center" wrapText="1"/>
    </xf>
    <xf numFmtId="9" fontId="39" fillId="47" borderId="80" xfId="0" applyNumberFormat="1" applyFont="1" applyFill="1" applyBorder="1" applyAlignment="1">
      <alignment horizontal="center" vertical="center" wrapText="1"/>
    </xf>
    <xf numFmtId="9" fontId="39" fillId="47" borderId="89" xfId="0" applyNumberFormat="1" applyFont="1" applyFill="1" applyBorder="1" applyAlignment="1">
      <alignment horizontal="center" vertical="center" wrapText="1"/>
    </xf>
    <xf numFmtId="9" fontId="39" fillId="50" borderId="6" xfId="0" applyNumberFormat="1" applyFont="1" applyFill="1" applyBorder="1" applyAlignment="1">
      <alignment horizontal="center" vertical="center" wrapText="1"/>
    </xf>
    <xf numFmtId="9" fontId="39" fillId="50" borderId="90" xfId="0" applyNumberFormat="1" applyFont="1" applyFill="1" applyBorder="1" applyAlignment="1">
      <alignment horizontal="center" vertical="center" wrapText="1"/>
    </xf>
    <xf numFmtId="9" fontId="39" fillId="50" borderId="80" xfId="0" applyNumberFormat="1" applyFont="1" applyFill="1" applyBorder="1" applyAlignment="1">
      <alignment horizontal="center" vertical="center" wrapText="1"/>
    </xf>
    <xf numFmtId="9" fontId="39" fillId="51" borderId="6" xfId="0" applyNumberFormat="1" applyFont="1" applyFill="1" applyBorder="1" applyAlignment="1">
      <alignment horizontal="center" vertical="center" wrapText="1"/>
    </xf>
    <xf numFmtId="9" fontId="39" fillId="51" borderId="90" xfId="0" applyNumberFormat="1" applyFont="1" applyFill="1" applyBorder="1" applyAlignment="1">
      <alignment horizontal="center" vertical="center" wrapText="1"/>
    </xf>
    <xf numFmtId="9" fontId="39" fillId="51" borderId="80" xfId="0" applyNumberFormat="1" applyFont="1" applyFill="1" applyBorder="1" applyAlignment="1">
      <alignment horizontal="center" vertical="center" wrapText="1"/>
    </xf>
    <xf numFmtId="9" fontId="39" fillId="51" borderId="89" xfId="0" applyNumberFormat="1" applyFont="1" applyFill="1" applyBorder="1" applyAlignment="1">
      <alignment horizontal="center" vertical="center" wrapText="1"/>
    </xf>
    <xf numFmtId="9" fontId="39" fillId="49" borderId="89" xfId="0" applyNumberFormat="1" applyFont="1" applyFill="1" applyBorder="1" applyAlignment="1">
      <alignment horizontal="center" vertical="center"/>
    </xf>
    <xf numFmtId="9" fontId="39" fillId="52" borderId="89" xfId="0" applyNumberFormat="1" applyFont="1" applyFill="1" applyBorder="1" applyAlignment="1">
      <alignment horizontal="center" vertical="center" wrapText="1"/>
    </xf>
    <xf numFmtId="9" fontId="39" fillId="52" borderId="6" xfId="0" applyNumberFormat="1" applyFont="1" applyFill="1" applyBorder="1" applyAlignment="1">
      <alignment horizontal="center" vertical="center" wrapText="1"/>
    </xf>
    <xf numFmtId="9" fontId="39" fillId="53" borderId="89" xfId="0" applyNumberFormat="1" applyFont="1" applyFill="1" applyBorder="1" applyAlignment="1">
      <alignment horizontal="center" vertical="center" wrapText="1"/>
    </xf>
    <xf numFmtId="9" fontId="39" fillId="53" borderId="89" xfId="0" applyNumberFormat="1" applyFont="1" applyFill="1" applyBorder="1" applyAlignment="1">
      <alignment horizontal="center" vertical="center"/>
    </xf>
    <xf numFmtId="9" fontId="39" fillId="54" borderId="89" xfId="0" applyNumberFormat="1" applyFont="1" applyFill="1" applyBorder="1" applyAlignment="1">
      <alignment horizontal="center" vertical="center" wrapText="1"/>
    </xf>
    <xf numFmtId="9" fontId="39" fillId="54" borderId="8" xfId="0" applyNumberFormat="1" applyFont="1" applyFill="1" applyBorder="1" applyAlignment="1">
      <alignment horizontal="center" vertical="center" wrapText="1"/>
    </xf>
    <xf numFmtId="171" fontId="25" fillId="38" borderId="88" xfId="0" applyNumberFormat="1" applyFont="1" applyFill="1" applyBorder="1" applyAlignment="1">
      <alignment horizontal="right" vertical="center"/>
    </xf>
    <xf numFmtId="171" fontId="25" fillId="38" borderId="67" xfId="0" applyNumberFormat="1" applyFont="1" applyFill="1" applyBorder="1" applyAlignment="1">
      <alignment horizontal="right" vertical="center"/>
    </xf>
    <xf numFmtId="171" fontId="25" fillId="36" borderId="88" xfId="0" applyNumberFormat="1" applyFont="1" applyFill="1" applyBorder="1" applyAlignment="1">
      <alignment horizontal="right" vertical="center"/>
    </xf>
    <xf numFmtId="171" fontId="25" fillId="36" borderId="67" xfId="0" applyNumberFormat="1" applyFont="1" applyFill="1" applyBorder="1" applyAlignment="1">
      <alignment horizontal="right" vertical="center"/>
    </xf>
    <xf numFmtId="3" fontId="7" fillId="0" borderId="67" xfId="4" applyNumberFormat="1" applyFont="1" applyBorder="1" applyAlignment="1">
      <alignment vertical="center" wrapText="1"/>
    </xf>
    <xf numFmtId="171" fontId="25" fillId="36" borderId="80" xfId="0" applyNumberFormat="1" applyFont="1" applyFill="1" applyBorder="1" applyAlignment="1">
      <alignment horizontal="right" vertical="center"/>
    </xf>
    <xf numFmtId="171" fontId="23" fillId="36" borderId="80" xfId="0" applyNumberFormat="1" applyFont="1" applyFill="1" applyBorder="1" applyAlignment="1">
      <alignment horizontal="right" vertical="center"/>
    </xf>
    <xf numFmtId="171" fontId="25" fillId="36" borderId="89" xfId="0" applyNumberFormat="1" applyFont="1" applyFill="1" applyBorder="1" applyAlignment="1">
      <alignment horizontal="right" vertical="center"/>
    </xf>
    <xf numFmtId="171" fontId="25" fillId="37" borderId="89" xfId="0" applyNumberFormat="1" applyFont="1" applyFill="1" applyBorder="1" applyAlignment="1">
      <alignment horizontal="right" vertical="center"/>
    </xf>
    <xf numFmtId="171" fontId="25" fillId="38" borderId="89" xfId="0" applyNumberFormat="1" applyFont="1" applyFill="1" applyBorder="1" applyAlignment="1">
      <alignment horizontal="right" vertical="center"/>
    </xf>
    <xf numFmtId="171" fontId="25" fillId="38" borderId="6" xfId="0" applyNumberFormat="1" applyFont="1" applyFill="1" applyBorder="1" applyAlignment="1">
      <alignment horizontal="right" vertical="center"/>
    </xf>
    <xf numFmtId="171" fontId="25" fillId="55" borderId="89" xfId="0" applyNumberFormat="1" applyFont="1" applyFill="1" applyBorder="1" applyAlignment="1">
      <alignment horizontal="right" vertical="center"/>
    </xf>
    <xf numFmtId="171" fontId="25" fillId="36" borderId="6" xfId="0" applyNumberFormat="1" applyFont="1" applyFill="1" applyBorder="1" applyAlignment="1">
      <alignment horizontal="right" vertical="center"/>
    </xf>
    <xf numFmtId="171" fontId="25" fillId="40" borderId="89" xfId="0" applyNumberFormat="1" applyFont="1" applyFill="1" applyBorder="1" applyAlignment="1">
      <alignment horizontal="right" vertical="center"/>
    </xf>
    <xf numFmtId="171" fontId="23" fillId="41" borderId="80" xfId="0" applyNumberFormat="1" applyFont="1" applyFill="1" applyBorder="1" applyAlignment="1">
      <alignment horizontal="right" vertical="center"/>
    </xf>
    <xf numFmtId="171" fontId="25" fillId="41" borderId="89" xfId="0" applyNumberFormat="1" applyFont="1" applyFill="1" applyBorder="1" applyAlignment="1">
      <alignment horizontal="right" vertical="center"/>
    </xf>
    <xf numFmtId="171" fontId="23" fillId="42" borderId="80" xfId="0" applyNumberFormat="1" applyFont="1" applyFill="1" applyBorder="1" applyAlignment="1">
      <alignment horizontal="right" vertical="center"/>
    </xf>
    <xf numFmtId="171" fontId="6" fillId="0" borderId="80" xfId="0" applyNumberFormat="1" applyFont="1" applyBorder="1" applyAlignment="1">
      <alignment horizontal="right" vertical="center"/>
    </xf>
    <xf numFmtId="171" fontId="45" fillId="42" borderId="89" xfId="0" applyNumberFormat="1" applyFont="1" applyFill="1" applyBorder="1" applyAlignment="1">
      <alignment horizontal="right" vertical="center"/>
    </xf>
    <xf numFmtId="171" fontId="45" fillId="40" borderId="89" xfId="0" applyNumberFormat="1" applyFont="1" applyFill="1" applyBorder="1" applyAlignment="1">
      <alignment horizontal="right" vertical="center"/>
    </xf>
    <xf numFmtId="171" fontId="44" fillId="40" borderId="80" xfId="0" applyNumberFormat="1" applyFont="1" applyFill="1" applyBorder="1" applyAlignment="1">
      <alignment horizontal="right" vertical="center"/>
    </xf>
    <xf numFmtId="171" fontId="45" fillId="40" borderId="80" xfId="0" applyNumberFormat="1" applyFont="1" applyFill="1" applyBorder="1" applyAlignment="1">
      <alignment horizontal="right" vertical="center"/>
    </xf>
    <xf numFmtId="171" fontId="45" fillId="42" borderId="80" xfId="0" applyNumberFormat="1" applyFont="1" applyFill="1" applyBorder="1" applyAlignment="1">
      <alignment horizontal="right" vertical="center"/>
    </xf>
    <xf numFmtId="171" fontId="45" fillId="44" borderId="89" xfId="0" applyNumberFormat="1" applyFont="1" applyFill="1" applyBorder="1" applyAlignment="1">
      <alignment horizontal="right" vertical="center"/>
    </xf>
    <xf numFmtId="171" fontId="45" fillId="44" borderId="80" xfId="0" applyNumberFormat="1" applyFont="1" applyFill="1" applyBorder="1" applyAlignment="1">
      <alignment horizontal="right" vertical="center"/>
    </xf>
    <xf numFmtId="171" fontId="45" fillId="45" borderId="89" xfId="0" applyNumberFormat="1" applyFont="1" applyFill="1" applyBorder="1" applyAlignment="1">
      <alignment horizontal="right" vertical="center"/>
    </xf>
    <xf numFmtId="171" fontId="45" fillId="46" borderId="89" xfId="0" applyNumberFormat="1" applyFont="1" applyFill="1" applyBorder="1" applyAlignment="1">
      <alignment horizontal="right" vertical="center"/>
    </xf>
    <xf numFmtId="171" fontId="45" fillId="47" borderId="89" xfId="0" applyNumberFormat="1" applyFont="1" applyFill="1" applyBorder="1" applyAlignment="1">
      <alignment horizontal="right" vertical="center"/>
    </xf>
    <xf numFmtId="171" fontId="45" fillId="45" borderId="80" xfId="0" applyNumberFormat="1" applyFont="1" applyFill="1" applyBorder="1" applyAlignment="1">
      <alignment horizontal="right" vertical="center"/>
    </xf>
    <xf numFmtId="171" fontId="45" fillId="49" borderId="89" xfId="0" applyNumberFormat="1" applyFont="1" applyFill="1" applyBorder="1" applyAlignment="1">
      <alignment horizontal="right" vertical="center"/>
    </xf>
    <xf numFmtId="171" fontId="25" fillId="50" borderId="89" xfId="0" applyNumberFormat="1" applyFont="1" applyFill="1" applyBorder="1" applyAlignment="1">
      <alignment horizontal="right" vertical="center"/>
    </xf>
    <xf numFmtId="171" fontId="25" fillId="51" borderId="89" xfId="0" applyNumberFormat="1" applyFont="1" applyFill="1" applyBorder="1" applyAlignment="1">
      <alignment horizontal="right" vertical="center"/>
    </xf>
    <xf numFmtId="171" fontId="25" fillId="49" borderId="89" xfId="0" applyNumberFormat="1" applyFont="1" applyFill="1" applyBorder="1" applyAlignment="1">
      <alignment horizontal="right" vertical="center"/>
    </xf>
    <xf numFmtId="0" fontId="25" fillId="50" borderId="89" xfId="0" applyFont="1" applyFill="1" applyBorder="1" applyAlignment="1">
      <alignment horizontal="right" vertical="center"/>
    </xf>
    <xf numFmtId="171" fontId="23" fillId="50" borderId="80" xfId="0" applyNumberFormat="1" applyFont="1" applyFill="1" applyBorder="1" applyAlignment="1">
      <alignment horizontal="right" vertical="center"/>
    </xf>
    <xf numFmtId="171" fontId="23" fillId="49" borderId="80" xfId="0" applyNumberFormat="1" applyFont="1" applyFill="1" applyBorder="1" applyAlignment="1">
      <alignment horizontal="right" vertical="center"/>
    </xf>
    <xf numFmtId="171" fontId="25" fillId="52" borderId="89" xfId="0" applyNumberFormat="1" applyFont="1" applyFill="1" applyBorder="1" applyAlignment="1">
      <alignment horizontal="right" vertical="center"/>
    </xf>
    <xf numFmtId="171" fontId="25" fillId="53" borderId="89" xfId="0" applyNumberFormat="1" applyFont="1" applyFill="1" applyBorder="1" applyAlignment="1">
      <alignment horizontal="right" vertical="center"/>
    </xf>
    <xf numFmtId="171" fontId="25" fillId="54" borderId="89" xfId="0" applyNumberFormat="1" applyFont="1" applyFill="1" applyBorder="1" applyAlignment="1">
      <alignment horizontal="right" vertical="center"/>
    </xf>
    <xf numFmtId="171" fontId="23" fillId="53" borderId="80" xfId="0" applyNumberFormat="1" applyFont="1" applyFill="1" applyBorder="1" applyAlignment="1">
      <alignment horizontal="right" vertical="center"/>
    </xf>
    <xf numFmtId="171" fontId="43" fillId="52" borderId="89" xfId="0" applyNumberFormat="1" applyFont="1" applyFill="1" applyBorder="1" applyAlignment="1">
      <alignment horizontal="right" vertical="center"/>
    </xf>
    <xf numFmtId="171" fontId="25" fillId="54" borderId="8" xfId="0" applyNumberFormat="1" applyFont="1" applyFill="1" applyBorder="1" applyAlignment="1">
      <alignment horizontal="right" vertical="center"/>
    </xf>
    <xf numFmtId="3" fontId="7" fillId="0" borderId="68" xfId="4" applyNumberFormat="1" applyFont="1" applyBorder="1" applyAlignment="1">
      <alignment vertical="center" wrapText="1"/>
    </xf>
    <xf numFmtId="10" fontId="7" fillId="23" borderId="36" xfId="2" applyNumberFormat="1" applyFont="1" applyFill="1" applyBorder="1" applyAlignment="1">
      <alignment vertical="center" wrapText="1"/>
    </xf>
    <xf numFmtId="10" fontId="4" fillId="24" borderId="38" xfId="2" applyNumberFormat="1" applyFont="1" applyFill="1" applyBorder="1" applyAlignment="1">
      <alignment vertical="center" wrapText="1"/>
    </xf>
    <xf numFmtId="3" fontId="7" fillId="25" borderId="38" xfId="4" applyNumberFormat="1" applyFont="1" applyFill="1" applyBorder="1" applyAlignment="1">
      <alignment vertical="center" wrapText="1"/>
    </xf>
    <xf numFmtId="3" fontId="4" fillId="0" borderId="42" xfId="4" applyNumberFormat="1" applyFont="1" applyBorder="1" applyAlignment="1">
      <alignment vertical="center" wrapText="1"/>
    </xf>
    <xf numFmtId="0" fontId="7" fillId="23" borderId="86" xfId="4" applyFont="1" applyFill="1" applyBorder="1" applyAlignment="1">
      <alignment vertical="center" wrapText="1"/>
    </xf>
    <xf numFmtId="0" fontId="4" fillId="24" borderId="67" xfId="4" applyFont="1" applyFill="1" applyBorder="1" applyAlignment="1">
      <alignment vertical="center" wrapText="1"/>
    </xf>
    <xf numFmtId="0" fontId="4" fillId="25" borderId="67" xfId="4" applyFont="1" applyFill="1" applyBorder="1" applyAlignment="1">
      <alignment vertical="center" wrapText="1"/>
    </xf>
    <xf numFmtId="0" fontId="4" fillId="0" borderId="67" xfId="4" applyFont="1" applyBorder="1" applyAlignment="1">
      <alignment vertical="center" wrapText="1"/>
    </xf>
    <xf numFmtId="0" fontId="4" fillId="23" borderId="67" xfId="4" applyFont="1" applyFill="1" applyBorder="1" applyAlignment="1">
      <alignment vertical="center" wrapText="1"/>
    </xf>
    <xf numFmtId="3" fontId="7" fillId="23" borderId="86" xfId="4" applyNumberFormat="1" applyFont="1" applyFill="1" applyBorder="1" applyAlignment="1">
      <alignment vertical="center" wrapText="1"/>
    </xf>
    <xf numFmtId="3" fontId="7" fillId="23" borderId="91" xfId="4" applyNumberFormat="1" applyFont="1" applyFill="1" applyBorder="1" applyAlignment="1">
      <alignment vertical="center" wrapText="1"/>
    </xf>
    <xf numFmtId="3" fontId="7" fillId="0" borderId="92" xfId="4" applyNumberFormat="1" applyFont="1" applyBorder="1" applyAlignment="1">
      <alignment vertical="center" wrapText="1"/>
    </xf>
    <xf numFmtId="3" fontId="7" fillId="0" borderId="42" xfId="4" applyNumberFormat="1" applyFont="1" applyBorder="1" applyAlignment="1">
      <alignment vertical="center" wrapText="1"/>
    </xf>
    <xf numFmtId="171" fontId="6" fillId="0" borderId="93" xfId="0" applyNumberFormat="1" applyFont="1" applyBorder="1" applyAlignment="1">
      <alignment horizontal="right" vertical="center"/>
    </xf>
    <xf numFmtId="3" fontId="7" fillId="0" borderId="41" xfId="4" applyNumberFormat="1" applyFont="1" applyBorder="1" applyAlignment="1">
      <alignment vertical="center" wrapText="1"/>
    </xf>
    <xf numFmtId="3" fontId="7" fillId="0" borderId="32" xfId="4" applyNumberFormat="1" applyFont="1" applyBorder="1" applyAlignment="1">
      <alignment vertical="center" wrapText="1"/>
    </xf>
    <xf numFmtId="0" fontId="32" fillId="54" borderId="94" xfId="0" applyFont="1" applyFill="1" applyBorder="1" applyAlignment="1">
      <alignment horizontal="center" vertical="center" wrapText="1"/>
    </xf>
    <xf numFmtId="3" fontId="7" fillId="23" borderId="34" xfId="4" applyNumberFormat="1" applyFont="1" applyFill="1" applyBorder="1" applyAlignment="1">
      <alignment vertical="center" wrapText="1"/>
    </xf>
    <xf numFmtId="3" fontId="7" fillId="23" borderId="35" xfId="4" applyNumberFormat="1" applyFont="1" applyFill="1" applyBorder="1" applyAlignment="1">
      <alignment vertical="center" wrapText="1"/>
    </xf>
    <xf numFmtId="0" fontId="6" fillId="36" borderId="90" xfId="0" applyFont="1" applyFill="1" applyBorder="1" applyAlignment="1">
      <alignment horizontal="center" vertical="center" wrapText="1"/>
    </xf>
    <xf numFmtId="0" fontId="6" fillId="37" borderId="90" xfId="0" applyFont="1" applyFill="1" applyBorder="1" applyAlignment="1">
      <alignment horizontal="center" vertical="center" wrapText="1"/>
    </xf>
    <xf numFmtId="0" fontId="6" fillId="38" borderId="80" xfId="0" applyFont="1" applyFill="1" applyBorder="1" applyAlignment="1">
      <alignment horizontal="center" vertical="center" wrapText="1"/>
    </xf>
    <xf numFmtId="0" fontId="32" fillId="37" borderId="80" xfId="0" applyFont="1" applyFill="1" applyBorder="1" applyAlignment="1">
      <alignment horizontal="center" vertical="center" wrapText="1"/>
    </xf>
    <xf numFmtId="0" fontId="32" fillId="36" borderId="80" xfId="0" applyFont="1" applyFill="1" applyBorder="1" applyAlignment="1">
      <alignment horizontal="center" vertical="center" wrapText="1"/>
    </xf>
    <xf numFmtId="3" fontId="7" fillId="23" borderId="67" xfId="4" applyNumberFormat="1" applyFont="1" applyFill="1" applyBorder="1" applyAlignment="1">
      <alignment vertical="center" wrapText="1"/>
    </xf>
    <xf numFmtId="0" fontId="32" fillId="40" borderId="80" xfId="0" applyFont="1" applyFill="1" applyBorder="1" applyAlignment="1">
      <alignment horizontal="center" vertical="center" wrapText="1"/>
    </xf>
    <xf numFmtId="0" fontId="32" fillId="41" borderId="80" xfId="0" applyFont="1" applyFill="1" applyBorder="1" applyAlignment="1">
      <alignment horizontal="center" vertical="center" wrapText="1"/>
    </xf>
    <xf numFmtId="0" fontId="6" fillId="42" borderId="80" xfId="0" applyFont="1" applyFill="1" applyBorder="1" applyAlignment="1">
      <alignment horizontal="center" vertical="center" wrapText="1"/>
    </xf>
    <xf numFmtId="0" fontId="32" fillId="43" borderId="80" xfId="0" applyFont="1" applyFill="1" applyBorder="1" applyAlignment="1">
      <alignment horizontal="center" vertical="center" wrapText="1"/>
    </xf>
    <xf numFmtId="0" fontId="32" fillId="42" borderId="80" xfId="0" applyFont="1" applyFill="1" applyBorder="1" applyAlignment="1">
      <alignment horizontal="center" vertical="center" wrapText="1"/>
    </xf>
    <xf numFmtId="0" fontId="32" fillId="45" borderId="80" xfId="0" applyFont="1" applyFill="1" applyBorder="1" applyAlignment="1">
      <alignment horizontal="center" vertical="center" wrapText="1"/>
    </xf>
    <xf numFmtId="0" fontId="32" fillId="44" borderId="80" xfId="0" applyFont="1" applyFill="1" applyBorder="1" applyAlignment="1">
      <alignment horizontal="center" vertical="center" wrapText="1"/>
    </xf>
    <xf numFmtId="0" fontId="32" fillId="47" borderId="80" xfId="0" applyFont="1" applyFill="1" applyBorder="1" applyAlignment="1">
      <alignment horizontal="center" vertical="center" wrapText="1"/>
    </xf>
    <xf numFmtId="0" fontId="6" fillId="47" borderId="80" xfId="0" applyFont="1" applyFill="1" applyBorder="1" applyAlignment="1">
      <alignment horizontal="center" vertical="center" wrapText="1"/>
    </xf>
    <xf numFmtId="0" fontId="6" fillId="45" borderId="80" xfId="0" applyFont="1" applyFill="1" applyBorder="1" applyAlignment="1">
      <alignment horizontal="center" vertical="center" wrapText="1"/>
    </xf>
    <xf numFmtId="0" fontId="6" fillId="48" borderId="80" xfId="0" applyFont="1" applyFill="1" applyBorder="1" applyAlignment="1">
      <alignment horizontal="center" vertical="center" wrapText="1"/>
    </xf>
    <xf numFmtId="0" fontId="39" fillId="49" borderId="80" xfId="0" applyFont="1" applyFill="1" applyBorder="1" applyAlignment="1">
      <alignment horizontal="center" vertical="center" wrapText="1"/>
    </xf>
    <xf numFmtId="0" fontId="32" fillId="50" borderId="80" xfId="0" applyFont="1" applyFill="1" applyBorder="1" applyAlignment="1">
      <alignment horizontal="center" vertical="center" wrapText="1"/>
    </xf>
    <xf numFmtId="0" fontId="32" fillId="51" borderId="80" xfId="0" applyFont="1" applyFill="1" applyBorder="1" applyAlignment="1">
      <alignment horizontal="center" vertical="center" wrapText="1"/>
    </xf>
    <xf numFmtId="0" fontId="32" fillId="49" borderId="80" xfId="0" applyFont="1" applyFill="1" applyBorder="1" applyAlignment="1">
      <alignment horizontal="center" vertical="center" wrapText="1"/>
    </xf>
    <xf numFmtId="0" fontId="42" fillId="51" borderId="80" xfId="0" applyFont="1" applyFill="1" applyBorder="1" applyAlignment="1">
      <alignment horizontal="center" vertical="center" wrapText="1"/>
    </xf>
    <xf numFmtId="0" fontId="6" fillId="51" borderId="80" xfId="0" applyFont="1" applyFill="1" applyBorder="1" applyAlignment="1">
      <alignment horizontal="center" vertical="center" wrapText="1"/>
    </xf>
    <xf numFmtId="0" fontId="32" fillId="52" borderId="80" xfId="0" applyFont="1" applyFill="1" applyBorder="1" applyAlignment="1">
      <alignment horizontal="center" vertical="center" wrapText="1"/>
    </xf>
    <xf numFmtId="0" fontId="32" fillId="53" borderId="80" xfId="0" applyFont="1" applyFill="1" applyBorder="1" applyAlignment="1">
      <alignment horizontal="center" vertical="center" wrapText="1"/>
    </xf>
    <xf numFmtId="0" fontId="32" fillId="54" borderId="80" xfId="0" applyFont="1" applyFill="1" applyBorder="1" applyAlignment="1">
      <alignment horizontal="center" vertical="center" wrapText="1"/>
    </xf>
    <xf numFmtId="0" fontId="6" fillId="53" borderId="80" xfId="0" applyFont="1" applyFill="1" applyBorder="1" applyAlignment="1">
      <alignment horizontal="center" vertical="center" wrapText="1"/>
    </xf>
    <xf numFmtId="0" fontId="6" fillId="52" borderId="80" xfId="0" applyFont="1" applyFill="1" applyBorder="1" applyAlignment="1">
      <alignment horizontal="center" vertical="center" wrapText="1"/>
    </xf>
    <xf numFmtId="0" fontId="32" fillId="53" borderId="6" xfId="0" applyFont="1" applyFill="1" applyBorder="1" applyAlignment="1">
      <alignment horizontal="center" vertical="center" wrapText="1"/>
    </xf>
    <xf numFmtId="3" fontId="7" fillId="23" borderId="36" xfId="4" applyNumberFormat="1" applyFont="1" applyFill="1" applyBorder="1" applyAlignment="1">
      <alignment vertical="center" wrapText="1"/>
    </xf>
    <xf numFmtId="3" fontId="7" fillId="23" borderId="38" xfId="4" applyNumberFormat="1" applyFont="1" applyFill="1" applyBorder="1" applyAlignment="1">
      <alignment vertical="center" wrapText="1"/>
    </xf>
    <xf numFmtId="9" fontId="4" fillId="0" borderId="38" xfId="2" applyFont="1" applyFill="1" applyBorder="1" applyAlignment="1">
      <alignment vertical="center" wrapText="1"/>
    </xf>
    <xf numFmtId="4" fontId="7" fillId="25" borderId="67" xfId="4" applyNumberFormat="1" applyFont="1" applyFill="1" applyBorder="1" applyAlignment="1">
      <alignment vertical="center" wrapText="1"/>
    </xf>
    <xf numFmtId="4" fontId="7" fillId="24" borderId="67" xfId="4" applyNumberFormat="1" applyFont="1" applyFill="1" applyBorder="1" applyAlignment="1">
      <alignment vertical="center" wrapText="1"/>
    </xf>
    <xf numFmtId="4" fontId="7" fillId="0" borderId="68" xfId="3" applyNumberFormat="1" applyFont="1" applyFill="1" applyBorder="1" applyAlignment="1">
      <alignment vertical="center" wrapText="1"/>
    </xf>
    <xf numFmtId="171" fontId="4" fillId="51" borderId="88" xfId="0" applyNumberFormat="1" applyFont="1" applyFill="1" applyBorder="1" applyAlignment="1">
      <alignment vertical="center"/>
    </xf>
    <xf numFmtId="171" fontId="4" fillId="49" borderId="67" xfId="0" applyNumberFormat="1" applyFont="1" applyFill="1" applyBorder="1" applyAlignment="1">
      <alignment vertical="center"/>
    </xf>
    <xf numFmtId="4" fontId="7" fillId="23" borderId="66" xfId="4" applyNumberFormat="1" applyFont="1" applyFill="1" applyBorder="1" applyAlignment="1">
      <alignment vertical="center" wrapText="1"/>
    </xf>
    <xf numFmtId="172" fontId="4" fillId="0" borderId="0" xfId="4" applyNumberFormat="1" applyFont="1" applyAlignment="1">
      <alignment vertical="center" wrapText="1"/>
    </xf>
    <xf numFmtId="10" fontId="4" fillId="0" borderId="13" xfId="2" applyNumberFormat="1" applyFont="1" applyFill="1" applyBorder="1" applyAlignment="1">
      <alignment vertical="center" wrapText="1"/>
    </xf>
    <xf numFmtId="0" fontId="4" fillId="56" borderId="0" xfId="4" applyFont="1" applyFill="1" applyAlignment="1">
      <alignment vertical="center" wrapText="1"/>
    </xf>
    <xf numFmtId="0" fontId="4" fillId="56" borderId="6" xfId="4" applyFont="1" applyFill="1" applyBorder="1" applyAlignment="1">
      <alignment vertical="center" wrapText="1"/>
    </xf>
    <xf numFmtId="10" fontId="4" fillId="24" borderId="43" xfId="2" applyNumberFormat="1" applyFont="1" applyFill="1" applyBorder="1" applyAlignment="1">
      <alignment vertical="center" wrapText="1"/>
    </xf>
    <xf numFmtId="10" fontId="4" fillId="25" borderId="43" xfId="2" applyNumberFormat="1" applyFont="1" applyFill="1" applyBorder="1" applyAlignment="1">
      <alignment vertical="center" wrapText="1"/>
    </xf>
    <xf numFmtId="10" fontId="4" fillId="0" borderId="43" xfId="2" applyNumberFormat="1" applyFont="1" applyFill="1" applyBorder="1" applyAlignment="1">
      <alignment vertical="center" wrapText="1"/>
    </xf>
    <xf numFmtId="10" fontId="7" fillId="25" borderId="67" xfId="2" applyNumberFormat="1" applyFont="1" applyFill="1" applyBorder="1" applyAlignment="1">
      <alignment vertical="center" wrapText="1"/>
    </xf>
    <xf numFmtId="10" fontId="4" fillId="23" borderId="43" xfId="2" applyNumberFormat="1" applyFont="1" applyFill="1" applyBorder="1" applyAlignment="1">
      <alignment vertical="center" wrapText="1"/>
    </xf>
    <xf numFmtId="0" fontId="7" fillId="0" borderId="0" xfId="4" applyFont="1" applyAlignment="1">
      <alignment vertical="center" wrapText="1"/>
    </xf>
    <xf numFmtId="172" fontId="7" fillId="0" borderId="0" xfId="4" applyNumberFormat="1" applyFont="1" applyAlignment="1">
      <alignment vertical="center" wrapText="1"/>
    </xf>
    <xf numFmtId="171" fontId="4" fillId="52" borderId="88" xfId="0" applyNumberFormat="1" applyFont="1" applyFill="1" applyBorder="1" applyAlignment="1">
      <alignment vertical="center"/>
    </xf>
    <xf numFmtId="171" fontId="4" fillId="52" borderId="68" xfId="0" applyNumberFormat="1" applyFont="1" applyFill="1" applyBorder="1" applyAlignment="1">
      <alignment vertical="center"/>
    </xf>
    <xf numFmtId="171" fontId="4" fillId="52" borderId="66" xfId="0" applyNumberFormat="1" applyFont="1" applyFill="1" applyBorder="1" applyAlignment="1">
      <alignment vertical="center"/>
    </xf>
    <xf numFmtId="171" fontId="4" fillId="52" borderId="67" xfId="0" applyNumberFormat="1" applyFont="1" applyFill="1" applyBorder="1" applyAlignment="1">
      <alignment vertical="center"/>
    </xf>
    <xf numFmtId="171" fontId="4" fillId="0" borderId="67" xfId="0" applyNumberFormat="1" applyFont="1" applyBorder="1" applyAlignment="1">
      <alignment vertical="center"/>
    </xf>
    <xf numFmtId="171" fontId="4" fillId="53" borderId="67" xfId="0" applyNumberFormat="1" applyFont="1" applyFill="1" applyBorder="1" applyAlignment="1">
      <alignment vertical="center"/>
    </xf>
    <xf numFmtId="171" fontId="4" fillId="53" borderId="6" xfId="0" applyNumberFormat="1" applyFont="1" applyFill="1" applyBorder="1" applyAlignment="1">
      <alignment vertical="center"/>
    </xf>
    <xf numFmtId="171" fontId="4" fillId="53" borderId="89" xfId="0" applyNumberFormat="1" applyFont="1" applyFill="1" applyBorder="1" applyAlignment="1">
      <alignment horizontal="right" vertical="center"/>
    </xf>
    <xf numFmtId="171" fontId="47" fillId="45" borderId="77" xfId="0" applyNumberFormat="1" applyFont="1" applyFill="1" applyBorder="1" applyAlignment="1">
      <alignment horizontal="right" vertical="center"/>
    </xf>
    <xf numFmtId="171" fontId="47" fillId="47" borderId="75" xfId="0" applyNumberFormat="1" applyFont="1" applyFill="1" applyBorder="1" applyAlignment="1">
      <alignment horizontal="right" vertical="center"/>
    </xf>
    <xf numFmtId="171" fontId="44" fillId="0" borderId="80" xfId="0" applyNumberFormat="1" applyFont="1" applyBorder="1" applyAlignment="1">
      <alignment horizontal="right" vertical="center"/>
    </xf>
    <xf numFmtId="171" fontId="25" fillId="0" borderId="77" xfId="0" applyNumberFormat="1" applyFont="1" applyBorder="1" applyAlignment="1">
      <alignment horizontal="right" vertical="center"/>
    </xf>
    <xf numFmtId="171" fontId="25" fillId="0" borderId="89" xfId="0" applyNumberFormat="1" applyFont="1" applyBorder="1" applyAlignment="1">
      <alignment horizontal="right" vertical="center"/>
    </xf>
    <xf numFmtId="171" fontId="25" fillId="0" borderId="80" xfId="0" applyNumberFormat="1" applyFont="1" applyBorder="1" applyAlignment="1">
      <alignment horizontal="right" vertical="center"/>
    </xf>
    <xf numFmtId="10" fontId="4" fillId="23" borderId="38" xfId="2" applyNumberFormat="1" applyFont="1" applyFill="1" applyBorder="1" applyAlignment="1">
      <alignment vertical="center" wrapText="1"/>
    </xf>
    <xf numFmtId="10" fontId="4" fillId="24" borderId="40" xfId="2" applyNumberFormat="1" applyFont="1" applyFill="1" applyBorder="1" applyAlignment="1">
      <alignment vertical="center" wrapText="1"/>
    </xf>
    <xf numFmtId="10" fontId="7" fillId="25" borderId="38" xfId="2" applyNumberFormat="1" applyFont="1" applyFill="1" applyBorder="1" applyAlignment="1">
      <alignment vertical="center" wrapText="1"/>
    </xf>
    <xf numFmtId="10" fontId="4" fillId="25" borderId="40" xfId="2" applyNumberFormat="1" applyFont="1" applyFill="1" applyBorder="1" applyAlignment="1">
      <alignment vertical="center" wrapText="1"/>
    </xf>
    <xf numFmtId="10" fontId="4" fillId="0" borderId="40" xfId="2" applyNumberFormat="1" applyFont="1" applyFill="1" applyBorder="1" applyAlignment="1">
      <alignment vertical="center" wrapText="1"/>
    </xf>
    <xf numFmtId="10" fontId="4" fillId="23" borderId="5" xfId="2" applyNumberFormat="1" applyFont="1" applyFill="1" applyBorder="1" applyAlignment="1">
      <alignment vertical="center" wrapText="1"/>
    </xf>
    <xf numFmtId="10" fontId="7" fillId="25" borderId="38" xfId="2" applyNumberFormat="1" applyFont="1" applyFill="1" applyBorder="1" applyAlignment="1">
      <alignment horizontal="center" vertical="center" wrapText="1"/>
    </xf>
    <xf numFmtId="10" fontId="7" fillId="0" borderId="38" xfId="2" applyNumberFormat="1" applyFont="1" applyFill="1" applyBorder="1" applyAlignment="1">
      <alignment horizontal="center" vertical="center" wrapText="1"/>
    </xf>
    <xf numFmtId="49" fontId="17" fillId="15" borderId="55" xfId="0" applyNumberFormat="1" applyFont="1" applyFill="1" applyBorder="1" applyAlignment="1">
      <alignment horizontal="center" vertical="center" wrapText="1"/>
    </xf>
    <xf numFmtId="10" fontId="4" fillId="0" borderId="38" xfId="2" applyNumberFormat="1" applyFont="1" applyFill="1" applyBorder="1" applyAlignment="1">
      <alignment horizontal="center" vertical="center" wrapText="1"/>
    </xf>
    <xf numFmtId="10" fontId="7" fillId="24" borderId="38" xfId="2" applyNumberFormat="1" applyFont="1" applyFill="1" applyBorder="1" applyAlignment="1">
      <alignment horizontal="center" vertical="center" wrapText="1"/>
    </xf>
    <xf numFmtId="10" fontId="8" fillId="7" borderId="7" xfId="4" applyNumberFormat="1" applyFont="1" applyFill="1" applyBorder="1" applyAlignment="1">
      <alignment horizontal="center" vertical="center" wrapText="1"/>
    </xf>
    <xf numFmtId="164" fontId="0" fillId="0" borderId="0" xfId="0" applyNumberFormat="1"/>
    <xf numFmtId="167" fontId="4" fillId="0" borderId="56" xfId="3" applyNumberFormat="1" applyFont="1" applyBorder="1" applyAlignment="1">
      <alignment horizontal="center"/>
    </xf>
    <xf numFmtId="0" fontId="22" fillId="0" borderId="0" xfId="0" applyFont="1"/>
    <xf numFmtId="0" fontId="19" fillId="0" borderId="0" xfId="0" applyFont="1"/>
    <xf numFmtId="0" fontId="17" fillId="0" borderId="56" xfId="0" applyFont="1" applyBorder="1" applyAlignment="1">
      <alignment horizontal="center" vertical="center"/>
    </xf>
    <xf numFmtId="0" fontId="7" fillId="0" borderId="56" xfId="0" applyFont="1" applyBorder="1"/>
    <xf numFmtId="167" fontId="4" fillId="17" borderId="56" xfId="3" applyNumberFormat="1" applyFont="1" applyFill="1" applyBorder="1" applyAlignment="1">
      <alignment horizontal="center"/>
    </xf>
    <xf numFmtId="167" fontId="4" fillId="18" borderId="56" xfId="3" applyNumberFormat="1" applyFont="1" applyFill="1" applyBorder="1" applyAlignment="1">
      <alignment horizontal="center"/>
    </xf>
    <xf numFmtId="49" fontId="17" fillId="57" borderId="56" xfId="0" applyNumberFormat="1" applyFont="1" applyFill="1" applyBorder="1" applyAlignment="1">
      <alignment horizontal="center" vertical="center"/>
    </xf>
    <xf numFmtId="0" fontId="21" fillId="57" borderId="56" xfId="0" applyFont="1" applyFill="1" applyBorder="1" applyAlignment="1">
      <alignment horizontal="center" vertical="center"/>
    </xf>
    <xf numFmtId="0" fontId="46" fillId="57" borderId="56" xfId="0" applyFont="1" applyFill="1" applyBorder="1" applyAlignment="1">
      <alignment vertical="center" wrapText="1"/>
    </xf>
    <xf numFmtId="167" fontId="48" fillId="57" borderId="56" xfId="3" applyNumberFormat="1" applyFont="1" applyFill="1" applyBorder="1" applyAlignment="1">
      <alignment vertical="center" wrapText="1"/>
    </xf>
    <xf numFmtId="49" fontId="14" fillId="0" borderId="51" xfId="4" quotePrefix="1" applyNumberFormat="1" applyFont="1" applyBorder="1" applyAlignment="1">
      <alignment vertical="center" wrapText="1"/>
    </xf>
    <xf numFmtId="167" fontId="16" fillId="0" borderId="50" xfId="3" applyNumberFormat="1" applyFont="1" applyBorder="1" applyAlignment="1">
      <alignment horizontal="right" vertical="center"/>
    </xf>
    <xf numFmtId="0" fontId="16" fillId="4" borderId="50" xfId="4" applyFont="1" applyFill="1" applyBorder="1" applyAlignment="1">
      <alignment horizontal="left" vertical="center"/>
    </xf>
    <xf numFmtId="43" fontId="16" fillId="0" borderId="50" xfId="3" applyFont="1" applyFill="1" applyBorder="1" applyAlignment="1">
      <alignment horizontal="left" vertical="center"/>
    </xf>
    <xf numFmtId="10" fontId="16" fillId="0" borderId="50" xfId="2" applyNumberFormat="1" applyFont="1" applyFill="1" applyBorder="1" applyAlignment="1">
      <alignment horizontal="left" vertical="center"/>
    </xf>
    <xf numFmtId="167" fontId="0" fillId="0" borderId="0" xfId="0" applyNumberFormat="1"/>
    <xf numFmtId="0" fontId="1" fillId="0" borderId="30" xfId="1" applyBorder="1" applyAlignment="1">
      <alignment vertical="center"/>
    </xf>
    <xf numFmtId="49" fontId="14" fillId="0" borderId="50" xfId="4" applyNumberFormat="1" applyFont="1" applyBorder="1" applyAlignment="1">
      <alignment horizontal="center" vertical="center" wrapText="1"/>
    </xf>
    <xf numFmtId="0" fontId="0" fillId="0" borderId="33" xfId="0" applyBorder="1" applyAlignment="1">
      <alignment vertical="center"/>
    </xf>
    <xf numFmtId="166" fontId="39" fillId="40" borderId="81" xfId="3" applyNumberFormat="1" applyFont="1" applyFill="1" applyBorder="1" applyAlignment="1">
      <alignment horizontal="center" vertical="center"/>
    </xf>
    <xf numFmtId="1" fontId="4" fillId="2" borderId="37" xfId="4" applyNumberFormat="1" applyFont="1" applyFill="1" applyBorder="1" applyAlignment="1">
      <alignment horizontal="center" vertical="center" wrapText="1"/>
    </xf>
    <xf numFmtId="9" fontId="39" fillId="0" borderId="81" xfId="0" applyNumberFormat="1" applyFont="1" applyBorder="1" applyAlignment="1">
      <alignment horizontal="center" vertical="center"/>
    </xf>
    <xf numFmtId="171" fontId="45" fillId="2" borderId="80" xfId="0" applyNumberFormat="1" applyFont="1" applyFill="1" applyBorder="1" applyAlignment="1">
      <alignment horizontal="right" vertical="center"/>
    </xf>
    <xf numFmtId="3" fontId="7" fillId="2" borderId="40" xfId="4" applyNumberFormat="1" applyFont="1" applyFill="1" applyBorder="1" applyAlignment="1">
      <alignment vertical="center" wrapText="1"/>
    </xf>
    <xf numFmtId="171" fontId="45" fillId="2" borderId="89" xfId="0" applyNumberFormat="1" applyFont="1" applyFill="1" applyBorder="1" applyAlignment="1">
      <alignment horizontal="right" vertical="center"/>
    </xf>
    <xf numFmtId="4" fontId="7" fillId="2" borderId="40" xfId="4" applyNumberFormat="1" applyFont="1" applyFill="1" applyBorder="1" applyAlignment="1">
      <alignment vertical="center" wrapText="1"/>
    </xf>
    <xf numFmtId="9" fontId="4" fillId="58" borderId="67" xfId="2" applyFont="1" applyFill="1" applyBorder="1" applyAlignment="1">
      <alignment horizontal="center" vertical="center" wrapText="1"/>
    </xf>
    <xf numFmtId="9" fontId="4" fillId="58" borderId="68" xfId="2" applyFont="1" applyFill="1" applyBorder="1" applyAlignment="1">
      <alignment horizontal="center" vertical="center" wrapText="1"/>
    </xf>
    <xf numFmtId="9" fontId="7" fillId="23" borderId="5" xfId="2" applyFont="1" applyFill="1" applyBorder="1" applyAlignment="1">
      <alignment horizontal="center" vertical="center" wrapText="1"/>
    </xf>
    <xf numFmtId="9" fontId="7" fillId="23" borderId="40" xfId="2" applyFont="1" applyFill="1" applyBorder="1" applyAlignment="1">
      <alignment horizontal="center" vertical="center" wrapText="1"/>
    </xf>
    <xf numFmtId="10" fontId="4" fillId="0" borderId="67" xfId="2" applyNumberFormat="1" applyFont="1" applyFill="1" applyBorder="1" applyAlignment="1">
      <alignment horizontal="center" vertical="center" wrapText="1"/>
    </xf>
    <xf numFmtId="165" fontId="4" fillId="0" borderId="37" xfId="4" applyNumberFormat="1" applyFont="1" applyBorder="1" applyAlignment="1">
      <alignment horizontal="center" vertical="center" wrapText="1"/>
    </xf>
    <xf numFmtId="2" fontId="4" fillId="0" borderId="37" xfId="4" applyNumberFormat="1" applyFont="1" applyBorder="1" applyAlignment="1">
      <alignment horizontal="center" vertical="center" wrapText="1"/>
    </xf>
    <xf numFmtId="173" fontId="4" fillId="0" borderId="37" xfId="4" applyNumberFormat="1" applyFont="1" applyBorder="1" applyAlignment="1">
      <alignment horizontal="center" vertical="center" wrapText="1"/>
    </xf>
    <xf numFmtId="170" fontId="4" fillId="0" borderId="37" xfId="2" applyNumberFormat="1" applyFont="1" applyFill="1" applyBorder="1" applyAlignment="1">
      <alignment horizontal="center" vertical="center" wrapText="1"/>
    </xf>
    <xf numFmtId="10" fontId="4" fillId="0" borderId="37" xfId="2" applyNumberFormat="1" applyFont="1" applyFill="1" applyBorder="1" applyAlignment="1">
      <alignment horizontal="center" vertical="center" wrapText="1"/>
    </xf>
    <xf numFmtId="2" fontId="4" fillId="23" borderId="37" xfId="4" applyNumberFormat="1" applyFont="1" applyFill="1" applyBorder="1" applyAlignment="1">
      <alignment horizontal="center" vertical="center" wrapText="1"/>
    </xf>
    <xf numFmtId="165" fontId="4" fillId="2" borderId="37" xfId="4" applyNumberFormat="1" applyFont="1" applyFill="1" applyBorder="1" applyAlignment="1">
      <alignment horizontal="center" vertical="center" wrapText="1"/>
    </xf>
    <xf numFmtId="1" fontId="39" fillId="0" borderId="81" xfId="0" applyNumberFormat="1" applyFont="1" applyBorder="1" applyAlignment="1">
      <alignment horizontal="center" vertical="center"/>
    </xf>
    <xf numFmtId="171" fontId="25" fillId="0" borderId="88" xfId="0" applyNumberFormat="1" applyFont="1" applyBorder="1" applyAlignment="1">
      <alignment vertical="center"/>
    </xf>
    <xf numFmtId="171" fontId="45" fillId="0" borderId="89" xfId="0" applyNumberFormat="1" applyFont="1" applyBorder="1" applyAlignment="1">
      <alignment horizontal="right" vertical="center"/>
    </xf>
    <xf numFmtId="171" fontId="45" fillId="0" borderId="80" xfId="0" applyNumberFormat="1" applyFont="1" applyBorder="1" applyAlignment="1">
      <alignment horizontal="right" vertical="center"/>
    </xf>
    <xf numFmtId="171" fontId="47" fillId="0" borderId="77" xfId="0" applyNumberFormat="1" applyFont="1" applyBorder="1" applyAlignment="1">
      <alignment horizontal="right" vertical="center"/>
    </xf>
    <xf numFmtId="171" fontId="45" fillId="0" borderId="77" xfId="0" applyNumberFormat="1" applyFont="1" applyBorder="1" applyAlignment="1">
      <alignment horizontal="right" vertical="center"/>
    </xf>
    <xf numFmtId="0" fontId="25" fillId="0" borderId="75" xfId="0" applyFont="1" applyBorder="1" applyAlignment="1">
      <alignment horizontal="right" vertical="center"/>
    </xf>
    <xf numFmtId="0" fontId="39" fillId="0" borderId="70" xfId="0" applyFont="1" applyBorder="1" applyAlignment="1">
      <alignment vertical="center" wrapText="1"/>
    </xf>
    <xf numFmtId="10" fontId="7" fillId="23" borderId="43" xfId="2" applyNumberFormat="1" applyFont="1" applyFill="1" applyBorder="1" applyAlignment="1">
      <alignment horizontal="center" vertical="center" wrapText="1"/>
    </xf>
    <xf numFmtId="49" fontId="14" fillId="0" borderId="50" xfId="4" applyNumberFormat="1" applyFont="1" applyBorder="1" applyAlignment="1">
      <alignment horizontal="center" vertical="center"/>
    </xf>
    <xf numFmtId="49" fontId="14" fillId="13" borderId="50" xfId="4" applyNumberFormat="1" applyFont="1" applyFill="1" applyBorder="1" applyAlignment="1">
      <alignment horizontal="center" vertical="center"/>
    </xf>
    <xf numFmtId="0" fontId="14" fillId="13" borderId="50" xfId="4" applyFont="1" applyFill="1" applyBorder="1" applyAlignment="1">
      <alignment horizontal="left" vertical="center"/>
    </xf>
    <xf numFmtId="167" fontId="14" fillId="13" borderId="50" xfId="3" applyNumberFormat="1" applyFont="1" applyFill="1" applyBorder="1" applyAlignment="1">
      <alignment horizontal="right" vertical="center"/>
    </xf>
    <xf numFmtId="10" fontId="14" fillId="13" borderId="50" xfId="2" applyNumberFormat="1" applyFont="1" applyFill="1" applyBorder="1" applyAlignment="1">
      <alignment horizontal="right" vertical="center"/>
    </xf>
    <xf numFmtId="49" fontId="14" fillId="0" borderId="0" xfId="4" applyNumberFormat="1" applyFont="1" applyAlignment="1">
      <alignment horizontal="center" vertical="center"/>
    </xf>
    <xf numFmtId="0" fontId="14" fillId="14" borderId="50" xfId="4" applyFont="1" applyFill="1" applyBorder="1" applyAlignment="1">
      <alignment horizontal="center" vertical="center"/>
    </xf>
    <xf numFmtId="49" fontId="14" fillId="14" borderId="50" xfId="4" applyNumberFormat="1" applyFont="1" applyFill="1" applyBorder="1" applyAlignment="1">
      <alignment horizontal="center" vertical="center"/>
    </xf>
    <xf numFmtId="0" fontId="14" fillId="14" borderId="50" xfId="4" applyFont="1" applyFill="1" applyBorder="1" applyAlignment="1">
      <alignment horizontal="left" vertical="center"/>
    </xf>
    <xf numFmtId="167" fontId="14" fillId="14" borderId="50" xfId="3" applyNumberFormat="1" applyFont="1" applyFill="1" applyBorder="1" applyAlignment="1">
      <alignment horizontal="right" vertical="center"/>
    </xf>
    <xf numFmtId="10" fontId="14" fillId="14" borderId="50" xfId="2" applyNumberFormat="1" applyFont="1" applyFill="1" applyBorder="1" applyAlignment="1">
      <alignment horizontal="right" vertical="center"/>
    </xf>
    <xf numFmtId="0" fontId="14" fillId="59" borderId="50" xfId="4" applyFont="1" applyFill="1" applyBorder="1" applyAlignment="1">
      <alignment horizontal="center" vertical="center"/>
    </xf>
    <xf numFmtId="49" fontId="14" fillId="59" borderId="50" xfId="4" applyNumberFormat="1" applyFont="1" applyFill="1" applyBorder="1" applyAlignment="1">
      <alignment horizontal="center" vertical="center"/>
    </xf>
    <xf numFmtId="49" fontId="16" fillId="59" borderId="50" xfId="4" applyNumberFormat="1" applyFont="1" applyFill="1" applyBorder="1" applyAlignment="1">
      <alignment horizontal="center" vertical="center"/>
    </xf>
    <xf numFmtId="0" fontId="14" fillId="59" borderId="50" xfId="4" applyFont="1" applyFill="1" applyBorder="1" applyAlignment="1">
      <alignment horizontal="left" vertical="center"/>
    </xf>
    <xf numFmtId="167" fontId="14" fillId="59" borderId="50" xfId="3" applyNumberFormat="1" applyFont="1" applyFill="1" applyBorder="1" applyAlignment="1">
      <alignment horizontal="right" vertical="center"/>
    </xf>
    <xf numFmtId="10" fontId="14" fillId="59" borderId="50" xfId="2" applyNumberFormat="1" applyFont="1" applyFill="1" applyBorder="1" applyAlignment="1">
      <alignment horizontal="right" vertical="center"/>
    </xf>
    <xf numFmtId="0" fontId="14" fillId="60" borderId="50" xfId="4" applyFont="1" applyFill="1" applyBorder="1" applyAlignment="1">
      <alignment horizontal="center" vertical="center"/>
    </xf>
    <xf numFmtId="49" fontId="14" fillId="60" borderId="50" xfId="4" applyNumberFormat="1" applyFont="1" applyFill="1" applyBorder="1" applyAlignment="1">
      <alignment horizontal="center" vertical="center"/>
    </xf>
    <xf numFmtId="49" fontId="16" fillId="60" borderId="50" xfId="4" applyNumberFormat="1" applyFont="1" applyFill="1" applyBorder="1" applyAlignment="1">
      <alignment horizontal="center" vertical="center"/>
    </xf>
    <xf numFmtId="0" fontId="14" fillId="60" borderId="50" xfId="4" applyFont="1" applyFill="1" applyBorder="1" applyAlignment="1">
      <alignment horizontal="left" vertical="center"/>
    </xf>
    <xf numFmtId="167" fontId="14" fillId="60" borderId="50" xfId="3" applyNumberFormat="1" applyFont="1" applyFill="1" applyBorder="1" applyAlignment="1">
      <alignment horizontal="right" vertical="center"/>
    </xf>
    <xf numFmtId="10" fontId="14" fillId="60" borderId="50" xfId="2" applyNumberFormat="1" applyFont="1" applyFill="1" applyBorder="1" applyAlignment="1">
      <alignment horizontal="right" vertical="center"/>
    </xf>
    <xf numFmtId="0" fontId="14" fillId="0" borderId="50" xfId="4" applyFont="1" applyBorder="1" applyAlignment="1">
      <alignment horizontal="left" vertical="center"/>
    </xf>
    <xf numFmtId="167" fontId="14" fillId="0" borderId="50" xfId="3" applyNumberFormat="1" applyFont="1" applyBorder="1" applyAlignment="1">
      <alignment horizontal="right" vertical="center"/>
    </xf>
    <xf numFmtId="10" fontId="14" fillId="0" borderId="50" xfId="2" applyNumberFormat="1" applyFont="1" applyBorder="1" applyAlignment="1">
      <alignment horizontal="right" vertical="center"/>
    </xf>
    <xf numFmtId="0" fontId="14" fillId="0" borderId="50" xfId="4" applyFont="1" applyBorder="1" applyAlignment="1">
      <alignment horizontal="center" vertical="center"/>
    </xf>
    <xf numFmtId="10" fontId="16" fillId="0" borderId="50" xfId="2" applyNumberFormat="1" applyFont="1" applyBorder="1" applyAlignment="1">
      <alignment horizontal="right" vertical="center"/>
    </xf>
    <xf numFmtId="167" fontId="14" fillId="0" borderId="50" xfId="3" applyNumberFormat="1" applyFont="1" applyFill="1" applyBorder="1" applyAlignment="1">
      <alignment horizontal="right" vertical="center"/>
    </xf>
    <xf numFmtId="10" fontId="14" fillId="0" borderId="50" xfId="2" applyNumberFormat="1" applyFont="1" applyFill="1" applyBorder="1" applyAlignment="1">
      <alignment horizontal="right" vertical="center"/>
    </xf>
    <xf numFmtId="43" fontId="14" fillId="60" borderId="50" xfId="3" applyFont="1" applyFill="1" applyBorder="1" applyAlignment="1">
      <alignment horizontal="right" vertical="center"/>
    </xf>
    <xf numFmtId="43" fontId="14" fillId="0" borderId="50" xfId="3" applyFont="1" applyFill="1" applyBorder="1" applyAlignment="1">
      <alignment horizontal="right" vertical="center"/>
    </xf>
    <xf numFmtId="43" fontId="14" fillId="0" borderId="50" xfId="3" applyFont="1" applyBorder="1" applyAlignment="1">
      <alignment horizontal="right" vertical="center"/>
    </xf>
    <xf numFmtId="43" fontId="16" fillId="0" borderId="50" xfId="3" applyFont="1" applyBorder="1" applyAlignment="1">
      <alignment horizontal="right" vertical="center"/>
    </xf>
    <xf numFmtId="0" fontId="14" fillId="4" borderId="50" xfId="4" applyFont="1" applyFill="1" applyBorder="1" applyAlignment="1">
      <alignment horizontal="left" vertical="center"/>
    </xf>
    <xf numFmtId="43" fontId="14" fillId="59" borderId="50" xfId="3" applyFont="1" applyFill="1" applyBorder="1" applyAlignment="1">
      <alignment horizontal="right" vertical="center"/>
    </xf>
    <xf numFmtId="49" fontId="14" fillId="4" borderId="50" xfId="4" applyNumberFormat="1" applyFont="1" applyFill="1" applyBorder="1" applyAlignment="1">
      <alignment horizontal="center" vertical="center"/>
    </xf>
    <xf numFmtId="49" fontId="16" fillId="4" borderId="50" xfId="4" applyNumberFormat="1" applyFont="1" applyFill="1" applyBorder="1" applyAlignment="1">
      <alignment horizontal="center" vertical="center"/>
    </xf>
    <xf numFmtId="43" fontId="14" fillId="0" borderId="50" xfId="3" applyFont="1" applyBorder="1" applyAlignment="1">
      <alignment horizontal="left" vertical="center"/>
    </xf>
    <xf numFmtId="10" fontId="14" fillId="0" borderId="50" xfId="2" applyNumberFormat="1" applyFont="1" applyBorder="1" applyAlignment="1">
      <alignment horizontal="left" vertical="center"/>
    </xf>
    <xf numFmtId="43" fontId="16" fillId="0" borderId="50" xfId="3" applyFont="1" applyBorder="1" applyAlignment="1">
      <alignment horizontal="left" vertical="center"/>
    </xf>
    <xf numFmtId="10" fontId="16" fillId="0" borderId="50" xfId="2" applyNumberFormat="1" applyFont="1" applyBorder="1" applyAlignment="1">
      <alignment horizontal="left" vertical="center"/>
    </xf>
    <xf numFmtId="43" fontId="14" fillId="60" borderId="50" xfId="3" applyFont="1" applyFill="1" applyBorder="1" applyAlignment="1">
      <alignment horizontal="left" vertical="center"/>
    </xf>
    <xf numFmtId="10" fontId="14" fillId="60" borderId="50" xfId="2" applyNumberFormat="1" applyFont="1" applyFill="1" applyBorder="1" applyAlignment="1">
      <alignment horizontal="left" vertical="center"/>
    </xf>
    <xf numFmtId="49" fontId="14" fillId="59" borderId="50" xfId="4" applyNumberFormat="1" applyFont="1" applyFill="1" applyBorder="1" applyAlignment="1">
      <alignment horizontal="left" vertical="center"/>
    </xf>
    <xf numFmtId="43" fontId="14" fillId="59" borderId="50" xfId="3" applyFont="1" applyFill="1" applyBorder="1" applyAlignment="1">
      <alignment horizontal="center" vertical="center"/>
    </xf>
    <xf numFmtId="10" fontId="14" fillId="59" borderId="50" xfId="2" applyNumberFormat="1" applyFont="1" applyFill="1" applyBorder="1" applyAlignment="1">
      <alignment horizontal="center" vertical="center"/>
    </xf>
    <xf numFmtId="43" fontId="14" fillId="0" borderId="50" xfId="3" applyFont="1" applyFill="1" applyBorder="1" applyAlignment="1">
      <alignment horizontal="left" vertical="center"/>
    </xf>
    <xf numFmtId="10" fontId="14" fillId="0" borderId="50" xfId="2" applyNumberFormat="1" applyFont="1" applyFill="1" applyBorder="1" applyAlignment="1">
      <alignment horizontal="left" vertical="center"/>
    </xf>
    <xf numFmtId="43" fontId="14" fillId="59" borderId="50" xfId="3" applyFont="1" applyFill="1" applyBorder="1" applyAlignment="1">
      <alignment horizontal="left" vertical="center"/>
    </xf>
    <xf numFmtId="10" fontId="14" fillId="59" borderId="50" xfId="2" applyNumberFormat="1" applyFont="1" applyFill="1" applyBorder="1" applyAlignment="1">
      <alignment horizontal="left" vertical="center"/>
    </xf>
    <xf numFmtId="0" fontId="14" fillId="0" borderId="0" xfId="4" applyFont="1" applyAlignment="1">
      <alignment horizontal="left" vertical="center"/>
    </xf>
    <xf numFmtId="49" fontId="14" fillId="0" borderId="95" xfId="4" applyNumberFormat="1" applyFont="1" applyBorder="1" applyAlignment="1">
      <alignment horizontal="center" vertical="center"/>
    </xf>
    <xf numFmtId="43" fontId="0" fillId="0" borderId="0" xfId="3" applyFont="1"/>
    <xf numFmtId="0" fontId="50" fillId="0" borderId="64" xfId="10" applyFont="1" applyBorder="1" applyAlignment="1">
      <alignment horizontal="center" vertical="center" wrapText="1"/>
    </xf>
    <xf numFmtId="0" fontId="50" fillId="3" borderId="61" xfId="10" applyFont="1" applyFill="1" applyBorder="1" applyAlignment="1">
      <alignment horizontal="center" vertical="center"/>
    </xf>
    <xf numFmtId="0" fontId="51" fillId="0" borderId="0" xfId="10" applyFont="1" applyAlignment="1">
      <alignment vertical="center"/>
    </xf>
    <xf numFmtId="0" fontId="50" fillId="3" borderId="59" xfId="10" applyFont="1" applyFill="1" applyBorder="1" applyAlignment="1">
      <alignment horizontal="center" vertical="center"/>
    </xf>
    <xf numFmtId="164" fontId="17" fillId="15" borderId="16" xfId="11" applyNumberFormat="1" applyFont="1" applyFill="1" applyBorder="1" applyAlignment="1">
      <alignment horizontal="center" vertical="center" wrapText="1"/>
    </xf>
    <xf numFmtId="49" fontId="17" fillId="15" borderId="16" xfId="11" applyNumberFormat="1" applyFont="1" applyFill="1" applyBorder="1" applyAlignment="1">
      <alignment horizontal="center" vertical="center" wrapText="1"/>
    </xf>
    <xf numFmtId="0" fontId="50" fillId="61" borderId="64" xfId="10" applyFont="1" applyFill="1" applyBorder="1" applyAlignment="1">
      <alignment horizontal="center" vertical="center"/>
    </xf>
    <xf numFmtId="175" fontId="52" fillId="61" borderId="31" xfId="6" applyNumberFormat="1" applyFont="1" applyFill="1" applyBorder="1" applyAlignment="1">
      <alignment vertical="center"/>
    </xf>
    <xf numFmtId="43" fontId="52" fillId="61" borderId="26" xfId="6" applyFont="1" applyFill="1" applyBorder="1" applyAlignment="1">
      <alignment vertical="center"/>
    </xf>
    <xf numFmtId="0" fontId="51" fillId="61" borderId="0" xfId="10" applyFont="1" applyFill="1" applyAlignment="1">
      <alignment vertical="center"/>
    </xf>
    <xf numFmtId="0" fontId="52" fillId="62" borderId="37" xfId="10" applyFont="1" applyFill="1" applyBorder="1" applyAlignment="1">
      <alignment horizontal="justify" vertical="center" wrapText="1"/>
    </xf>
    <xf numFmtId="172" fontId="52" fillId="0" borderId="16" xfId="10" applyNumberFormat="1" applyFont="1" applyBorder="1" applyAlignment="1">
      <alignment horizontal="right" vertical="center"/>
    </xf>
    <xf numFmtId="176" fontId="51" fillId="0" borderId="16" xfId="10" applyNumberFormat="1" applyFont="1" applyBorder="1" applyAlignment="1">
      <alignment vertical="center"/>
    </xf>
    <xf numFmtId="0" fontId="51" fillId="0" borderId="16" xfId="10" applyFont="1" applyBorder="1" applyAlignment="1">
      <alignment vertical="center"/>
    </xf>
    <xf numFmtId="172" fontId="51" fillId="0" borderId="16" xfId="10" applyNumberFormat="1" applyFont="1" applyBorder="1" applyAlignment="1">
      <alignment vertical="center"/>
    </xf>
    <xf numFmtId="43" fontId="52" fillId="0" borderId="16" xfId="6" applyFont="1" applyBorder="1" applyAlignment="1">
      <alignment vertical="center"/>
    </xf>
    <xf numFmtId="0" fontId="51" fillId="0" borderId="16" xfId="10" applyFont="1" applyBorder="1"/>
    <xf numFmtId="0" fontId="51" fillId="0" borderId="0" xfId="10" applyFont="1"/>
    <xf numFmtId="0" fontId="52" fillId="64" borderId="37" xfId="10" applyFont="1" applyFill="1" applyBorder="1" applyAlignment="1">
      <alignment horizontal="justify" vertical="center" wrapText="1"/>
    </xf>
    <xf numFmtId="172" fontId="52" fillId="2" borderId="16" xfId="10" applyNumberFormat="1" applyFont="1" applyFill="1" applyBorder="1" applyAlignment="1">
      <alignment horizontal="right" vertical="center"/>
    </xf>
    <xf numFmtId="172" fontId="52" fillId="65" borderId="16" xfId="10" applyNumberFormat="1" applyFont="1" applyFill="1" applyBorder="1" applyAlignment="1">
      <alignment horizontal="right" vertical="center"/>
    </xf>
    <xf numFmtId="179" fontId="52" fillId="0" borderId="16" xfId="12" applyFont="1" applyFill="1" applyBorder="1" applyAlignment="1">
      <alignment vertical="center"/>
    </xf>
    <xf numFmtId="172" fontId="51" fillId="65" borderId="16" xfId="10" applyNumberFormat="1" applyFont="1" applyFill="1" applyBorder="1" applyAlignment="1">
      <alignment vertical="center"/>
    </xf>
    <xf numFmtId="43" fontId="51" fillId="65" borderId="16" xfId="3" applyFont="1" applyFill="1" applyBorder="1" applyAlignment="1">
      <alignment vertical="center"/>
    </xf>
    <xf numFmtId="0" fontId="52" fillId="65" borderId="37" xfId="10" applyFont="1" applyFill="1" applyBorder="1" applyAlignment="1">
      <alignment horizontal="justify" vertical="center" wrapText="1"/>
    </xf>
    <xf numFmtId="0" fontId="52" fillId="65" borderId="37" xfId="10" applyFont="1" applyFill="1" applyBorder="1" applyAlignment="1">
      <alignment horizontal="left" vertical="center" wrapText="1"/>
    </xf>
    <xf numFmtId="175" fontId="51" fillId="0" borderId="16" xfId="10" applyNumberFormat="1" applyFont="1" applyBorder="1" applyAlignment="1">
      <alignment vertical="center"/>
    </xf>
    <xf numFmtId="175" fontId="52" fillId="0" borderId="16" xfId="6" applyNumberFormat="1" applyFont="1" applyFill="1" applyBorder="1" applyAlignment="1">
      <alignment vertical="center"/>
    </xf>
    <xf numFmtId="178" fontId="51" fillId="0" borderId="0" xfId="10" applyNumberFormat="1" applyFont="1"/>
    <xf numFmtId="44" fontId="51" fillId="0" borderId="16" xfId="10" applyNumberFormat="1" applyFont="1" applyBorder="1" applyAlignment="1">
      <alignment vertical="center"/>
    </xf>
    <xf numFmtId="0" fontId="52" fillId="65" borderId="34" xfId="10" applyFont="1" applyFill="1" applyBorder="1" applyAlignment="1">
      <alignment horizontal="justify" vertical="center" wrapText="1"/>
    </xf>
    <xf numFmtId="172" fontId="51" fillId="0" borderId="16" xfId="10" applyNumberFormat="1" applyFont="1" applyBorder="1"/>
    <xf numFmtId="172" fontId="51" fillId="2" borderId="16" xfId="10" applyNumberFormat="1" applyFont="1" applyFill="1" applyBorder="1"/>
    <xf numFmtId="172" fontId="51" fillId="65" borderId="16" xfId="10" applyNumberFormat="1" applyFont="1" applyFill="1" applyBorder="1"/>
    <xf numFmtId="0" fontId="52" fillId="65" borderId="39" xfId="10" applyFont="1" applyFill="1" applyBorder="1" applyAlignment="1">
      <alignment horizontal="justify" vertical="center" wrapText="1"/>
    </xf>
    <xf numFmtId="0" fontId="52" fillId="65" borderId="37" xfId="10" applyFont="1" applyFill="1" applyBorder="1" applyAlignment="1">
      <alignment vertical="center" wrapText="1"/>
    </xf>
    <xf numFmtId="0" fontId="52" fillId="65" borderId="37" xfId="10" applyFont="1" applyFill="1" applyBorder="1" applyAlignment="1">
      <alignment horizontal="justify" wrapText="1"/>
    </xf>
    <xf numFmtId="0" fontId="52" fillId="65" borderId="39" xfId="10" applyFont="1" applyFill="1" applyBorder="1" applyAlignment="1">
      <alignment vertical="center" wrapText="1"/>
    </xf>
    <xf numFmtId="0" fontId="52" fillId="66" borderId="37" xfId="10" applyFont="1" applyFill="1" applyBorder="1" applyAlignment="1">
      <alignment horizontal="justify" vertical="center" wrapText="1"/>
    </xf>
    <xf numFmtId="172" fontId="52" fillId="4" borderId="16" xfId="10" applyNumberFormat="1" applyFont="1" applyFill="1" applyBorder="1" applyAlignment="1">
      <alignment horizontal="right" vertical="center"/>
    </xf>
    <xf numFmtId="0" fontId="52" fillId="0" borderId="37" xfId="10" applyFont="1" applyBorder="1" applyAlignment="1">
      <alignment horizontal="justify" vertical="center" wrapText="1"/>
    </xf>
    <xf numFmtId="176" fontId="51" fillId="0" borderId="16" xfId="10" applyNumberFormat="1" applyFont="1" applyBorder="1"/>
    <xf numFmtId="0" fontId="52" fillId="0" borderId="17" xfId="10" applyFont="1" applyBorder="1" applyAlignment="1">
      <alignment horizontal="justify" vertical="center" wrapText="1"/>
    </xf>
    <xf numFmtId="180" fontId="51" fillId="0" borderId="16" xfId="10" applyNumberFormat="1" applyFont="1" applyBorder="1" applyAlignment="1">
      <alignment vertical="center"/>
    </xf>
    <xf numFmtId="174" fontId="51" fillId="0" borderId="0" xfId="10" applyNumberFormat="1" applyFont="1" applyAlignment="1">
      <alignment vertical="center"/>
    </xf>
    <xf numFmtId="0" fontId="52" fillId="65" borderId="9" xfId="10" applyFont="1" applyFill="1" applyBorder="1" applyAlignment="1">
      <alignment horizontal="justify" vertical="center" wrapText="1"/>
    </xf>
    <xf numFmtId="176" fontId="51" fillId="0" borderId="31" xfId="10" applyNumberFormat="1" applyFont="1" applyBorder="1"/>
    <xf numFmtId="0" fontId="51" fillId="0" borderId="31" xfId="10" applyFont="1" applyBorder="1"/>
    <xf numFmtId="172" fontId="52" fillId="0" borderId="31" xfId="10" applyNumberFormat="1" applyFont="1" applyBorder="1" applyAlignment="1">
      <alignment horizontal="right" vertical="center"/>
    </xf>
    <xf numFmtId="43" fontId="52" fillId="0" borderId="16" xfId="6" applyFont="1" applyFill="1" applyBorder="1" applyAlignment="1">
      <alignment vertical="center"/>
    </xf>
    <xf numFmtId="0" fontId="52" fillId="0" borderId="1" xfId="10" applyFont="1" applyBorder="1" applyAlignment="1">
      <alignment horizontal="center" vertical="center"/>
    </xf>
    <xf numFmtId="172" fontId="54" fillId="3" borderId="2" xfId="10" applyNumberFormat="1" applyFont="1" applyFill="1" applyBorder="1" applyAlignment="1">
      <alignment horizontal="center" vertical="center"/>
    </xf>
    <xf numFmtId="181" fontId="54" fillId="3" borderId="2" xfId="10" applyNumberFormat="1" applyFont="1" applyFill="1" applyBorder="1" applyAlignment="1">
      <alignment horizontal="center" vertical="center"/>
    </xf>
    <xf numFmtId="182" fontId="54" fillId="3" borderId="2" xfId="10" applyNumberFormat="1" applyFont="1" applyFill="1" applyBorder="1" applyAlignment="1">
      <alignment horizontal="center" vertical="center"/>
    </xf>
    <xf numFmtId="43" fontId="52" fillId="0" borderId="31" xfId="6" applyFont="1" applyBorder="1" applyAlignment="1">
      <alignment vertical="center"/>
    </xf>
    <xf numFmtId="174" fontId="51" fillId="0" borderId="16" xfId="10" applyNumberFormat="1" applyFont="1" applyBorder="1" applyAlignment="1">
      <alignment vertical="center"/>
    </xf>
    <xf numFmtId="174" fontId="56" fillId="0" borderId="16" xfId="10" applyNumberFormat="1" applyFont="1" applyBorder="1" applyAlignment="1">
      <alignment vertical="center"/>
    </xf>
    <xf numFmtId="183" fontId="51" fillId="0" borderId="16" xfId="10" applyNumberFormat="1" applyFont="1" applyBorder="1" applyAlignment="1">
      <alignment vertical="center"/>
    </xf>
    <xf numFmtId="49" fontId="17" fillId="15" borderId="17" xfId="11" applyNumberFormat="1" applyFont="1" applyFill="1" applyBorder="1" applyAlignment="1">
      <alignment horizontal="center" vertical="center" wrapText="1"/>
    </xf>
    <xf numFmtId="43" fontId="52" fillId="61" borderId="23" xfId="6" applyFont="1" applyFill="1" applyBorder="1" applyAlignment="1">
      <alignment vertical="center"/>
    </xf>
    <xf numFmtId="43" fontId="52" fillId="0" borderId="17" xfId="6" applyFont="1" applyBorder="1" applyAlignment="1">
      <alignment vertical="center"/>
    </xf>
    <xf numFmtId="43" fontId="52" fillId="0" borderId="20" xfId="6" applyFont="1" applyBorder="1" applyAlignment="1">
      <alignment vertical="center"/>
    </xf>
    <xf numFmtId="0" fontId="51" fillId="0" borderId="17" xfId="10" applyFont="1" applyBorder="1" applyAlignment="1">
      <alignment vertical="center"/>
    </xf>
    <xf numFmtId="43" fontId="52" fillId="0" borderId="17" xfId="6" applyFont="1" applyFill="1" applyBorder="1" applyAlignment="1">
      <alignment vertical="center"/>
    </xf>
    <xf numFmtId="174" fontId="51" fillId="0" borderId="17" xfId="10" applyNumberFormat="1" applyFont="1" applyBorder="1" applyAlignment="1">
      <alignment vertical="center"/>
    </xf>
    <xf numFmtId="49" fontId="17" fillId="0" borderId="0" xfId="11" applyNumberFormat="1" applyFont="1" applyAlignment="1">
      <alignment horizontal="center" vertical="center" wrapText="1"/>
    </xf>
    <xf numFmtId="175" fontId="52" fillId="0" borderId="0" xfId="6" applyNumberFormat="1" applyFont="1" applyFill="1" applyBorder="1" applyAlignment="1">
      <alignment vertical="center"/>
    </xf>
    <xf numFmtId="177" fontId="53" fillId="0" borderId="0" xfId="11" applyNumberFormat="1" applyFont="1" applyAlignment="1">
      <alignment horizontal="right" vertical="center"/>
    </xf>
    <xf numFmtId="178" fontId="51" fillId="0" borderId="0" xfId="10" applyNumberFormat="1" applyFont="1" applyAlignment="1">
      <alignment vertical="center"/>
    </xf>
    <xf numFmtId="177" fontId="55" fillId="0" borderId="0" xfId="11" applyNumberFormat="1" applyFont="1" applyAlignment="1">
      <alignment horizontal="right" vertical="center"/>
    </xf>
    <xf numFmtId="1" fontId="4" fillId="0" borderId="43" xfId="4" applyNumberFormat="1" applyFont="1" applyBorder="1" applyAlignment="1">
      <alignment horizontal="center" vertical="center" wrapText="1"/>
    </xf>
    <xf numFmtId="165" fontId="4" fillId="4" borderId="38" xfId="4" applyNumberFormat="1" applyFont="1" applyFill="1" applyBorder="1" applyAlignment="1">
      <alignment horizontal="center" vertical="center" wrapText="1"/>
    </xf>
    <xf numFmtId="1" fontId="4" fillId="0" borderId="40" xfId="4" applyNumberFormat="1" applyFont="1" applyBorder="1" applyAlignment="1">
      <alignment horizontal="center" vertical="center" wrapText="1"/>
    </xf>
    <xf numFmtId="9" fontId="4" fillId="0" borderId="43" xfId="2" applyFont="1" applyFill="1" applyBorder="1" applyAlignment="1">
      <alignment horizontal="center" vertical="center" wrapText="1"/>
    </xf>
    <xf numFmtId="0" fontId="39" fillId="38" borderId="87" xfId="0" applyFont="1" applyFill="1" applyBorder="1" applyAlignment="1">
      <alignment horizontal="center" vertical="center"/>
    </xf>
    <xf numFmtId="0" fontId="23" fillId="0" borderId="81" xfId="0" applyFont="1" applyBorder="1" applyAlignment="1">
      <alignment horizontal="center" vertical="center"/>
    </xf>
    <xf numFmtId="0" fontId="23" fillId="0" borderId="87" xfId="0" applyFont="1" applyBorder="1" applyAlignment="1">
      <alignment horizontal="center" vertical="center"/>
    </xf>
    <xf numFmtId="0" fontId="39" fillId="36" borderId="87" xfId="0" applyFont="1" applyFill="1" applyBorder="1" applyAlignment="1">
      <alignment horizontal="center" vertical="center"/>
    </xf>
    <xf numFmtId="1" fontId="4" fillId="25" borderId="12" xfId="4" applyNumberFormat="1" applyFont="1" applyFill="1" applyBorder="1" applyAlignment="1">
      <alignment horizontal="center" vertical="center" wrapText="1"/>
    </xf>
    <xf numFmtId="0" fontId="39" fillId="0" borderId="5" xfId="0" applyFont="1" applyBorder="1" applyAlignment="1">
      <alignment horizontal="center" vertical="center"/>
    </xf>
    <xf numFmtId="0" fontId="39" fillId="42" borderId="5" xfId="0" applyFont="1" applyFill="1" applyBorder="1" applyAlignment="1">
      <alignment horizontal="center" vertical="center"/>
    </xf>
    <xf numFmtId="1" fontId="4" fillId="24" borderId="12" xfId="4" applyNumberFormat="1" applyFont="1" applyFill="1" applyBorder="1" applyAlignment="1">
      <alignment horizontal="center" vertical="center" wrapText="1"/>
    </xf>
    <xf numFmtId="0" fontId="23" fillId="28" borderId="5" xfId="0" applyFont="1" applyFill="1" applyBorder="1" applyAlignment="1">
      <alignment horizontal="center" vertical="center"/>
    </xf>
    <xf numFmtId="0" fontId="39" fillId="44" borderId="5" xfId="0" applyFont="1" applyFill="1" applyBorder="1" applyAlignment="1">
      <alignment horizontal="center" vertical="center"/>
    </xf>
    <xf numFmtId="0" fontId="23" fillId="27" borderId="81" xfId="0" applyFont="1" applyFill="1" applyBorder="1" applyAlignment="1">
      <alignment horizontal="center" vertical="center"/>
    </xf>
    <xf numFmtId="0" fontId="23" fillId="27" borderId="87" xfId="0" applyFont="1" applyFill="1" applyBorder="1" applyAlignment="1">
      <alignment horizontal="center" vertical="center"/>
    </xf>
    <xf numFmtId="0" fontId="32" fillId="4" borderId="40" xfId="0" applyFont="1" applyFill="1" applyBorder="1" applyAlignment="1">
      <alignment horizontal="center" vertical="center" wrapText="1"/>
    </xf>
    <xf numFmtId="1" fontId="7" fillId="24" borderId="12" xfId="4" applyNumberFormat="1" applyFont="1" applyFill="1" applyBorder="1" applyAlignment="1">
      <alignment horizontal="center" vertical="center" wrapText="1"/>
    </xf>
    <xf numFmtId="0" fontId="32" fillId="4" borderId="5" xfId="0" applyFont="1" applyFill="1" applyBorder="1" applyAlignment="1">
      <alignment horizontal="center" vertical="center" wrapText="1"/>
    </xf>
    <xf numFmtId="0" fontId="39" fillId="45" borderId="5" xfId="0" applyFont="1" applyFill="1" applyBorder="1" applyAlignment="1">
      <alignment horizontal="center" vertical="center"/>
    </xf>
    <xf numFmtId="0" fontId="39" fillId="47" borderId="5" xfId="0" applyFont="1" applyFill="1" applyBorder="1" applyAlignment="1">
      <alignment horizontal="center" vertical="center"/>
    </xf>
    <xf numFmtId="0" fontId="23" fillId="31" borderId="5" xfId="0" applyFont="1" applyFill="1" applyBorder="1" applyAlignment="1">
      <alignment horizontal="center" vertical="center"/>
    </xf>
    <xf numFmtId="0" fontId="23" fillId="31" borderId="81" xfId="0" applyFont="1" applyFill="1" applyBorder="1" applyAlignment="1">
      <alignment horizontal="center" vertical="center"/>
    </xf>
    <xf numFmtId="0" fontId="23" fillId="31" borderId="87" xfId="0" applyFont="1" applyFill="1" applyBorder="1" applyAlignment="1">
      <alignment horizontal="center" vertical="center"/>
    </xf>
    <xf numFmtId="0" fontId="23" fillId="33" borderId="5" xfId="0" applyFont="1" applyFill="1" applyBorder="1" applyAlignment="1">
      <alignment horizontal="center" vertical="center"/>
    </xf>
    <xf numFmtId="0" fontId="23" fillId="34" borderId="81" xfId="0" applyFont="1" applyFill="1" applyBorder="1" applyAlignment="1">
      <alignment horizontal="center" vertical="center"/>
    </xf>
    <xf numFmtId="1" fontId="7" fillId="24" borderId="40" xfId="4" applyNumberFormat="1" applyFont="1" applyFill="1" applyBorder="1" applyAlignment="1">
      <alignment horizontal="center" vertical="center" wrapText="1"/>
    </xf>
    <xf numFmtId="0" fontId="23" fillId="34" borderId="87" xfId="0" applyFont="1" applyFill="1" applyBorder="1" applyAlignment="1">
      <alignment horizontal="center" vertical="center"/>
    </xf>
    <xf numFmtId="0" fontId="23" fillId="34" borderId="5" xfId="0" applyFont="1" applyFill="1" applyBorder="1" applyAlignment="1">
      <alignment horizontal="center" vertical="center"/>
    </xf>
    <xf numFmtId="0" fontId="39" fillId="50" borderId="5" xfId="0" applyFont="1" applyFill="1" applyBorder="1" applyAlignment="1">
      <alignment horizontal="center" vertical="center"/>
    </xf>
    <xf numFmtId="0" fontId="39" fillId="49" borderId="5" xfId="0" applyFont="1" applyFill="1" applyBorder="1" applyAlignment="1">
      <alignment horizontal="center" vertical="center"/>
    </xf>
    <xf numFmtId="1" fontId="4" fillId="25" borderId="43" xfId="4" applyNumberFormat="1" applyFont="1" applyFill="1" applyBorder="1" applyAlignment="1">
      <alignment horizontal="center" vertical="center" wrapText="1"/>
    </xf>
    <xf numFmtId="0" fontId="23" fillId="33" borderId="87" xfId="0" applyFont="1" applyFill="1" applyBorder="1" applyAlignment="1">
      <alignment horizontal="center" vertical="center"/>
    </xf>
    <xf numFmtId="0" fontId="39" fillId="52" borderId="5" xfId="0" applyFont="1" applyFill="1" applyBorder="1" applyAlignment="1">
      <alignment horizontal="center" vertical="center"/>
    </xf>
    <xf numFmtId="0" fontId="39" fillId="53" borderId="5" xfId="0" applyFont="1" applyFill="1" applyBorder="1" applyAlignment="1">
      <alignment horizontal="center" vertical="center"/>
    </xf>
    <xf numFmtId="9" fontId="39" fillId="53" borderId="5" xfId="0" applyNumberFormat="1" applyFont="1" applyFill="1" applyBorder="1" applyAlignment="1">
      <alignment horizontal="center" vertical="center"/>
    </xf>
    <xf numFmtId="9" fontId="39" fillId="54" borderId="5" xfId="0" applyNumberFormat="1" applyFont="1" applyFill="1" applyBorder="1" applyAlignment="1">
      <alignment horizontal="center" vertical="center"/>
    </xf>
    <xf numFmtId="0" fontId="23" fillId="35" borderId="87" xfId="0" applyFont="1" applyFill="1" applyBorder="1" applyAlignment="1">
      <alignment horizontal="center" vertical="center"/>
    </xf>
    <xf numFmtId="9" fontId="39" fillId="52" borderId="5" xfId="0" applyNumberFormat="1" applyFont="1" applyFill="1" applyBorder="1" applyAlignment="1">
      <alignment horizontal="center" vertical="center"/>
    </xf>
    <xf numFmtId="0" fontId="39" fillId="54" borderId="5" xfId="0" applyFont="1" applyFill="1" applyBorder="1" applyAlignment="1">
      <alignment horizontal="center" vertical="center"/>
    </xf>
    <xf numFmtId="1" fontId="4" fillId="0" borderId="35" xfId="4" applyNumberFormat="1" applyFont="1" applyBorder="1" applyAlignment="1">
      <alignment horizontal="center" vertical="center" wrapText="1"/>
    </xf>
    <xf numFmtId="1" fontId="4" fillId="4" borderId="37" xfId="4" applyNumberFormat="1" applyFont="1" applyFill="1" applyBorder="1" applyAlignment="1">
      <alignment horizontal="center" vertical="center" wrapText="1"/>
    </xf>
    <xf numFmtId="1" fontId="4" fillId="0" borderId="39" xfId="4" applyNumberFormat="1" applyFont="1" applyBorder="1" applyAlignment="1">
      <alignment horizontal="center" vertical="center" wrapText="1"/>
    </xf>
    <xf numFmtId="1" fontId="4" fillId="25" borderId="14" xfId="4" applyNumberFormat="1" applyFont="1" applyFill="1" applyBorder="1" applyAlignment="1">
      <alignment horizontal="center" vertical="center" wrapText="1"/>
    </xf>
    <xf numFmtId="1" fontId="7" fillId="24" borderId="14" xfId="4" applyNumberFormat="1" applyFont="1" applyFill="1" applyBorder="1" applyAlignment="1">
      <alignment horizontal="center" vertical="center" wrapText="1"/>
    </xf>
    <xf numFmtId="9" fontId="4" fillId="4" borderId="35" xfId="2" applyFont="1" applyFill="1" applyBorder="1" applyAlignment="1">
      <alignment horizontal="center" vertical="center" wrapText="1"/>
    </xf>
    <xf numFmtId="9" fontId="4" fillId="0" borderId="35" xfId="2" applyFont="1" applyFill="1" applyBorder="1" applyAlignment="1">
      <alignment horizontal="center" vertical="center" wrapText="1"/>
    </xf>
    <xf numFmtId="1" fontId="4" fillId="4" borderId="35" xfId="4" applyNumberFormat="1" applyFont="1" applyFill="1" applyBorder="1" applyAlignment="1">
      <alignment horizontal="center" vertical="center" wrapText="1"/>
    </xf>
    <xf numFmtId="1" fontId="4" fillId="4" borderId="39" xfId="4" applyNumberFormat="1" applyFont="1" applyFill="1" applyBorder="1" applyAlignment="1">
      <alignment horizontal="center" vertical="center" wrapText="1"/>
    </xf>
    <xf numFmtId="1" fontId="4" fillId="0" borderId="9" xfId="4" applyNumberFormat="1" applyFont="1" applyBorder="1" applyAlignment="1">
      <alignment horizontal="center" vertical="center" wrapText="1"/>
    </xf>
    <xf numFmtId="1" fontId="4" fillId="24" borderId="14" xfId="4" applyNumberFormat="1" applyFont="1" applyFill="1" applyBorder="1" applyAlignment="1">
      <alignment horizontal="center" vertical="center" wrapText="1"/>
    </xf>
    <xf numFmtId="1" fontId="4" fillId="63" borderId="14" xfId="4" applyNumberFormat="1" applyFont="1" applyFill="1" applyBorder="1" applyAlignment="1">
      <alignment horizontal="center" vertical="center" wrapText="1"/>
    </xf>
    <xf numFmtId="1" fontId="4" fillId="0" borderId="21" xfId="4" applyNumberFormat="1" applyFont="1" applyBorder="1" applyAlignment="1">
      <alignment horizontal="center" vertical="center" wrapText="1"/>
    </xf>
    <xf numFmtId="1" fontId="7" fillId="24" borderId="39" xfId="4" applyNumberFormat="1" applyFont="1" applyFill="1" applyBorder="1" applyAlignment="1">
      <alignment horizontal="center" vertical="center" wrapText="1"/>
    </xf>
    <xf numFmtId="9" fontId="4" fillId="4" borderId="37" xfId="2" applyFont="1" applyFill="1" applyBorder="1" applyAlignment="1">
      <alignment horizontal="center" vertical="center" wrapText="1"/>
    </xf>
    <xf numFmtId="1" fontId="4" fillId="25" borderId="35" xfId="4" applyNumberFormat="1" applyFont="1" applyFill="1" applyBorder="1" applyAlignment="1">
      <alignment horizontal="center" vertical="center" wrapText="1"/>
    </xf>
    <xf numFmtId="9" fontId="4" fillId="4" borderId="39" xfId="2" applyFont="1" applyFill="1" applyBorder="1" applyAlignment="1">
      <alignment horizontal="center" vertical="center" wrapText="1"/>
    </xf>
    <xf numFmtId="9" fontId="4" fillId="24" borderId="18" xfId="2" applyFont="1" applyFill="1" applyBorder="1" applyAlignment="1">
      <alignment horizontal="center" vertical="center" wrapText="1"/>
    </xf>
    <xf numFmtId="9" fontId="4" fillId="0" borderId="37" xfId="2" applyFont="1" applyBorder="1" applyAlignment="1">
      <alignment horizontal="center" vertical="center" wrapText="1"/>
    </xf>
    <xf numFmtId="9" fontId="7" fillId="63" borderId="7" xfId="2" applyFont="1" applyFill="1" applyBorder="1" applyAlignment="1">
      <alignment horizontal="center" vertical="center" wrapText="1"/>
    </xf>
    <xf numFmtId="9" fontId="7" fillId="24" borderId="6" xfId="2" applyFont="1" applyFill="1" applyBorder="1" applyAlignment="1">
      <alignment horizontal="center" vertical="center" wrapText="1"/>
    </xf>
    <xf numFmtId="9" fontId="4" fillId="25" borderId="7" xfId="2" applyFont="1" applyFill="1" applyBorder="1" applyAlignment="1">
      <alignment horizontal="center" vertical="center" wrapText="1"/>
    </xf>
    <xf numFmtId="9" fontId="4" fillId="0" borderId="66" xfId="2" applyFont="1" applyFill="1" applyBorder="1" applyAlignment="1">
      <alignment horizontal="center" vertical="center" wrapText="1"/>
    </xf>
    <xf numFmtId="9" fontId="4" fillId="4" borderId="67" xfId="2" applyFont="1" applyFill="1" applyBorder="1" applyAlignment="1">
      <alignment horizontal="center" vertical="center" wrapText="1"/>
    </xf>
    <xf numFmtId="9" fontId="32" fillId="4" borderId="6" xfId="0" applyNumberFormat="1" applyFont="1" applyFill="1" applyBorder="1" applyAlignment="1">
      <alignment horizontal="center" vertical="center" wrapText="1"/>
    </xf>
    <xf numFmtId="9" fontId="7" fillId="24" borderId="7" xfId="2" applyFont="1" applyFill="1" applyBorder="1" applyAlignment="1">
      <alignment horizontal="center" vertical="center" wrapText="1"/>
    </xf>
    <xf numFmtId="9" fontId="4" fillId="4" borderId="66" xfId="2" applyFont="1" applyFill="1" applyBorder="1" applyAlignment="1">
      <alignment horizontal="center" vertical="center" wrapText="1"/>
    </xf>
    <xf numFmtId="9" fontId="4" fillId="4" borderId="68" xfId="2" applyFont="1" applyFill="1" applyBorder="1" applyAlignment="1">
      <alignment horizontal="center" vertical="center" wrapText="1"/>
    </xf>
    <xf numFmtId="9" fontId="4" fillId="68" borderId="7" xfId="2" applyFont="1" applyFill="1" applyBorder="1" applyAlignment="1">
      <alignment horizontal="center" vertical="center" wrapText="1"/>
    </xf>
    <xf numFmtId="9" fontId="7" fillId="67" borderId="7" xfId="2" applyFont="1" applyFill="1" applyBorder="1" applyAlignment="1">
      <alignment horizontal="center" vertical="center" wrapText="1"/>
    </xf>
    <xf numFmtId="9" fontId="4" fillId="0" borderId="6" xfId="2" applyFont="1" applyFill="1" applyBorder="1" applyAlignment="1">
      <alignment horizontal="center" vertical="center" wrapText="1"/>
    </xf>
    <xf numFmtId="9" fontId="32" fillId="4" borderId="68" xfId="0" applyNumberFormat="1" applyFont="1" applyFill="1" applyBorder="1" applyAlignment="1">
      <alignment horizontal="center" vertical="center" wrapText="1"/>
    </xf>
    <xf numFmtId="9" fontId="39" fillId="44" borderId="6" xfId="0" applyNumberFormat="1" applyFont="1" applyFill="1" applyBorder="1" applyAlignment="1">
      <alignment horizontal="center" vertical="center" wrapText="1"/>
    </xf>
    <xf numFmtId="9" fontId="23" fillId="4" borderId="89" xfId="0" applyNumberFormat="1" applyFont="1" applyFill="1" applyBorder="1" applyAlignment="1">
      <alignment horizontal="center" vertical="center"/>
    </xf>
    <xf numFmtId="9" fontId="23" fillId="4" borderId="90" xfId="0" applyNumberFormat="1" applyFont="1" applyFill="1" applyBorder="1" applyAlignment="1">
      <alignment horizontal="center" vertical="center"/>
    </xf>
    <xf numFmtId="9" fontId="23" fillId="0" borderId="89" xfId="0" applyNumberFormat="1" applyFont="1" applyBorder="1" applyAlignment="1">
      <alignment horizontal="center" vertical="center"/>
    </xf>
    <xf numFmtId="9" fontId="23" fillId="0" borderId="90" xfId="0" applyNumberFormat="1" applyFont="1" applyBorder="1" applyAlignment="1">
      <alignment horizontal="center" vertical="center"/>
    </xf>
    <xf numFmtId="9" fontId="39" fillId="47" borderId="90" xfId="0" applyNumberFormat="1" applyFont="1" applyFill="1" applyBorder="1" applyAlignment="1">
      <alignment horizontal="center" vertical="center" wrapText="1"/>
    </xf>
    <xf numFmtId="9" fontId="23" fillId="4" borderId="6" xfId="0" applyNumberFormat="1" applyFont="1" applyFill="1" applyBorder="1" applyAlignment="1">
      <alignment horizontal="center" vertical="center"/>
    </xf>
    <xf numFmtId="9" fontId="7" fillId="24" borderId="68" xfId="2" applyFont="1" applyFill="1" applyBorder="1" applyAlignment="1">
      <alignment horizontal="center" vertical="center" wrapText="1"/>
    </xf>
    <xf numFmtId="9" fontId="39" fillId="49" borderId="6" xfId="0" applyNumberFormat="1" applyFont="1" applyFill="1" applyBorder="1" applyAlignment="1">
      <alignment horizontal="center" vertical="center"/>
    </xf>
    <xf numFmtId="9" fontId="4" fillId="25" borderId="66" xfId="2" applyFont="1" applyFill="1" applyBorder="1" applyAlignment="1">
      <alignment horizontal="center" vertical="center" wrapText="1"/>
    </xf>
    <xf numFmtId="9" fontId="4" fillId="68" borderId="66" xfId="2" applyFont="1" applyFill="1" applyBorder="1" applyAlignment="1">
      <alignment horizontal="center" vertical="center" wrapText="1"/>
    </xf>
    <xf numFmtId="9" fontId="23" fillId="4" borderId="80" xfId="0" applyNumberFormat="1" applyFont="1" applyFill="1" applyBorder="1" applyAlignment="1">
      <alignment horizontal="center" vertical="center"/>
    </xf>
    <xf numFmtId="9" fontId="39" fillId="53" borderId="6" xfId="0" applyNumberFormat="1" applyFont="1" applyFill="1" applyBorder="1" applyAlignment="1">
      <alignment horizontal="center" vertical="center" wrapText="1"/>
    </xf>
    <xf numFmtId="9" fontId="39" fillId="53" borderId="6" xfId="0" applyNumberFormat="1" applyFont="1" applyFill="1" applyBorder="1" applyAlignment="1">
      <alignment horizontal="center" vertical="center"/>
    </xf>
    <xf numFmtId="9" fontId="39" fillId="54" borderId="6" xfId="0" applyNumberFormat="1" applyFont="1" applyFill="1" applyBorder="1" applyAlignment="1">
      <alignment horizontal="center" vertical="center" wrapText="1"/>
    </xf>
    <xf numFmtId="165" fontId="4" fillId="23" borderId="38" xfId="4" applyNumberFormat="1" applyFont="1" applyFill="1" applyBorder="1" applyAlignment="1">
      <alignment horizontal="center" vertical="center" wrapText="1"/>
    </xf>
    <xf numFmtId="165" fontId="4" fillId="23" borderId="37" xfId="4" applyNumberFormat="1" applyFont="1" applyFill="1" applyBorder="1" applyAlignment="1">
      <alignment horizontal="center" vertical="center" wrapText="1"/>
    </xf>
    <xf numFmtId="0" fontId="39" fillId="0" borderId="74" xfId="0" applyFont="1" applyBorder="1" applyAlignment="1">
      <alignment horizontal="center" vertical="center" wrapText="1"/>
    </xf>
    <xf numFmtId="0" fontId="39" fillId="0" borderId="70" xfId="0" applyFont="1" applyBorder="1" applyAlignment="1">
      <alignment horizontal="center" vertical="center"/>
    </xf>
    <xf numFmtId="0" fontId="39" fillId="69" borderId="81" xfId="0" applyFont="1" applyFill="1" applyBorder="1" applyAlignment="1">
      <alignment horizontal="center" vertical="center"/>
    </xf>
    <xf numFmtId="9" fontId="7" fillId="25" borderId="40" xfId="2" applyFont="1" applyFill="1" applyBorder="1" applyAlignment="1">
      <alignment horizontal="center" vertical="center" wrapText="1"/>
    </xf>
    <xf numFmtId="9" fontId="7" fillId="0" borderId="40" xfId="2" applyFont="1" applyBorder="1" applyAlignment="1">
      <alignment horizontal="center" vertical="center" wrapText="1"/>
    </xf>
    <xf numFmtId="9" fontId="7" fillId="0" borderId="38" xfId="2" applyFont="1" applyBorder="1" applyAlignment="1">
      <alignment horizontal="center" vertical="center" wrapText="1"/>
    </xf>
    <xf numFmtId="9" fontId="7" fillId="0" borderId="43" xfId="2" applyFont="1" applyBorder="1" applyAlignment="1">
      <alignment horizontal="center" vertical="center" wrapText="1"/>
    </xf>
    <xf numFmtId="9" fontId="7" fillId="0" borderId="40" xfId="2" applyFont="1" applyFill="1" applyBorder="1" applyAlignment="1">
      <alignment horizontal="center" vertical="center" wrapText="1"/>
    </xf>
    <xf numFmtId="9" fontId="7" fillId="24" borderId="40" xfId="2" applyFont="1" applyFill="1" applyBorder="1" applyAlignment="1">
      <alignment horizontal="center" vertical="center" wrapText="1"/>
    </xf>
    <xf numFmtId="9" fontId="7" fillId="0" borderId="42" xfId="2" applyFont="1" applyBorder="1" applyAlignment="1">
      <alignment horizontal="center" vertical="center" wrapText="1"/>
    </xf>
    <xf numFmtId="184" fontId="51" fillId="0" borderId="16" xfId="13" applyNumberFormat="1" applyFont="1" applyBorder="1"/>
    <xf numFmtId="0" fontId="4" fillId="6" borderId="15" xfId="4" applyFont="1" applyFill="1" applyBorder="1" applyAlignment="1">
      <alignment vertical="center" wrapText="1"/>
    </xf>
    <xf numFmtId="0" fontId="57" fillId="70" borderId="12" xfId="0" applyFont="1" applyFill="1" applyBorder="1" applyAlignment="1">
      <alignment vertical="center" wrapText="1"/>
    </xf>
    <xf numFmtId="3" fontId="7" fillId="63" borderId="15" xfId="4" applyNumberFormat="1" applyFont="1" applyFill="1" applyBorder="1" applyAlignment="1">
      <alignment vertical="center" wrapText="1"/>
    </xf>
    <xf numFmtId="1" fontId="7" fillId="63" borderId="14" xfId="4" applyNumberFormat="1" applyFont="1" applyFill="1" applyBorder="1" applyAlignment="1">
      <alignment horizontal="center" vertical="center" wrapText="1"/>
    </xf>
    <xf numFmtId="1" fontId="7" fillId="63" borderId="12" xfId="4" applyNumberFormat="1" applyFont="1" applyFill="1" applyBorder="1" applyAlignment="1">
      <alignment horizontal="center" vertical="center" wrapText="1"/>
    </xf>
    <xf numFmtId="1" fontId="7" fillId="63" borderId="15" xfId="4" applyNumberFormat="1" applyFont="1" applyFill="1" applyBorder="1" applyAlignment="1">
      <alignment horizontal="center" vertical="center" wrapText="1"/>
    </xf>
    <xf numFmtId="170" fontId="7" fillId="63" borderId="12" xfId="2" applyNumberFormat="1" applyFont="1" applyFill="1" applyBorder="1" applyAlignment="1">
      <alignment horizontal="center" vertical="center" wrapText="1"/>
    </xf>
    <xf numFmtId="0" fontId="7" fillId="63" borderId="12" xfId="4" applyFont="1" applyFill="1" applyBorder="1" applyAlignment="1">
      <alignment horizontal="center" vertical="center" wrapText="1"/>
    </xf>
    <xf numFmtId="0" fontId="7" fillId="63" borderId="15" xfId="4" applyFont="1" applyFill="1" applyBorder="1" applyAlignment="1">
      <alignment horizontal="center" vertical="center" wrapText="1"/>
    </xf>
    <xf numFmtId="0" fontId="7" fillId="63" borderId="14" xfId="4" applyFont="1" applyFill="1" applyBorder="1" applyAlignment="1">
      <alignment horizontal="center" vertical="center" wrapText="1"/>
    </xf>
    <xf numFmtId="15" fontId="7" fillId="63" borderId="14" xfId="4" applyNumberFormat="1" applyFont="1" applyFill="1" applyBorder="1" applyAlignment="1">
      <alignment horizontal="center" vertical="center" wrapText="1"/>
    </xf>
    <xf numFmtId="10" fontId="7" fillId="63" borderId="12" xfId="2" applyNumberFormat="1" applyFont="1" applyFill="1" applyBorder="1" applyAlignment="1">
      <alignment horizontal="right" vertical="center" wrapText="1"/>
    </xf>
    <xf numFmtId="3" fontId="7" fillId="63" borderId="14" xfId="4" applyNumberFormat="1" applyFont="1" applyFill="1" applyBorder="1" applyAlignment="1">
      <alignment horizontal="center" vertical="center" wrapText="1"/>
    </xf>
    <xf numFmtId="3" fontId="7" fillId="63" borderId="12" xfId="4" applyNumberFormat="1" applyFont="1" applyFill="1" applyBorder="1" applyAlignment="1">
      <alignment horizontal="center" vertical="center" wrapText="1"/>
    </xf>
    <xf numFmtId="170" fontId="7" fillId="63" borderId="14" xfId="2" applyNumberFormat="1" applyFont="1" applyFill="1" applyBorder="1" applyAlignment="1">
      <alignment horizontal="center" vertical="center" wrapText="1"/>
    </xf>
    <xf numFmtId="9" fontId="7" fillId="63" borderId="12" xfId="2" applyFont="1" applyFill="1" applyBorder="1" applyAlignment="1">
      <alignment horizontal="center" vertical="center" wrapText="1"/>
    </xf>
    <xf numFmtId="3" fontId="7" fillId="63" borderId="7" xfId="4" applyNumberFormat="1" applyFont="1" applyFill="1" applyBorder="1" applyAlignment="1">
      <alignment vertical="center" wrapText="1"/>
    </xf>
    <xf numFmtId="4" fontId="7" fillId="63" borderId="7" xfId="4" applyNumberFormat="1" applyFont="1" applyFill="1" applyBorder="1" applyAlignment="1">
      <alignment vertical="center" wrapText="1"/>
    </xf>
    <xf numFmtId="10" fontId="7" fillId="63" borderId="12" xfId="2" applyNumberFormat="1" applyFont="1" applyFill="1" applyBorder="1" applyAlignment="1">
      <alignment horizontal="center" vertical="center" wrapText="1"/>
    </xf>
    <xf numFmtId="3" fontId="7" fillId="63" borderId="12" xfId="4" applyNumberFormat="1" applyFont="1" applyFill="1" applyBorder="1" applyAlignment="1">
      <alignment vertical="center" wrapText="1"/>
    </xf>
    <xf numFmtId="10" fontId="7" fillId="63" borderId="12" xfId="2" applyNumberFormat="1" applyFont="1" applyFill="1" applyBorder="1" applyAlignment="1">
      <alignment vertical="center" wrapText="1"/>
    </xf>
    <xf numFmtId="3" fontId="7" fillId="63" borderId="14" xfId="4" applyNumberFormat="1" applyFont="1" applyFill="1" applyBorder="1" applyAlignment="1">
      <alignment vertical="center" wrapText="1"/>
    </xf>
    <xf numFmtId="0" fontId="7" fillId="63" borderId="7" xfId="4" applyFont="1" applyFill="1" applyBorder="1" applyAlignment="1">
      <alignment vertical="center" wrapText="1"/>
    </xf>
    <xf numFmtId="0" fontId="7" fillId="63" borderId="12" xfId="4" applyFont="1" applyFill="1" applyBorder="1" applyAlignment="1">
      <alignment vertical="center" wrapText="1"/>
    </xf>
    <xf numFmtId="0" fontId="7" fillId="21" borderId="5" xfId="0" applyFont="1" applyFill="1" applyBorder="1" applyAlignment="1">
      <alignment vertical="center" wrapText="1"/>
    </xf>
    <xf numFmtId="3" fontId="7" fillId="24" borderId="0" xfId="4" applyNumberFormat="1" applyFont="1" applyFill="1" applyAlignment="1">
      <alignment vertical="center" wrapText="1"/>
    </xf>
    <xf numFmtId="1" fontId="7" fillId="24" borderId="9" xfId="4" applyNumberFormat="1" applyFont="1" applyFill="1" applyBorder="1" applyAlignment="1">
      <alignment horizontal="center" vertical="center" wrapText="1"/>
    </xf>
    <xf numFmtId="1" fontId="7" fillId="24" borderId="5" xfId="4" applyNumberFormat="1" applyFont="1" applyFill="1" applyBorder="1" applyAlignment="1">
      <alignment horizontal="center" vertical="center" wrapText="1"/>
    </xf>
    <xf numFmtId="1" fontId="7" fillId="24" borderId="0" xfId="4" applyNumberFormat="1" applyFont="1" applyFill="1" applyAlignment="1">
      <alignment horizontal="center" vertical="center" wrapText="1"/>
    </xf>
    <xf numFmtId="9" fontId="7" fillId="24" borderId="5" xfId="2" applyFont="1" applyFill="1" applyBorder="1" applyAlignment="1">
      <alignment horizontal="center" vertical="center" wrapText="1"/>
    </xf>
    <xf numFmtId="3" fontId="7" fillId="24" borderId="5" xfId="4" applyNumberFormat="1" applyFont="1" applyFill="1" applyBorder="1" applyAlignment="1">
      <alignment vertical="center" wrapText="1"/>
    </xf>
    <xf numFmtId="3" fontId="7" fillId="24" borderId="9" xfId="4" applyNumberFormat="1" applyFont="1" applyFill="1" applyBorder="1" applyAlignment="1">
      <alignment vertical="center" wrapText="1"/>
    </xf>
    <xf numFmtId="170" fontId="7" fillId="24" borderId="5" xfId="2" applyNumberFormat="1" applyFont="1" applyFill="1" applyBorder="1" applyAlignment="1">
      <alignment vertical="center" wrapText="1"/>
    </xf>
    <xf numFmtId="3" fontId="7" fillId="24" borderId="9" xfId="4" applyNumberFormat="1" applyFont="1" applyFill="1" applyBorder="1" applyAlignment="1">
      <alignment horizontal="center" vertical="center" wrapText="1"/>
    </xf>
    <xf numFmtId="3" fontId="7" fillId="24" borderId="5" xfId="4" applyNumberFormat="1" applyFont="1" applyFill="1" applyBorder="1" applyAlignment="1">
      <alignment horizontal="center" vertical="center" wrapText="1"/>
    </xf>
    <xf numFmtId="170" fontId="7" fillId="24" borderId="9" xfId="2" applyNumberFormat="1" applyFont="1" applyFill="1" applyBorder="1" applyAlignment="1">
      <alignment horizontal="center" vertical="center" wrapText="1"/>
    </xf>
    <xf numFmtId="3" fontId="7" fillId="24" borderId="6" xfId="4" applyNumberFormat="1" applyFont="1" applyFill="1" applyBorder="1" applyAlignment="1">
      <alignment vertical="center" wrapText="1"/>
    </xf>
    <xf numFmtId="10" fontId="7" fillId="24" borderId="5" xfId="2" applyNumberFormat="1" applyFont="1" applyFill="1" applyBorder="1" applyAlignment="1">
      <alignment horizontal="right" vertical="center" wrapText="1"/>
    </xf>
    <xf numFmtId="4" fontId="7" fillId="24" borderId="6" xfId="4" applyNumberFormat="1" applyFont="1" applyFill="1" applyBorder="1" applyAlignment="1">
      <alignment vertical="center" wrapText="1"/>
    </xf>
    <xf numFmtId="10" fontId="7" fillId="24" borderId="5" xfId="2" applyNumberFormat="1" applyFont="1" applyFill="1" applyBorder="1" applyAlignment="1">
      <alignment horizontal="center" vertical="center" wrapText="1"/>
    </xf>
    <xf numFmtId="10" fontId="7" fillId="24" borderId="5" xfId="2" applyNumberFormat="1" applyFont="1" applyFill="1" applyBorder="1" applyAlignment="1">
      <alignment vertical="center" wrapText="1"/>
    </xf>
    <xf numFmtId="0" fontId="7" fillId="24" borderId="6" xfId="4" applyFont="1" applyFill="1" applyBorder="1" applyAlignment="1">
      <alignment vertical="center" wrapText="1"/>
    </xf>
    <xf numFmtId="0" fontId="7" fillId="24" borderId="5" xfId="4" applyFont="1" applyFill="1" applyBorder="1" applyAlignment="1">
      <alignment vertical="center" wrapText="1"/>
    </xf>
    <xf numFmtId="0" fontId="4" fillId="22" borderId="12" xfId="0" applyFont="1" applyFill="1" applyBorder="1" applyAlignment="1">
      <alignment vertical="center" wrapText="1"/>
    </xf>
    <xf numFmtId="3" fontId="4" fillId="25" borderId="15" xfId="4" applyNumberFormat="1" applyFont="1" applyFill="1" applyBorder="1" applyAlignment="1">
      <alignment vertical="center" wrapText="1"/>
    </xf>
    <xf numFmtId="1" fontId="4" fillId="25" borderId="15" xfId="4" applyNumberFormat="1" applyFont="1" applyFill="1" applyBorder="1" applyAlignment="1">
      <alignment horizontal="center" vertical="center" wrapText="1"/>
    </xf>
    <xf numFmtId="9" fontId="4" fillId="25" borderId="12" xfId="2" applyFont="1" applyFill="1" applyBorder="1" applyAlignment="1">
      <alignment horizontal="center" vertical="center" wrapText="1"/>
    </xf>
    <xf numFmtId="3" fontId="4" fillId="25" borderId="12" xfId="4" applyNumberFormat="1" applyFont="1" applyFill="1" applyBorder="1" applyAlignment="1">
      <alignment vertical="center" wrapText="1"/>
    </xf>
    <xf numFmtId="3" fontId="4" fillId="25" borderId="14" xfId="4" applyNumberFormat="1" applyFont="1" applyFill="1" applyBorder="1" applyAlignment="1">
      <alignment vertical="center" wrapText="1"/>
    </xf>
    <xf numFmtId="10" fontId="4" fillId="25" borderId="12" xfId="2" applyNumberFormat="1" applyFont="1" applyFill="1" applyBorder="1" applyAlignment="1">
      <alignment vertical="center" wrapText="1"/>
    </xf>
    <xf numFmtId="3" fontId="4" fillId="25" borderId="14" xfId="4" applyNumberFormat="1" applyFont="1" applyFill="1" applyBorder="1" applyAlignment="1">
      <alignment horizontal="center" vertical="center" wrapText="1"/>
    </xf>
    <xf numFmtId="3" fontId="4" fillId="25" borderId="12" xfId="4" applyNumberFormat="1" applyFont="1" applyFill="1" applyBorder="1" applyAlignment="1">
      <alignment horizontal="center" vertical="center" wrapText="1"/>
    </xf>
    <xf numFmtId="170" fontId="4" fillId="25" borderId="14" xfId="2" applyNumberFormat="1" applyFont="1" applyFill="1" applyBorder="1" applyAlignment="1">
      <alignment horizontal="center" vertical="center" wrapText="1"/>
    </xf>
    <xf numFmtId="3" fontId="4" fillId="25" borderId="7" xfId="4" applyNumberFormat="1" applyFont="1" applyFill="1" applyBorder="1" applyAlignment="1">
      <alignment vertical="center" wrapText="1"/>
    </xf>
    <xf numFmtId="10" fontId="4" fillId="25" borderId="12" xfId="2" applyNumberFormat="1" applyFont="1" applyFill="1" applyBorder="1" applyAlignment="1">
      <alignment horizontal="right" vertical="center" wrapText="1"/>
    </xf>
    <xf numFmtId="10" fontId="4" fillId="25" borderId="12" xfId="2" applyNumberFormat="1" applyFont="1" applyFill="1" applyBorder="1" applyAlignment="1">
      <alignment horizontal="center" vertical="center" wrapText="1"/>
    </xf>
    <xf numFmtId="3" fontId="7" fillId="25" borderId="15" xfId="4" applyNumberFormat="1" applyFont="1" applyFill="1" applyBorder="1" applyAlignment="1">
      <alignment vertical="center" wrapText="1"/>
    </xf>
    <xf numFmtId="3" fontId="7" fillId="25" borderId="14" xfId="4" applyNumberFormat="1" applyFont="1" applyFill="1" applyBorder="1" applyAlignment="1">
      <alignment vertical="center" wrapText="1"/>
    </xf>
    <xf numFmtId="3" fontId="7" fillId="25" borderId="7" xfId="4" applyNumberFormat="1" applyFont="1" applyFill="1" applyBorder="1" applyAlignment="1">
      <alignment vertical="center" wrapText="1"/>
    </xf>
    <xf numFmtId="0" fontId="23" fillId="0" borderId="74" xfId="0" applyFont="1" applyBorder="1" applyAlignment="1">
      <alignment horizontal="center" vertical="center" wrapText="1"/>
    </xf>
    <xf numFmtId="1" fontId="4" fillId="0" borderId="24" xfId="4" applyNumberFormat="1" applyFont="1" applyBorder="1" applyAlignment="1">
      <alignment horizontal="center" vertical="center" wrapText="1"/>
    </xf>
    <xf numFmtId="1" fontId="4" fillId="2" borderId="35" xfId="4" applyNumberFormat="1" applyFont="1" applyFill="1" applyBorder="1" applyAlignment="1">
      <alignment horizontal="center" vertical="center" wrapText="1"/>
    </xf>
    <xf numFmtId="170" fontId="4" fillId="0" borderId="43" xfId="2" applyNumberFormat="1" applyFont="1" applyFill="1" applyBorder="1" applyAlignment="1">
      <alignment horizontal="center" vertical="center" wrapText="1"/>
    </xf>
    <xf numFmtId="3" fontId="4" fillId="4" borderId="43" xfId="4" applyNumberFormat="1" applyFont="1" applyFill="1" applyBorder="1" applyAlignment="1">
      <alignment vertical="center" wrapText="1"/>
    </xf>
    <xf numFmtId="3" fontId="4" fillId="0" borderId="24" xfId="4" applyNumberFormat="1" applyFont="1" applyBorder="1" applyAlignment="1">
      <alignment vertical="center" wrapText="1"/>
    </xf>
    <xf numFmtId="0" fontId="7" fillId="0" borderId="35" xfId="4" applyFont="1" applyBorder="1" applyAlignment="1">
      <alignment horizontal="center" vertical="center" wrapText="1"/>
    </xf>
    <xf numFmtId="0" fontId="4" fillId="0" borderId="43" xfId="4" applyFont="1" applyBorder="1" applyAlignment="1">
      <alignment horizontal="center" vertical="center" wrapText="1"/>
    </xf>
    <xf numFmtId="14" fontId="4" fillId="0" borderId="35" xfId="4" applyNumberFormat="1" applyFont="1" applyBorder="1" applyAlignment="1">
      <alignment vertical="center" wrapText="1"/>
    </xf>
    <xf numFmtId="3" fontId="4" fillId="0" borderId="43" xfId="4" applyNumberFormat="1" applyFont="1" applyBorder="1" applyAlignment="1">
      <alignment horizontal="center" vertical="center" wrapText="1"/>
    </xf>
    <xf numFmtId="10" fontId="4" fillId="0" borderId="43" xfId="2" applyNumberFormat="1" applyFont="1" applyFill="1" applyBorder="1" applyAlignment="1">
      <alignment horizontal="right" vertical="center" wrapText="1"/>
    </xf>
    <xf numFmtId="10" fontId="4" fillId="0" borderId="43" xfId="2" applyNumberFormat="1" applyFont="1" applyFill="1" applyBorder="1" applyAlignment="1">
      <alignment horizontal="center" vertical="center" wrapText="1"/>
    </xf>
    <xf numFmtId="171" fontId="25" fillId="36" borderId="74" xfId="0" applyNumberFormat="1" applyFont="1" applyFill="1" applyBorder="1" applyAlignment="1">
      <alignment horizontal="right" vertical="center"/>
    </xf>
    <xf numFmtId="171" fontId="23" fillId="36" borderId="81" xfId="0" applyNumberFormat="1" applyFont="1" applyFill="1" applyBorder="1" applyAlignment="1">
      <alignment horizontal="right" vertical="center"/>
    </xf>
    <xf numFmtId="171" fontId="23" fillId="0" borderId="75" xfId="0" applyNumberFormat="1" applyFont="1" applyBorder="1" applyAlignment="1">
      <alignment horizontal="right" vertical="center"/>
    </xf>
    <xf numFmtId="10" fontId="23" fillId="0" borderId="43" xfId="2" applyNumberFormat="1" applyFont="1" applyFill="1" applyBorder="1" applyAlignment="1">
      <alignment vertical="center" wrapText="1"/>
    </xf>
    <xf numFmtId="171" fontId="32" fillId="0" borderId="73" xfId="0" applyNumberFormat="1" applyFont="1" applyBorder="1" applyAlignment="1">
      <alignment horizontal="right" vertical="center"/>
    </xf>
    <xf numFmtId="9" fontId="23" fillId="0" borderId="43" xfId="2" applyFont="1" applyFill="1" applyBorder="1" applyAlignment="1">
      <alignment horizontal="center" vertical="center" wrapText="1"/>
    </xf>
    <xf numFmtId="3" fontId="24" fillId="0" borderId="24" xfId="4" applyNumberFormat="1" applyFont="1" applyBorder="1" applyAlignment="1">
      <alignment vertical="center" wrapText="1"/>
    </xf>
    <xf numFmtId="0" fontId="4" fillId="0" borderId="36" xfId="4" applyFont="1" applyBorder="1" applyAlignment="1">
      <alignment vertical="center" wrapText="1"/>
    </xf>
    <xf numFmtId="171" fontId="25" fillId="36" borderId="71" xfId="0" applyNumberFormat="1" applyFont="1" applyFill="1" applyBorder="1" applyAlignment="1">
      <alignment horizontal="right" vertical="center"/>
    </xf>
    <xf numFmtId="171" fontId="23" fillId="36" borderId="87" xfId="0" applyNumberFormat="1" applyFont="1" applyFill="1" applyBorder="1" applyAlignment="1">
      <alignment horizontal="right" vertical="center"/>
    </xf>
    <xf numFmtId="171" fontId="23" fillId="0" borderId="77" xfId="0" applyNumberFormat="1" applyFont="1" applyBorder="1" applyAlignment="1">
      <alignment horizontal="right" vertical="center"/>
    </xf>
    <xf numFmtId="9" fontId="23" fillId="0" borderId="38" xfId="2" applyFont="1" applyFill="1" applyBorder="1" applyAlignment="1">
      <alignment horizontal="center" vertical="center" wrapText="1"/>
    </xf>
    <xf numFmtId="3" fontId="24" fillId="0" borderId="18" xfId="4" applyNumberFormat="1" applyFont="1" applyBorder="1" applyAlignment="1">
      <alignment vertical="center" wrapText="1"/>
    </xf>
    <xf numFmtId="9" fontId="4" fillId="0" borderId="18" xfId="2" applyFont="1" applyFill="1" applyBorder="1" applyAlignment="1">
      <alignment horizontal="center" vertical="center" wrapText="1"/>
    </xf>
    <xf numFmtId="171" fontId="23" fillId="36" borderId="96" xfId="0" applyNumberFormat="1" applyFont="1" applyFill="1" applyBorder="1" applyAlignment="1">
      <alignment horizontal="right" vertical="center"/>
    </xf>
    <xf numFmtId="171" fontId="23" fillId="36" borderId="77" xfId="0" applyNumberFormat="1" applyFont="1" applyFill="1" applyBorder="1" applyAlignment="1">
      <alignment horizontal="right" vertical="center"/>
    </xf>
    <xf numFmtId="0" fontId="6" fillId="36" borderId="97" xfId="0" applyFont="1" applyFill="1" applyBorder="1" applyAlignment="1">
      <alignment horizontal="center" vertical="center" wrapText="1"/>
    </xf>
    <xf numFmtId="171" fontId="23" fillId="36" borderId="70" xfId="0" applyNumberFormat="1" applyFont="1" applyFill="1" applyBorder="1" applyAlignment="1">
      <alignment horizontal="right" vertical="center"/>
    </xf>
    <xf numFmtId="9" fontId="39" fillId="36" borderId="98" xfId="0" applyNumberFormat="1" applyFont="1" applyFill="1" applyBorder="1" applyAlignment="1">
      <alignment horizontal="center" vertical="center"/>
    </xf>
    <xf numFmtId="3" fontId="4" fillId="4" borderId="38" xfId="4" applyNumberFormat="1" applyFont="1" applyFill="1" applyBorder="1" applyAlignment="1">
      <alignment horizontal="center" vertical="center" wrapText="1"/>
    </xf>
    <xf numFmtId="1" fontId="4" fillId="4" borderId="18" xfId="4" applyNumberFormat="1" applyFont="1" applyFill="1" applyBorder="1" applyAlignment="1">
      <alignment horizontal="center" vertical="center" wrapText="1"/>
    </xf>
    <xf numFmtId="9" fontId="4" fillId="4" borderId="38" xfId="2" applyFont="1" applyFill="1" applyBorder="1" applyAlignment="1">
      <alignment horizontal="center" vertical="center" wrapText="1"/>
    </xf>
    <xf numFmtId="170" fontId="4" fillId="4" borderId="38" xfId="2" applyNumberFormat="1" applyFont="1" applyFill="1" applyBorder="1" applyAlignment="1">
      <alignment horizontal="center" vertical="center" wrapText="1"/>
    </xf>
    <xf numFmtId="3" fontId="4" fillId="4" borderId="38" xfId="4" applyNumberFormat="1" applyFont="1" applyFill="1" applyBorder="1" applyAlignment="1">
      <alignment vertical="center" wrapText="1"/>
    </xf>
    <xf numFmtId="3" fontId="4" fillId="4" borderId="18" xfId="4" applyNumberFormat="1" applyFont="1" applyFill="1" applyBorder="1" applyAlignment="1">
      <alignment vertical="center" wrapText="1"/>
    </xf>
    <xf numFmtId="0" fontId="7" fillId="4" borderId="37" xfId="4" applyFont="1" applyFill="1" applyBorder="1" applyAlignment="1">
      <alignment horizontal="center" vertical="center" wrapText="1"/>
    </xf>
    <xf numFmtId="0" fontId="4" fillId="4" borderId="38" xfId="4" applyFont="1" applyFill="1" applyBorder="1" applyAlignment="1">
      <alignment horizontal="center" vertical="center" wrapText="1"/>
    </xf>
    <xf numFmtId="3" fontId="4" fillId="4" borderId="37" xfId="4" applyNumberFormat="1" applyFont="1" applyFill="1" applyBorder="1" applyAlignment="1">
      <alignment vertical="center" wrapText="1"/>
    </xf>
    <xf numFmtId="14" fontId="4" fillId="4" borderId="37" xfId="4" applyNumberFormat="1" applyFont="1" applyFill="1" applyBorder="1" applyAlignment="1">
      <alignment vertical="center" wrapText="1"/>
    </xf>
    <xf numFmtId="9" fontId="4" fillId="4" borderId="37" xfId="2" applyFont="1" applyFill="1" applyBorder="1" applyAlignment="1">
      <alignment vertical="center" wrapText="1"/>
    </xf>
    <xf numFmtId="171" fontId="25" fillId="4" borderId="89" xfId="0" applyNumberFormat="1" applyFont="1" applyFill="1" applyBorder="1" applyAlignment="1">
      <alignment horizontal="right" vertical="center"/>
    </xf>
    <xf numFmtId="0" fontId="39" fillId="36" borderId="0" xfId="0" applyFont="1" applyFill="1" applyAlignment="1">
      <alignment horizontal="center" vertical="center" wrapText="1"/>
    </xf>
    <xf numFmtId="9" fontId="4" fillId="0" borderId="40" xfId="2" applyFont="1" applyFill="1" applyBorder="1" applyAlignment="1">
      <alignment horizontal="center" vertical="center" wrapText="1"/>
    </xf>
    <xf numFmtId="170" fontId="4" fillId="0" borderId="40" xfId="2" applyNumberFormat="1" applyFont="1" applyFill="1" applyBorder="1" applyAlignment="1">
      <alignment horizontal="center" vertical="center" wrapText="1"/>
    </xf>
    <xf numFmtId="3" fontId="4" fillId="0" borderId="21" xfId="4" applyNumberFormat="1" applyFont="1" applyBorder="1" applyAlignment="1">
      <alignment vertical="center" wrapText="1"/>
    </xf>
    <xf numFmtId="14" fontId="4" fillId="0" borderId="39" xfId="4" applyNumberFormat="1" applyFont="1" applyBorder="1" applyAlignment="1">
      <alignment vertical="center" wrapText="1"/>
    </xf>
    <xf numFmtId="9" fontId="4" fillId="0" borderId="39" xfId="2" applyFont="1" applyFill="1" applyBorder="1" applyAlignment="1">
      <alignment vertical="center" wrapText="1"/>
    </xf>
    <xf numFmtId="3" fontId="4" fillId="0" borderId="40" xfId="4" applyNumberFormat="1" applyFont="1" applyBorder="1" applyAlignment="1">
      <alignment horizontal="center" vertical="center" wrapText="1"/>
    </xf>
    <xf numFmtId="170" fontId="4" fillId="0" borderId="0" xfId="2" applyNumberFormat="1" applyFont="1" applyFill="1" applyBorder="1" applyAlignment="1">
      <alignment horizontal="center" vertical="center" wrapText="1"/>
    </xf>
    <xf numFmtId="171" fontId="25" fillId="36" borderId="99" xfId="0" applyNumberFormat="1" applyFont="1" applyFill="1" applyBorder="1" applyAlignment="1">
      <alignment horizontal="right" vertical="center"/>
    </xf>
    <xf numFmtId="10" fontId="4" fillId="0" borderId="40" xfId="2" applyNumberFormat="1" applyFont="1" applyFill="1" applyBorder="1" applyAlignment="1">
      <alignment horizontal="right" vertical="center" wrapText="1"/>
    </xf>
    <xf numFmtId="10" fontId="4" fillId="0" borderId="40" xfId="2" applyNumberFormat="1" applyFont="1" applyFill="1" applyBorder="1" applyAlignment="1">
      <alignment horizontal="center" vertical="center" wrapText="1"/>
    </xf>
    <xf numFmtId="171" fontId="25" fillId="36" borderId="0" xfId="0" applyNumberFormat="1" applyFont="1" applyFill="1" applyAlignment="1">
      <alignment horizontal="right" vertical="center"/>
    </xf>
    <xf numFmtId="171" fontId="23" fillId="36" borderId="99" xfId="0" applyNumberFormat="1" applyFont="1" applyFill="1" applyBorder="1" applyAlignment="1">
      <alignment horizontal="right" vertical="center"/>
    </xf>
    <xf numFmtId="10" fontId="23" fillId="0" borderId="5" xfId="2" applyNumberFormat="1" applyFont="1" applyFill="1" applyBorder="1" applyAlignment="1">
      <alignment vertical="center" wrapText="1"/>
    </xf>
    <xf numFmtId="171" fontId="32" fillId="0" borderId="100" xfId="0" applyNumberFormat="1" applyFont="1" applyBorder="1" applyAlignment="1">
      <alignment horizontal="right" vertical="center"/>
    </xf>
    <xf numFmtId="9" fontId="23" fillId="0" borderId="40" xfId="2" applyFont="1" applyFill="1" applyBorder="1" applyAlignment="1">
      <alignment horizontal="center" vertical="center" wrapText="1"/>
    </xf>
    <xf numFmtId="3" fontId="24" fillId="0" borderId="21" xfId="4" applyNumberFormat="1" applyFont="1" applyBorder="1" applyAlignment="1">
      <alignment vertical="center" wrapText="1"/>
    </xf>
    <xf numFmtId="0" fontId="4" fillId="0" borderId="40" xfId="4" applyFont="1" applyBorder="1" applyAlignment="1">
      <alignment vertical="center" wrapText="1"/>
    </xf>
    <xf numFmtId="3" fontId="23" fillId="25" borderId="12" xfId="4" applyNumberFormat="1" applyFont="1" applyFill="1" applyBorder="1" applyAlignment="1">
      <alignment vertical="center" wrapText="1"/>
    </xf>
    <xf numFmtId="3" fontId="23" fillId="25" borderId="7" xfId="4" applyNumberFormat="1" applyFont="1" applyFill="1" applyBorder="1" applyAlignment="1">
      <alignment vertical="center" wrapText="1"/>
    </xf>
    <xf numFmtId="10" fontId="23" fillId="25" borderId="12" xfId="2" applyNumberFormat="1" applyFont="1" applyFill="1" applyBorder="1" applyAlignment="1">
      <alignment vertical="center" wrapText="1"/>
    </xf>
    <xf numFmtId="9" fontId="23" fillId="25" borderId="12" xfId="2" applyFont="1" applyFill="1" applyBorder="1" applyAlignment="1">
      <alignment horizontal="center" vertical="center" wrapText="1"/>
    </xf>
    <xf numFmtId="3" fontId="24" fillId="25" borderId="15" xfId="4" applyNumberFormat="1" applyFont="1" applyFill="1" applyBorder="1" applyAlignment="1">
      <alignment vertical="center" wrapText="1"/>
    </xf>
    <xf numFmtId="166" fontId="7" fillId="0" borderId="24" xfId="3" applyNumberFormat="1" applyFont="1" applyFill="1" applyBorder="1" applyAlignment="1">
      <alignment vertical="center" wrapText="1"/>
    </xf>
    <xf numFmtId="3" fontId="7" fillId="0" borderId="24" xfId="4" applyNumberFormat="1" applyFont="1" applyBorder="1" applyAlignment="1">
      <alignment vertical="center" wrapText="1"/>
    </xf>
    <xf numFmtId="171" fontId="25" fillId="36" borderId="81" xfId="0" applyNumberFormat="1" applyFont="1" applyFill="1" applyBorder="1" applyAlignment="1">
      <alignment horizontal="right" vertical="center"/>
    </xf>
    <xf numFmtId="171" fontId="6" fillId="0" borderId="73" xfId="0" applyNumberFormat="1" applyFont="1" applyBorder="1" applyAlignment="1">
      <alignment horizontal="right" vertical="center"/>
    </xf>
    <xf numFmtId="0" fontId="4" fillId="0" borderId="43" xfId="4" applyFont="1" applyBorder="1" applyAlignment="1">
      <alignment vertical="center" wrapText="1"/>
    </xf>
    <xf numFmtId="0" fontId="23" fillId="0" borderId="97" xfId="0" applyFont="1" applyBorder="1" applyAlignment="1">
      <alignment horizontal="center" vertical="center" wrapText="1"/>
    </xf>
    <xf numFmtId="10" fontId="4" fillId="0" borderId="39" xfId="2" applyNumberFormat="1" applyFont="1" applyFill="1" applyBorder="1" applyAlignment="1">
      <alignment vertical="center" wrapText="1"/>
    </xf>
    <xf numFmtId="9" fontId="32" fillId="4" borderId="5" xfId="0" applyNumberFormat="1" applyFont="1" applyFill="1" applyBorder="1" applyAlignment="1">
      <alignment horizontal="center" vertical="center" wrapText="1"/>
    </xf>
    <xf numFmtId="171" fontId="25" fillId="37" borderId="6" xfId="0" applyNumberFormat="1" applyFont="1" applyFill="1" applyBorder="1" applyAlignment="1">
      <alignment horizontal="right" vertical="center"/>
    </xf>
    <xf numFmtId="171" fontId="25" fillId="36" borderId="87" xfId="0" applyNumberFormat="1" applyFont="1" applyFill="1" applyBorder="1" applyAlignment="1">
      <alignment horizontal="right" vertical="center"/>
    </xf>
    <xf numFmtId="10" fontId="4" fillId="0" borderId="5" xfId="2" applyNumberFormat="1" applyFont="1" applyFill="1" applyBorder="1" applyAlignment="1">
      <alignment vertical="center" wrapText="1"/>
    </xf>
    <xf numFmtId="171" fontId="6" fillId="0" borderId="100" xfId="0" applyNumberFormat="1" applyFont="1" applyBorder="1" applyAlignment="1">
      <alignment horizontal="right" vertical="center"/>
    </xf>
    <xf numFmtId="170" fontId="4" fillId="68" borderId="14" xfId="2" applyNumberFormat="1" applyFont="1" applyFill="1" applyBorder="1" applyAlignment="1">
      <alignment horizontal="center" vertical="center" wrapText="1"/>
    </xf>
    <xf numFmtId="4" fontId="4" fillId="25" borderId="7" xfId="4" applyNumberFormat="1" applyFont="1" applyFill="1" applyBorder="1" applyAlignment="1">
      <alignment vertical="center" wrapText="1"/>
    </xf>
    <xf numFmtId="4" fontId="7" fillId="25" borderId="7" xfId="4" applyNumberFormat="1" applyFont="1" applyFill="1" applyBorder="1" applyAlignment="1">
      <alignment vertical="center" wrapText="1"/>
    </xf>
    <xf numFmtId="4" fontId="4" fillId="25" borderId="12" xfId="4" applyNumberFormat="1" applyFont="1" applyFill="1" applyBorder="1" applyAlignment="1">
      <alignment vertical="center" wrapText="1"/>
    </xf>
    <xf numFmtId="3" fontId="4" fillId="4" borderId="43" xfId="4" applyNumberFormat="1" applyFont="1" applyFill="1" applyBorder="1" applyAlignment="1">
      <alignment horizontal="center" vertical="center" wrapText="1"/>
    </xf>
    <xf numFmtId="172" fontId="25" fillId="36" borderId="75" xfId="0" applyNumberFormat="1" applyFont="1" applyFill="1" applyBorder="1" applyAlignment="1">
      <alignment horizontal="right" vertical="center"/>
    </xf>
    <xf numFmtId="172" fontId="25" fillId="36" borderId="81" xfId="0" applyNumberFormat="1" applyFont="1" applyFill="1" applyBorder="1" applyAlignment="1">
      <alignment horizontal="right" vertical="center"/>
    </xf>
    <xf numFmtId="172" fontId="25" fillId="36" borderId="70" xfId="0" applyNumberFormat="1" applyFont="1" applyFill="1" applyBorder="1" applyAlignment="1">
      <alignment horizontal="right" vertical="center"/>
    </xf>
    <xf numFmtId="171" fontId="25" fillId="36" borderId="70" xfId="0" applyNumberFormat="1" applyFont="1" applyFill="1" applyBorder="1" applyAlignment="1">
      <alignment horizontal="right" vertical="center"/>
    </xf>
    <xf numFmtId="172" fontId="25" fillId="36" borderId="99" xfId="0" applyNumberFormat="1" applyFont="1" applyFill="1" applyBorder="1" applyAlignment="1">
      <alignment horizontal="right" vertical="center"/>
    </xf>
    <xf numFmtId="0" fontId="7" fillId="21" borderId="12" xfId="0" applyFont="1" applyFill="1" applyBorder="1" applyAlignment="1">
      <alignment vertical="center" wrapText="1"/>
    </xf>
    <xf numFmtId="3" fontId="7" fillId="24" borderId="15" xfId="4" applyNumberFormat="1" applyFont="1" applyFill="1" applyBorder="1" applyAlignment="1">
      <alignment vertical="center" wrapText="1"/>
    </xf>
    <xf numFmtId="1" fontId="7" fillId="24" borderId="15" xfId="4" applyNumberFormat="1" applyFont="1" applyFill="1" applyBorder="1" applyAlignment="1">
      <alignment horizontal="center" vertical="center" wrapText="1"/>
    </xf>
    <xf numFmtId="10" fontId="7" fillId="24" borderId="12" xfId="2" applyNumberFormat="1" applyFont="1" applyFill="1" applyBorder="1" applyAlignment="1">
      <alignment horizontal="center" vertical="center" wrapText="1"/>
    </xf>
    <xf numFmtId="3" fontId="7" fillId="24" borderId="12" xfId="4" applyNumberFormat="1" applyFont="1" applyFill="1" applyBorder="1" applyAlignment="1">
      <alignment vertical="center" wrapText="1"/>
    </xf>
    <xf numFmtId="1" fontId="7" fillId="24" borderId="14" xfId="4" applyNumberFormat="1" applyFont="1" applyFill="1" applyBorder="1" applyAlignment="1">
      <alignment vertical="center" wrapText="1"/>
    </xf>
    <xf numFmtId="3" fontId="7" fillId="24" borderId="14" xfId="4" applyNumberFormat="1" applyFont="1" applyFill="1" applyBorder="1" applyAlignment="1">
      <alignment vertical="center" wrapText="1"/>
    </xf>
    <xf numFmtId="14" fontId="7" fillId="24" borderId="14" xfId="4" applyNumberFormat="1" applyFont="1" applyFill="1" applyBorder="1" applyAlignment="1">
      <alignment vertical="center" wrapText="1"/>
    </xf>
    <xf numFmtId="9" fontId="7" fillId="24" borderId="14" xfId="2" applyFont="1" applyFill="1" applyBorder="1" applyAlignment="1">
      <alignment vertical="center" wrapText="1"/>
    </xf>
    <xf numFmtId="3" fontId="7" fillId="24" borderId="14" xfId="4" applyNumberFormat="1" applyFont="1" applyFill="1" applyBorder="1" applyAlignment="1">
      <alignment horizontal="center" vertical="center" wrapText="1"/>
    </xf>
    <xf numFmtId="3" fontId="7" fillId="24" borderId="12" xfId="4" applyNumberFormat="1" applyFont="1" applyFill="1" applyBorder="1" applyAlignment="1">
      <alignment horizontal="center" vertical="center" wrapText="1"/>
    </xf>
    <xf numFmtId="170" fontId="7" fillId="24" borderId="14" xfId="2" applyNumberFormat="1" applyFont="1" applyFill="1" applyBorder="1" applyAlignment="1">
      <alignment horizontal="center" vertical="center" wrapText="1"/>
    </xf>
    <xf numFmtId="9" fontId="7" fillId="24" borderId="12" xfId="2" applyFont="1" applyFill="1" applyBorder="1" applyAlignment="1">
      <alignment horizontal="center" vertical="center" wrapText="1"/>
    </xf>
    <xf numFmtId="3" fontId="7" fillId="24" borderId="7" xfId="4" applyNumberFormat="1" applyFont="1" applyFill="1" applyBorder="1" applyAlignment="1">
      <alignment vertical="center" wrapText="1"/>
    </xf>
    <xf numFmtId="10" fontId="7" fillId="24" borderId="12" xfId="2" applyNumberFormat="1" applyFont="1" applyFill="1" applyBorder="1" applyAlignment="1">
      <alignment horizontal="right" vertical="center" wrapText="1"/>
    </xf>
    <xf numFmtId="10" fontId="7" fillId="24" borderId="12" xfId="2" applyNumberFormat="1" applyFont="1" applyFill="1" applyBorder="1" applyAlignment="1">
      <alignment vertical="center" wrapText="1"/>
    </xf>
    <xf numFmtId="3" fontId="24" fillId="24" borderId="7" xfId="4" applyNumberFormat="1" applyFont="1" applyFill="1" applyBorder="1" applyAlignment="1">
      <alignment vertical="center" wrapText="1"/>
    </xf>
    <xf numFmtId="0" fontId="7" fillId="24" borderId="12" xfId="4" applyFont="1" applyFill="1" applyBorder="1" applyAlignment="1">
      <alignment vertical="center" wrapText="1"/>
    </xf>
    <xf numFmtId="9" fontId="4" fillId="0" borderId="24" xfId="2" applyFont="1" applyFill="1" applyBorder="1" applyAlignment="1">
      <alignment horizontal="center" vertical="center" wrapText="1"/>
    </xf>
    <xf numFmtId="3" fontId="4" fillId="4" borderId="24" xfId="4" applyNumberFormat="1" applyFont="1" applyFill="1" applyBorder="1" applyAlignment="1">
      <alignment vertical="center" wrapText="1"/>
    </xf>
    <xf numFmtId="0" fontId="7" fillId="4" borderId="35" xfId="4" applyFont="1" applyFill="1" applyBorder="1" applyAlignment="1">
      <alignment horizontal="center" vertical="center" wrapText="1"/>
    </xf>
    <xf numFmtId="0" fontId="4" fillId="4" borderId="43" xfId="4" applyFont="1" applyFill="1" applyBorder="1" applyAlignment="1">
      <alignment horizontal="center" vertical="center" wrapText="1"/>
    </xf>
    <xf numFmtId="3" fontId="4" fillId="4" borderId="35" xfId="4" applyNumberFormat="1" applyFont="1" applyFill="1" applyBorder="1" applyAlignment="1">
      <alignment vertical="center" wrapText="1"/>
    </xf>
    <xf numFmtId="14" fontId="4" fillId="4" borderId="35" xfId="4" applyNumberFormat="1" applyFont="1" applyFill="1" applyBorder="1" applyAlignment="1">
      <alignment vertical="center" wrapText="1"/>
    </xf>
    <xf numFmtId="10" fontId="4" fillId="4" borderId="43" xfId="2" applyNumberFormat="1" applyFont="1" applyFill="1" applyBorder="1" applyAlignment="1">
      <alignment vertical="center" wrapText="1"/>
    </xf>
    <xf numFmtId="9" fontId="4" fillId="4" borderId="43" xfId="2" applyFont="1" applyFill="1" applyBorder="1" applyAlignment="1">
      <alignment horizontal="center" vertical="center" wrapText="1"/>
    </xf>
    <xf numFmtId="171" fontId="25" fillId="36" borderId="101" xfId="0" applyNumberFormat="1" applyFont="1" applyFill="1" applyBorder="1" applyAlignment="1">
      <alignment horizontal="right" vertical="center"/>
    </xf>
    <xf numFmtId="10" fontId="4" fillId="4" borderId="37" xfId="2" applyNumberFormat="1" applyFont="1" applyFill="1" applyBorder="1" applyAlignment="1">
      <alignment vertical="center" wrapText="1"/>
    </xf>
    <xf numFmtId="0" fontId="39" fillId="37" borderId="0" xfId="0" applyFont="1" applyFill="1" applyAlignment="1">
      <alignment horizontal="center" vertical="center" wrapText="1"/>
    </xf>
    <xf numFmtId="171" fontId="25" fillId="37" borderId="76" xfId="0" applyNumberFormat="1" applyFont="1" applyFill="1" applyBorder="1" applyAlignment="1">
      <alignment horizontal="right" vertical="center"/>
    </xf>
    <xf numFmtId="171" fontId="25" fillId="37" borderId="5" xfId="0" applyNumberFormat="1" applyFont="1" applyFill="1" applyBorder="1" applyAlignment="1">
      <alignment horizontal="right" vertical="center"/>
    </xf>
    <xf numFmtId="171" fontId="58" fillId="0" borderId="100" xfId="0" applyNumberFormat="1" applyFont="1" applyBorder="1" applyAlignment="1">
      <alignment vertical="center"/>
    </xf>
    <xf numFmtId="0" fontId="6" fillId="37" borderId="97" xfId="0" applyFont="1" applyFill="1" applyBorder="1" applyAlignment="1">
      <alignment horizontal="center" vertical="center" wrapText="1"/>
    </xf>
    <xf numFmtId="1" fontId="4" fillId="25" borderId="14" xfId="4" applyNumberFormat="1" applyFont="1" applyFill="1" applyBorder="1" applyAlignment="1">
      <alignment vertical="center" wrapText="1"/>
    </xf>
    <xf numFmtId="14" fontId="4" fillId="25" borderId="14" xfId="4" applyNumberFormat="1" applyFont="1" applyFill="1" applyBorder="1" applyAlignment="1">
      <alignment vertical="center" wrapText="1"/>
    </xf>
    <xf numFmtId="9" fontId="4" fillId="25" borderId="14" xfId="2" applyFont="1" applyFill="1" applyBorder="1" applyAlignment="1">
      <alignment vertical="center" wrapText="1"/>
    </xf>
    <xf numFmtId="3" fontId="4" fillId="68" borderId="12" xfId="4" applyNumberFormat="1" applyFont="1" applyFill="1" applyBorder="1" applyAlignment="1">
      <alignment vertical="center" wrapText="1"/>
    </xf>
    <xf numFmtId="9" fontId="4" fillId="68" borderId="12" xfId="2" applyFont="1" applyFill="1" applyBorder="1" applyAlignment="1">
      <alignment horizontal="center" vertical="center" wrapText="1"/>
    </xf>
    <xf numFmtId="9" fontId="4" fillId="0" borderId="35" xfId="2" applyFont="1" applyFill="1" applyBorder="1" applyAlignment="1">
      <alignment vertical="center" wrapText="1"/>
    </xf>
    <xf numFmtId="170" fontId="4" fillId="4" borderId="24" xfId="2" applyNumberFormat="1" applyFont="1" applyFill="1" applyBorder="1" applyAlignment="1">
      <alignment horizontal="center" vertical="center" wrapText="1"/>
    </xf>
    <xf numFmtId="9" fontId="39" fillId="38" borderId="81" xfId="0" applyNumberFormat="1" applyFont="1" applyFill="1" applyBorder="1" applyAlignment="1">
      <alignment horizontal="center" vertical="center" wrapText="1"/>
    </xf>
    <xf numFmtId="10" fontId="4" fillId="4" borderId="43" xfId="2" applyNumberFormat="1" applyFont="1" applyFill="1" applyBorder="1" applyAlignment="1">
      <alignment horizontal="right" vertical="center" wrapText="1"/>
    </xf>
    <xf numFmtId="10" fontId="4" fillId="4" borderId="43" xfId="2" applyNumberFormat="1" applyFont="1" applyFill="1" applyBorder="1" applyAlignment="1">
      <alignment horizontal="center" vertical="center" wrapText="1"/>
    </xf>
    <xf numFmtId="3" fontId="7" fillId="4" borderId="24" xfId="4" applyNumberFormat="1" applyFont="1" applyFill="1" applyBorder="1" applyAlignment="1">
      <alignment vertical="center" wrapText="1"/>
    </xf>
    <xf numFmtId="171" fontId="32" fillId="4" borderId="73" xfId="0" applyNumberFormat="1" applyFont="1" applyFill="1" applyBorder="1" applyAlignment="1">
      <alignment horizontal="right" vertical="center"/>
    </xf>
    <xf numFmtId="171" fontId="6" fillId="4" borderId="73" xfId="0" applyNumberFormat="1" applyFont="1" applyFill="1" applyBorder="1" applyAlignment="1">
      <alignment horizontal="right" vertical="center"/>
    </xf>
    <xf numFmtId="3" fontId="7" fillId="4" borderId="35" xfId="4" applyNumberFormat="1" applyFont="1" applyFill="1" applyBorder="1" applyAlignment="1">
      <alignment vertical="center" wrapText="1"/>
    </xf>
    <xf numFmtId="0" fontId="39" fillId="39" borderId="74" xfId="0" applyFont="1" applyFill="1" applyBorder="1" applyAlignment="1">
      <alignment horizontal="center" vertical="center" wrapText="1"/>
    </xf>
    <xf numFmtId="0" fontId="39" fillId="38" borderId="98" xfId="0" applyFont="1" applyFill="1" applyBorder="1" applyAlignment="1">
      <alignment horizontal="center" vertical="center"/>
    </xf>
    <xf numFmtId="10" fontId="4" fillId="4" borderId="38" xfId="2" applyNumberFormat="1" applyFont="1" applyFill="1" applyBorder="1" applyAlignment="1">
      <alignment horizontal="right" vertical="center" wrapText="1"/>
    </xf>
    <xf numFmtId="10" fontId="4" fillId="4" borderId="38" xfId="2" applyNumberFormat="1" applyFont="1" applyFill="1" applyBorder="1" applyAlignment="1">
      <alignment horizontal="center" vertical="center" wrapText="1"/>
    </xf>
    <xf numFmtId="3" fontId="7" fillId="4" borderId="18" xfId="4" applyNumberFormat="1" applyFont="1" applyFill="1" applyBorder="1" applyAlignment="1">
      <alignment vertical="center" wrapText="1"/>
    </xf>
    <xf numFmtId="171" fontId="32" fillId="4" borderId="69" xfId="0" applyNumberFormat="1" applyFont="1" applyFill="1" applyBorder="1" applyAlignment="1">
      <alignment horizontal="right" vertical="center"/>
    </xf>
    <xf numFmtId="171" fontId="6" fillId="4" borderId="69" xfId="0" applyNumberFormat="1" applyFont="1" applyFill="1" applyBorder="1" applyAlignment="1">
      <alignment horizontal="right" vertical="center"/>
    </xf>
    <xf numFmtId="3" fontId="7" fillId="4" borderId="37" xfId="4" applyNumberFormat="1" applyFont="1" applyFill="1" applyBorder="1" applyAlignment="1">
      <alignment vertical="center" wrapText="1"/>
    </xf>
    <xf numFmtId="171" fontId="25" fillId="38" borderId="79" xfId="0" applyNumberFormat="1" applyFont="1" applyFill="1" applyBorder="1" applyAlignment="1">
      <alignment horizontal="right" vertical="center"/>
    </xf>
    <xf numFmtId="3" fontId="4" fillId="4" borderId="37" xfId="4" applyNumberFormat="1" applyFont="1" applyFill="1" applyBorder="1" applyAlignment="1">
      <alignment horizontal="center" vertical="center" wrapText="1"/>
    </xf>
    <xf numFmtId="171" fontId="25" fillId="38" borderId="38" xfId="0" applyNumberFormat="1" applyFont="1" applyFill="1" applyBorder="1" applyAlignment="1">
      <alignment horizontal="right" vertical="center"/>
    </xf>
    <xf numFmtId="0" fontId="6" fillId="38" borderId="97" xfId="0" applyFont="1" applyFill="1" applyBorder="1" applyAlignment="1">
      <alignment horizontal="center" vertical="center" wrapText="1"/>
    </xf>
    <xf numFmtId="171" fontId="25" fillId="4" borderId="80" xfId="0" applyNumberFormat="1" applyFont="1" applyFill="1" applyBorder="1" applyAlignment="1">
      <alignment horizontal="right" vertical="center"/>
    </xf>
    <xf numFmtId="171" fontId="25" fillId="38" borderId="5" xfId="0" applyNumberFormat="1" applyFont="1" applyFill="1" applyBorder="1" applyAlignment="1">
      <alignment horizontal="right" vertical="center"/>
    </xf>
    <xf numFmtId="0" fontId="39" fillId="38" borderId="5" xfId="0" applyFont="1" applyFill="1" applyBorder="1" applyAlignment="1">
      <alignment vertical="center" wrapText="1"/>
    </xf>
    <xf numFmtId="0" fontId="32" fillId="38" borderId="97" xfId="0" applyFont="1" applyFill="1" applyBorder="1" applyAlignment="1">
      <alignment horizontal="center" vertical="center" wrapText="1"/>
    </xf>
    <xf numFmtId="0" fontId="39" fillId="38" borderId="102" xfId="0" applyFont="1" applyFill="1" applyBorder="1" applyAlignment="1">
      <alignment horizontal="center" vertical="center"/>
    </xf>
    <xf numFmtId="3" fontId="4" fillId="4" borderId="39" xfId="4" applyNumberFormat="1" applyFont="1" applyFill="1" applyBorder="1" applyAlignment="1">
      <alignment horizontal="center" vertical="center" wrapText="1"/>
    </xf>
    <xf numFmtId="3" fontId="4" fillId="4" borderId="40" xfId="4" applyNumberFormat="1" applyFont="1" applyFill="1" applyBorder="1" applyAlignment="1">
      <alignment horizontal="center" vertical="center" wrapText="1"/>
    </xf>
    <xf numFmtId="170" fontId="4" fillId="4" borderId="0" xfId="2" applyNumberFormat="1" applyFont="1" applyFill="1" applyBorder="1" applyAlignment="1">
      <alignment horizontal="center" vertical="center" wrapText="1"/>
    </xf>
    <xf numFmtId="9" fontId="39" fillId="38" borderId="5" xfId="0" applyNumberFormat="1" applyFont="1" applyFill="1" applyBorder="1" applyAlignment="1">
      <alignment horizontal="center" vertical="center" wrapText="1"/>
    </xf>
    <xf numFmtId="10" fontId="4" fillId="4" borderId="40" xfId="2" applyNumberFormat="1" applyFont="1" applyFill="1" applyBorder="1" applyAlignment="1">
      <alignment horizontal="right" vertical="center" wrapText="1"/>
    </xf>
    <xf numFmtId="10" fontId="4" fillId="4" borderId="40" xfId="2" applyNumberFormat="1" applyFont="1" applyFill="1" applyBorder="1" applyAlignment="1">
      <alignment horizontal="center" vertical="center" wrapText="1"/>
    </xf>
    <xf numFmtId="3" fontId="7" fillId="4" borderId="21" xfId="4" applyNumberFormat="1" applyFont="1" applyFill="1" applyBorder="1" applyAlignment="1">
      <alignment vertical="center" wrapText="1"/>
    </xf>
    <xf numFmtId="10" fontId="4" fillId="4" borderId="5" xfId="2" applyNumberFormat="1" applyFont="1" applyFill="1" applyBorder="1" applyAlignment="1">
      <alignment vertical="center" wrapText="1"/>
    </xf>
    <xf numFmtId="171" fontId="32" fillId="4" borderId="100" xfId="0" applyNumberFormat="1" applyFont="1" applyFill="1" applyBorder="1" applyAlignment="1">
      <alignment horizontal="right" vertical="center"/>
    </xf>
    <xf numFmtId="171" fontId="6" fillId="4" borderId="100" xfId="0" applyNumberFormat="1" applyFont="1" applyFill="1" applyBorder="1" applyAlignment="1">
      <alignment horizontal="right" vertical="center"/>
    </xf>
    <xf numFmtId="9" fontId="4" fillId="4" borderId="40" xfId="2" applyFont="1" applyFill="1" applyBorder="1" applyAlignment="1">
      <alignment horizontal="center" vertical="center" wrapText="1"/>
    </xf>
    <xf numFmtId="3" fontId="7" fillId="4" borderId="39" xfId="4" applyNumberFormat="1" applyFont="1" applyFill="1" applyBorder="1" applyAlignment="1">
      <alignment vertical="center" wrapText="1"/>
    </xf>
    <xf numFmtId="3" fontId="4" fillId="4" borderId="40" xfId="4" applyNumberFormat="1" applyFont="1" applyFill="1" applyBorder="1" applyAlignment="1">
      <alignment vertical="center" wrapText="1"/>
    </xf>
    <xf numFmtId="3" fontId="4" fillId="68" borderId="12" xfId="4" applyNumberFormat="1" applyFont="1" applyFill="1" applyBorder="1" applyAlignment="1">
      <alignment horizontal="center" vertical="center" wrapText="1"/>
    </xf>
    <xf numFmtId="3" fontId="4" fillId="68" borderId="7" xfId="4" applyNumberFormat="1" applyFont="1" applyFill="1" applyBorder="1" applyAlignment="1">
      <alignment vertical="center" wrapText="1"/>
    </xf>
    <xf numFmtId="10" fontId="4" fillId="68" borderId="12" xfId="2" applyNumberFormat="1" applyFont="1" applyFill="1" applyBorder="1" applyAlignment="1">
      <alignment horizontal="right" vertical="center" wrapText="1"/>
    </xf>
    <xf numFmtId="9" fontId="7" fillId="68" borderId="12" xfId="2" applyFont="1" applyFill="1" applyBorder="1" applyAlignment="1">
      <alignment horizontal="center" vertical="center" wrapText="1"/>
    </xf>
    <xf numFmtId="3" fontId="7" fillId="68" borderId="15" xfId="4" applyNumberFormat="1" applyFont="1" applyFill="1" applyBorder="1" applyAlignment="1">
      <alignment vertical="center" wrapText="1"/>
    </xf>
    <xf numFmtId="10" fontId="4" fillId="68" borderId="7" xfId="2" applyNumberFormat="1" applyFont="1" applyFill="1" applyBorder="1" applyAlignment="1">
      <alignment vertical="center" wrapText="1"/>
    </xf>
    <xf numFmtId="3" fontId="23" fillId="68" borderId="7" xfId="4" applyNumberFormat="1" applyFont="1" applyFill="1" applyBorder="1" applyAlignment="1">
      <alignment vertical="center" wrapText="1"/>
    </xf>
    <xf numFmtId="10" fontId="4" fillId="68" borderId="12" xfId="2" applyNumberFormat="1" applyFont="1" applyFill="1" applyBorder="1" applyAlignment="1">
      <alignment horizontal="center" vertical="center" wrapText="1"/>
    </xf>
    <xf numFmtId="0" fontId="23" fillId="0" borderId="103" xfId="0" applyFont="1" applyBorder="1" applyAlignment="1">
      <alignment horizontal="center" vertical="center"/>
    </xf>
    <xf numFmtId="9" fontId="4" fillId="4" borderId="35" xfId="2" applyFont="1" applyFill="1" applyBorder="1" applyAlignment="1">
      <alignment vertical="center" wrapText="1"/>
    </xf>
    <xf numFmtId="3" fontId="4" fillId="4" borderId="35" xfId="4" applyNumberFormat="1" applyFont="1" applyFill="1" applyBorder="1" applyAlignment="1">
      <alignment horizontal="center" vertical="center" wrapText="1"/>
    </xf>
    <xf numFmtId="9" fontId="39" fillId="37" borderId="81" xfId="0" applyNumberFormat="1" applyFont="1" applyFill="1" applyBorder="1" applyAlignment="1">
      <alignment horizontal="center" vertical="center" wrapText="1"/>
    </xf>
    <xf numFmtId="171" fontId="58" fillId="4" borderId="73" xfId="0" applyNumberFormat="1" applyFont="1" applyFill="1" applyBorder="1" applyAlignment="1">
      <alignment vertical="center"/>
    </xf>
    <xf numFmtId="171" fontId="34" fillId="4" borderId="73" xfId="0" applyNumberFormat="1" applyFont="1" applyFill="1" applyBorder="1" applyAlignment="1">
      <alignment vertical="center"/>
    </xf>
    <xf numFmtId="0" fontId="32" fillId="37" borderId="74" xfId="0" applyFont="1" applyFill="1" applyBorder="1" applyAlignment="1">
      <alignment horizontal="center" vertical="center" wrapText="1"/>
    </xf>
    <xf numFmtId="0" fontId="23" fillId="0" borderId="98" xfId="0" applyFont="1" applyBorder="1" applyAlignment="1">
      <alignment horizontal="center" vertical="center"/>
    </xf>
    <xf numFmtId="9" fontId="39" fillId="37" borderId="5" xfId="0" applyNumberFormat="1" applyFont="1" applyFill="1" applyBorder="1" applyAlignment="1">
      <alignment horizontal="center" vertical="center" wrapText="1"/>
    </xf>
    <xf numFmtId="171" fontId="25" fillId="55" borderId="88" xfId="0" applyNumberFormat="1" applyFont="1" applyFill="1" applyBorder="1" applyAlignment="1">
      <alignment vertical="center"/>
    </xf>
    <xf numFmtId="171" fontId="25" fillId="36" borderId="79" xfId="0" applyNumberFormat="1" applyFont="1" applyFill="1" applyBorder="1" applyAlignment="1">
      <alignment horizontal="right" vertical="center"/>
    </xf>
    <xf numFmtId="171" fontId="34" fillId="4" borderId="69" xfId="0" applyNumberFormat="1" applyFont="1" applyFill="1" applyBorder="1" applyAlignment="1">
      <alignment vertical="center"/>
    </xf>
    <xf numFmtId="0" fontId="39" fillId="37" borderId="87" xfId="0" applyFont="1" applyFill="1" applyBorder="1" applyAlignment="1">
      <alignment vertical="center" wrapText="1"/>
    </xf>
    <xf numFmtId="0" fontId="23" fillId="0" borderId="102" xfId="0" applyFont="1" applyBorder="1" applyAlignment="1">
      <alignment horizontal="center" vertical="center"/>
    </xf>
    <xf numFmtId="9" fontId="39" fillId="37" borderId="87" xfId="0" applyNumberFormat="1" applyFont="1" applyFill="1" applyBorder="1" applyAlignment="1">
      <alignment horizontal="center" vertical="center" wrapText="1"/>
    </xf>
    <xf numFmtId="171" fontId="25" fillId="55" borderId="90" xfId="0" applyNumberFormat="1" applyFont="1" applyFill="1" applyBorder="1" applyAlignment="1">
      <alignment vertical="center"/>
    </xf>
    <xf numFmtId="171" fontId="25" fillId="36" borderId="68" xfId="0" applyNumberFormat="1" applyFont="1" applyFill="1" applyBorder="1" applyAlignment="1">
      <alignment horizontal="right" vertical="center"/>
    </xf>
    <xf numFmtId="171" fontId="25" fillId="0" borderId="6" xfId="0" applyNumberFormat="1" applyFont="1" applyBorder="1" applyAlignment="1">
      <alignment horizontal="right" vertical="center"/>
    </xf>
    <xf numFmtId="171" fontId="25" fillId="36" borderId="40" xfId="0" applyNumberFormat="1" applyFont="1" applyFill="1" applyBorder="1" applyAlignment="1">
      <alignment horizontal="right" vertical="center"/>
    </xf>
    <xf numFmtId="171" fontId="34" fillId="0" borderId="100" xfId="0" applyNumberFormat="1" applyFont="1" applyBorder="1" applyAlignment="1">
      <alignment vertical="center"/>
    </xf>
    <xf numFmtId="170" fontId="7" fillId="23" borderId="14" xfId="2" applyNumberFormat="1" applyFont="1" applyFill="1" applyBorder="1" applyAlignment="1">
      <alignment horizontal="center" vertical="center" wrapText="1"/>
    </xf>
    <xf numFmtId="185" fontId="7" fillId="24" borderId="7" xfId="4" applyNumberFormat="1" applyFont="1" applyFill="1" applyBorder="1" applyAlignment="1">
      <alignment vertical="center" wrapText="1"/>
    </xf>
    <xf numFmtId="185" fontId="4" fillId="68" borderId="7" xfId="4" applyNumberFormat="1" applyFont="1" applyFill="1" applyBorder="1" applyAlignment="1">
      <alignment vertical="center" wrapText="1"/>
    </xf>
    <xf numFmtId="10" fontId="4" fillId="68" borderId="12" xfId="2" applyNumberFormat="1" applyFont="1" applyFill="1" applyBorder="1" applyAlignment="1">
      <alignment vertical="center" wrapText="1"/>
    </xf>
    <xf numFmtId="0" fontId="39" fillId="36" borderId="103" xfId="0" applyFont="1" applyFill="1" applyBorder="1" applyAlignment="1">
      <alignment horizontal="center" vertical="center"/>
    </xf>
    <xf numFmtId="0" fontId="4" fillId="0" borderId="5" xfId="4" applyFont="1" applyBorder="1" applyAlignment="1">
      <alignment vertical="center" wrapText="1"/>
    </xf>
    <xf numFmtId="0" fontId="32" fillId="36" borderId="74" xfId="0" applyFont="1" applyFill="1" applyBorder="1" applyAlignment="1">
      <alignment horizontal="center" vertical="center" wrapText="1"/>
    </xf>
    <xf numFmtId="0" fontId="39" fillId="36" borderId="98" xfId="0" applyFont="1" applyFill="1" applyBorder="1" applyAlignment="1">
      <alignment horizontal="center" vertical="center"/>
    </xf>
    <xf numFmtId="9" fontId="32" fillId="4" borderId="38" xfId="0" applyNumberFormat="1" applyFont="1" applyFill="1" applyBorder="1" applyAlignment="1">
      <alignment horizontal="center" vertical="center" wrapText="1"/>
    </xf>
    <xf numFmtId="0" fontId="32" fillId="36" borderId="71" xfId="0" applyFont="1" applyFill="1" applyBorder="1" applyAlignment="1">
      <alignment horizontal="center" vertical="center" wrapText="1"/>
    </xf>
    <xf numFmtId="0" fontId="39" fillId="71" borderId="98" xfId="0" applyFont="1" applyFill="1" applyBorder="1" applyAlignment="1">
      <alignment horizontal="center" vertical="center"/>
    </xf>
    <xf numFmtId="0" fontId="39" fillId="36" borderId="77" xfId="0" applyFont="1" applyFill="1" applyBorder="1" applyAlignment="1">
      <alignment horizontal="center" vertical="center"/>
    </xf>
    <xf numFmtId="0" fontId="39" fillId="36" borderId="102" xfId="0" applyFont="1" applyFill="1" applyBorder="1" applyAlignment="1">
      <alignment horizontal="center" vertical="center"/>
    </xf>
    <xf numFmtId="9" fontId="32" fillId="4" borderId="40" xfId="0" applyNumberFormat="1" applyFont="1" applyFill="1" applyBorder="1" applyAlignment="1">
      <alignment horizontal="center" vertical="center" wrapText="1"/>
    </xf>
    <xf numFmtId="186" fontId="25" fillId="36" borderId="99" xfId="0" applyNumberFormat="1" applyFont="1" applyFill="1" applyBorder="1" applyAlignment="1">
      <alignment horizontal="right" vertical="center"/>
    </xf>
    <xf numFmtId="3" fontId="4" fillId="63" borderId="15" xfId="4" applyNumberFormat="1" applyFont="1" applyFill="1" applyBorder="1" applyAlignment="1">
      <alignment vertical="center" wrapText="1"/>
    </xf>
    <xf numFmtId="1" fontId="4" fillId="63" borderId="12" xfId="4" applyNumberFormat="1" applyFont="1" applyFill="1" applyBorder="1" applyAlignment="1">
      <alignment horizontal="center" vertical="center" wrapText="1"/>
    </xf>
    <xf numFmtId="1" fontId="4" fillId="63" borderId="15" xfId="4" applyNumberFormat="1" applyFont="1" applyFill="1" applyBorder="1" applyAlignment="1">
      <alignment horizontal="center" vertical="center" wrapText="1"/>
    </xf>
    <xf numFmtId="3" fontId="4" fillId="63" borderId="12" xfId="4" applyNumberFormat="1" applyFont="1" applyFill="1" applyBorder="1" applyAlignment="1">
      <alignment vertical="center" wrapText="1"/>
    </xf>
    <xf numFmtId="3" fontId="4" fillId="67" borderId="15" xfId="4" applyNumberFormat="1" applyFont="1" applyFill="1" applyBorder="1" applyAlignment="1">
      <alignment vertical="center" wrapText="1"/>
    </xf>
    <xf numFmtId="0" fontId="7" fillId="67" borderId="14" xfId="4" applyFont="1" applyFill="1" applyBorder="1" applyAlignment="1">
      <alignment horizontal="center" vertical="center" wrapText="1"/>
    </xf>
    <xf numFmtId="0" fontId="7" fillId="67" borderId="12" xfId="4" applyFont="1" applyFill="1" applyBorder="1" applyAlignment="1">
      <alignment horizontal="center" vertical="center" wrapText="1"/>
    </xf>
    <xf numFmtId="3" fontId="4" fillId="67" borderId="14" xfId="4" applyNumberFormat="1" applyFont="1" applyFill="1" applyBorder="1" applyAlignment="1">
      <alignment vertical="center" wrapText="1"/>
    </xf>
    <xf numFmtId="3" fontId="4" fillId="63" borderId="14" xfId="4" applyNumberFormat="1" applyFont="1" applyFill="1" applyBorder="1" applyAlignment="1">
      <alignment horizontal="center" vertical="center" wrapText="1"/>
    </xf>
    <xf numFmtId="3" fontId="4" fillId="63" borderId="12" xfId="4" applyNumberFormat="1" applyFont="1" applyFill="1" applyBorder="1" applyAlignment="1">
      <alignment horizontal="center" vertical="center" wrapText="1"/>
    </xf>
    <xf numFmtId="10" fontId="4" fillId="63" borderId="12" xfId="2" applyNumberFormat="1" applyFont="1" applyFill="1" applyBorder="1" applyAlignment="1">
      <alignment vertical="center" wrapText="1"/>
    </xf>
    <xf numFmtId="0" fontId="4" fillId="63" borderId="12" xfId="4" applyFont="1" applyFill="1" applyBorder="1" applyAlignment="1">
      <alignment vertical="center" wrapText="1"/>
    </xf>
    <xf numFmtId="0" fontId="4" fillId="63" borderId="0" xfId="4" applyFont="1" applyFill="1" applyAlignment="1">
      <alignment vertical="center" wrapText="1"/>
    </xf>
    <xf numFmtId="170" fontId="7" fillId="24" borderId="12" xfId="2" applyNumberFormat="1" applyFont="1" applyFill="1" applyBorder="1" applyAlignment="1">
      <alignment horizontal="center" vertical="center" wrapText="1"/>
    </xf>
    <xf numFmtId="9" fontId="4" fillId="25" borderId="14" xfId="2" applyFont="1" applyFill="1" applyBorder="1" applyAlignment="1">
      <alignment horizontal="center" vertical="center" wrapText="1"/>
    </xf>
    <xf numFmtId="9" fontId="7" fillId="25" borderId="12" xfId="2" applyFont="1" applyFill="1" applyBorder="1" applyAlignment="1">
      <alignment horizontal="center" vertical="center" wrapText="1"/>
    </xf>
    <xf numFmtId="0" fontId="6" fillId="40" borderId="74" xfId="0" applyFont="1" applyFill="1" applyBorder="1" applyAlignment="1">
      <alignment horizontal="center" vertical="center" wrapText="1"/>
    </xf>
    <xf numFmtId="0" fontId="39" fillId="40" borderId="103" xfId="0" applyFont="1" applyFill="1" applyBorder="1" applyAlignment="1">
      <alignment horizontal="center" vertical="center"/>
    </xf>
    <xf numFmtId="1" fontId="4" fillId="4" borderId="24" xfId="4" applyNumberFormat="1" applyFont="1" applyFill="1" applyBorder="1" applyAlignment="1">
      <alignment horizontal="center" vertical="center" wrapText="1"/>
    </xf>
    <xf numFmtId="170" fontId="4" fillId="4" borderId="43" xfId="2" applyNumberFormat="1" applyFont="1" applyFill="1" applyBorder="1" applyAlignment="1">
      <alignment horizontal="center" vertical="center" wrapText="1"/>
    </xf>
    <xf numFmtId="9" fontId="39" fillId="40" borderId="81" xfId="0" applyNumberFormat="1" applyFont="1" applyFill="1" applyBorder="1" applyAlignment="1">
      <alignment horizontal="center" vertical="center" wrapText="1"/>
    </xf>
    <xf numFmtId="171" fontId="25" fillId="40" borderId="81" xfId="0" applyNumberFormat="1" applyFont="1" applyFill="1" applyBorder="1" applyAlignment="1">
      <alignment horizontal="right" vertical="center"/>
    </xf>
    <xf numFmtId="0" fontId="4" fillId="4" borderId="43" xfId="4" applyFont="1" applyFill="1" applyBorder="1" applyAlignment="1">
      <alignment vertical="center" wrapText="1"/>
    </xf>
    <xf numFmtId="171" fontId="42" fillId="4" borderId="69" xfId="0" applyNumberFormat="1" applyFont="1" applyFill="1" applyBorder="1" applyAlignment="1">
      <alignment horizontal="right" vertical="center"/>
    </xf>
    <xf numFmtId="0" fontId="32" fillId="40" borderId="71" xfId="0" applyFont="1" applyFill="1" applyBorder="1" applyAlignment="1">
      <alignment horizontal="center" vertical="center" wrapText="1"/>
    </xf>
    <xf numFmtId="0" fontId="4" fillId="4" borderId="38" xfId="4" applyFont="1" applyFill="1" applyBorder="1" applyAlignment="1">
      <alignment vertical="center" wrapText="1"/>
    </xf>
    <xf numFmtId="0" fontId="39" fillId="40" borderId="9" xfId="0" applyFont="1" applyFill="1" applyBorder="1" applyAlignment="1">
      <alignment horizontal="center" vertical="center"/>
    </xf>
    <xf numFmtId="9" fontId="39" fillId="40" borderId="5" xfId="0" applyNumberFormat="1" applyFont="1" applyFill="1" applyBorder="1" applyAlignment="1">
      <alignment horizontal="center" vertical="center" wrapText="1"/>
    </xf>
    <xf numFmtId="0" fontId="39" fillId="40" borderId="98" xfId="0" applyFont="1" applyFill="1" applyBorder="1" applyAlignment="1">
      <alignment horizontal="center" vertical="center"/>
    </xf>
    <xf numFmtId="9" fontId="39" fillId="40" borderId="70" xfId="0" applyNumberFormat="1" applyFont="1" applyFill="1" applyBorder="1" applyAlignment="1">
      <alignment horizontal="center" vertical="center" wrapText="1"/>
    </xf>
    <xf numFmtId="0" fontId="39" fillId="40" borderId="5" xfId="0" applyFont="1" applyFill="1" applyBorder="1" applyAlignment="1">
      <alignment vertical="center" wrapText="1"/>
    </xf>
    <xf numFmtId="0" fontId="32" fillId="40" borderId="0" xfId="0" applyFont="1" applyFill="1" applyAlignment="1">
      <alignment horizontal="center" vertical="center" wrapText="1"/>
    </xf>
    <xf numFmtId="1" fontId="4" fillId="4" borderId="21" xfId="4" applyNumberFormat="1" applyFont="1" applyFill="1" applyBorder="1" applyAlignment="1">
      <alignment horizontal="center" vertical="center" wrapText="1"/>
    </xf>
    <xf numFmtId="170" fontId="4" fillId="4" borderId="40" xfId="2" applyNumberFormat="1" applyFont="1" applyFill="1" applyBorder="1" applyAlignment="1">
      <alignment horizontal="center" vertical="center" wrapText="1"/>
    </xf>
    <xf numFmtId="3" fontId="4" fillId="4" borderId="21" xfId="4" applyNumberFormat="1" applyFont="1" applyFill="1" applyBorder="1" applyAlignment="1">
      <alignment vertical="center" wrapText="1"/>
    </xf>
    <xf numFmtId="0" fontId="7" fillId="4" borderId="39" xfId="4" applyFont="1" applyFill="1" applyBorder="1" applyAlignment="1">
      <alignment horizontal="center" vertical="center" wrapText="1"/>
    </xf>
    <xf numFmtId="0" fontId="4" fillId="4" borderId="40" xfId="4" applyFont="1" applyFill="1" applyBorder="1" applyAlignment="1">
      <alignment horizontal="center" vertical="center" wrapText="1"/>
    </xf>
    <xf numFmtId="3" fontId="4" fillId="4" borderId="39" xfId="4" applyNumberFormat="1" applyFont="1" applyFill="1" applyBorder="1" applyAlignment="1">
      <alignment vertical="center" wrapText="1"/>
    </xf>
    <xf numFmtId="14" fontId="4" fillId="4" borderId="39" xfId="4" applyNumberFormat="1" applyFont="1" applyFill="1" applyBorder="1" applyAlignment="1">
      <alignment vertical="center" wrapText="1"/>
    </xf>
    <xf numFmtId="171" fontId="25" fillId="40" borderId="6" xfId="0" applyNumberFormat="1" applyFont="1" applyFill="1" applyBorder="1" applyAlignment="1">
      <alignment horizontal="right" vertical="center"/>
    </xf>
    <xf numFmtId="171" fontId="25" fillId="40" borderId="76" xfId="0" applyNumberFormat="1" applyFont="1" applyFill="1" applyBorder="1" applyAlignment="1">
      <alignment horizontal="right" vertical="center"/>
    </xf>
    <xf numFmtId="171" fontId="25" fillId="40" borderId="99" xfId="0" applyNumberFormat="1" applyFont="1" applyFill="1" applyBorder="1" applyAlignment="1">
      <alignment horizontal="right" vertical="center"/>
    </xf>
    <xf numFmtId="171" fontId="25" fillId="40" borderId="5" xfId="0" applyNumberFormat="1" applyFont="1" applyFill="1" applyBorder="1" applyAlignment="1">
      <alignment horizontal="right" vertical="center"/>
    </xf>
    <xf numFmtId="171" fontId="34" fillId="4" borderId="100" xfId="0" applyNumberFormat="1" applyFont="1" applyFill="1" applyBorder="1" applyAlignment="1">
      <alignment vertical="center"/>
    </xf>
    <xf numFmtId="0" fontId="32" fillId="40" borderId="97" xfId="0" applyFont="1" applyFill="1" applyBorder="1" applyAlignment="1">
      <alignment horizontal="center" vertical="center" wrapText="1"/>
    </xf>
    <xf numFmtId="0" fontId="4" fillId="4" borderId="40" xfId="4" applyFont="1" applyFill="1" applyBorder="1" applyAlignment="1">
      <alignment vertical="center" wrapText="1"/>
    </xf>
    <xf numFmtId="9" fontId="4" fillId="68" borderId="14" xfId="2" applyFont="1" applyFill="1" applyBorder="1" applyAlignment="1">
      <alignment horizontal="center" vertical="center" wrapText="1"/>
    </xf>
    <xf numFmtId="0" fontId="39" fillId="0" borderId="103" xfId="0" applyFont="1" applyBorder="1" applyAlignment="1">
      <alignment horizontal="center" vertical="center"/>
    </xf>
    <xf numFmtId="9" fontId="39" fillId="41" borderId="81" xfId="0" applyNumberFormat="1" applyFont="1" applyFill="1" applyBorder="1" applyAlignment="1">
      <alignment horizontal="center" vertical="center" wrapText="1"/>
    </xf>
    <xf numFmtId="171" fontId="23" fillId="41" borderId="89" xfId="0" applyNumberFormat="1" applyFont="1" applyFill="1" applyBorder="1" applyAlignment="1">
      <alignment horizontal="right" vertical="center"/>
    </xf>
    <xf numFmtId="170" fontId="4" fillId="4" borderId="18" xfId="2" applyNumberFormat="1" applyFont="1" applyFill="1" applyBorder="1" applyAlignment="1">
      <alignment horizontal="center" vertical="center" wrapText="1"/>
    </xf>
    <xf numFmtId="0" fontId="32" fillId="41" borderId="71" xfId="0" applyFont="1" applyFill="1" applyBorder="1" applyAlignment="1">
      <alignment horizontal="center" vertical="center" wrapText="1"/>
    </xf>
    <xf numFmtId="0" fontId="39" fillId="41" borderId="5" xfId="0" applyFont="1" applyFill="1" applyBorder="1" applyAlignment="1">
      <alignment vertical="center" wrapText="1"/>
    </xf>
    <xf numFmtId="0" fontId="32" fillId="41" borderId="0" xfId="0" applyFont="1" applyFill="1" applyAlignment="1">
      <alignment horizontal="center" vertical="center" wrapText="1"/>
    </xf>
    <xf numFmtId="0" fontId="39" fillId="0" borderId="9" xfId="0" applyFont="1" applyBorder="1" applyAlignment="1">
      <alignment horizontal="center" vertical="center"/>
    </xf>
    <xf numFmtId="170" fontId="4" fillId="0" borderId="21" xfId="2" applyNumberFormat="1" applyFont="1" applyFill="1" applyBorder="1" applyAlignment="1">
      <alignment horizontal="center" vertical="center" wrapText="1"/>
    </xf>
    <xf numFmtId="9" fontId="39" fillId="41" borderId="5" xfId="0" applyNumberFormat="1" applyFont="1" applyFill="1" applyBorder="1" applyAlignment="1">
      <alignment horizontal="center" vertical="center" wrapText="1"/>
    </xf>
    <xf numFmtId="171" fontId="23" fillId="41" borderId="90" xfId="0" applyNumberFormat="1" applyFont="1" applyFill="1" applyBorder="1" applyAlignment="1">
      <alignment horizontal="right" vertical="center"/>
    </xf>
    <xf numFmtId="0" fontId="32" fillId="41" borderId="97" xfId="0" applyFont="1" applyFill="1" applyBorder="1" applyAlignment="1">
      <alignment horizontal="center" vertical="center" wrapText="1"/>
    </xf>
    <xf numFmtId="0" fontId="4" fillId="0" borderId="29" xfId="4" applyFont="1" applyBorder="1" applyAlignment="1">
      <alignment vertical="center" wrapText="1"/>
    </xf>
    <xf numFmtId="0" fontId="4" fillId="0" borderId="30" xfId="4" applyFont="1" applyBorder="1" applyAlignment="1">
      <alignment vertical="center" wrapText="1"/>
    </xf>
    <xf numFmtId="9" fontId="7" fillId="24" borderId="14" xfId="2" applyFont="1" applyFill="1" applyBorder="1" applyAlignment="1">
      <alignment horizontal="center" vertical="center" wrapText="1"/>
    </xf>
    <xf numFmtId="9" fontId="7" fillId="23" borderId="12" xfId="2" applyFont="1" applyFill="1" applyBorder="1" applyAlignment="1">
      <alignment horizontal="center" vertical="center" wrapText="1"/>
    </xf>
    <xf numFmtId="0" fontId="7" fillId="24" borderId="13" xfId="4" applyFont="1" applyFill="1" applyBorder="1" applyAlignment="1">
      <alignment vertical="center" wrapText="1"/>
    </xf>
    <xf numFmtId="0" fontId="39" fillId="42" borderId="103" xfId="0" applyFont="1" applyFill="1" applyBorder="1" applyAlignment="1">
      <alignment horizontal="center" vertical="center"/>
    </xf>
    <xf numFmtId="3" fontId="4" fillId="4" borderId="5" xfId="4" applyNumberFormat="1" applyFont="1" applyFill="1" applyBorder="1" applyAlignment="1">
      <alignment vertical="center" wrapText="1"/>
    </xf>
    <xf numFmtId="3" fontId="4" fillId="4" borderId="0" xfId="4" applyNumberFormat="1" applyFont="1" applyFill="1" applyAlignment="1">
      <alignment vertical="center" wrapText="1"/>
    </xf>
    <xf numFmtId="3" fontId="4" fillId="4" borderId="9" xfId="4" applyNumberFormat="1" applyFont="1" applyFill="1" applyBorder="1" applyAlignment="1">
      <alignment vertical="center" wrapText="1"/>
    </xf>
    <xf numFmtId="3" fontId="4" fillId="4" borderId="9" xfId="4" applyNumberFormat="1" applyFont="1" applyFill="1" applyBorder="1" applyAlignment="1">
      <alignment horizontal="center" vertical="center" wrapText="1"/>
    </xf>
    <xf numFmtId="9" fontId="23" fillId="4" borderId="81" xfId="0" applyNumberFormat="1" applyFont="1" applyFill="1" applyBorder="1" applyAlignment="1">
      <alignment horizontal="center" vertical="center"/>
    </xf>
    <xf numFmtId="171" fontId="23" fillId="42" borderId="89" xfId="0" applyNumberFormat="1" applyFont="1" applyFill="1" applyBorder="1" applyAlignment="1">
      <alignment horizontal="right" vertical="center"/>
    </xf>
    <xf numFmtId="0" fontId="25" fillId="42" borderId="75" xfId="0" applyFont="1" applyFill="1" applyBorder="1" applyAlignment="1">
      <alignment horizontal="right" vertical="center"/>
    </xf>
    <xf numFmtId="9" fontId="4" fillId="4" borderId="5" xfId="2" applyFont="1" applyFill="1" applyBorder="1" applyAlignment="1">
      <alignment horizontal="center" vertical="center" wrapText="1"/>
    </xf>
    <xf numFmtId="0" fontId="25" fillId="42" borderId="81" xfId="0" applyFont="1" applyFill="1" applyBorder="1" applyAlignment="1">
      <alignment horizontal="right" vertical="center"/>
    </xf>
    <xf numFmtId="3" fontId="7" fillId="4" borderId="0" xfId="4" applyNumberFormat="1" applyFont="1" applyFill="1" applyAlignment="1">
      <alignment vertical="center" wrapText="1"/>
    </xf>
    <xf numFmtId="0" fontId="39" fillId="0" borderId="5" xfId="0" applyFont="1" applyBorder="1" applyAlignment="1">
      <alignment vertical="center" wrapText="1"/>
    </xf>
    <xf numFmtId="0" fontId="23" fillId="27" borderId="97" xfId="0" applyFont="1" applyFill="1" applyBorder="1" applyAlignment="1">
      <alignment horizontal="center" vertical="center" wrapText="1"/>
    </xf>
    <xf numFmtId="0" fontId="39" fillId="42" borderId="9" xfId="0" applyFont="1" applyFill="1" applyBorder="1" applyAlignment="1">
      <alignment horizontal="center" vertical="center"/>
    </xf>
    <xf numFmtId="9" fontId="23" fillId="4" borderId="87" xfId="0" applyNumberFormat="1" applyFont="1" applyFill="1" applyBorder="1" applyAlignment="1">
      <alignment horizontal="center" vertical="center"/>
    </xf>
    <xf numFmtId="0" fontId="25" fillId="42" borderId="90" xfId="0" applyFont="1" applyFill="1" applyBorder="1" applyAlignment="1">
      <alignment horizontal="right" vertical="center"/>
    </xf>
    <xf numFmtId="0" fontId="25" fillId="42" borderId="99" xfId="0" applyFont="1" applyFill="1" applyBorder="1" applyAlignment="1">
      <alignment horizontal="right" vertical="center"/>
    </xf>
    <xf numFmtId="171" fontId="23" fillId="42" borderId="90" xfId="0" applyNumberFormat="1" applyFont="1" applyFill="1" applyBorder="1" applyAlignment="1">
      <alignment horizontal="right" vertical="center"/>
    </xf>
    <xf numFmtId="0" fontId="25" fillId="42" borderId="87" xfId="0" applyFont="1" applyFill="1" applyBorder="1" applyAlignment="1">
      <alignment horizontal="right" vertical="center"/>
    </xf>
    <xf numFmtId="0" fontId="39" fillId="43" borderId="5" xfId="0" applyFont="1" applyFill="1" applyBorder="1" applyAlignment="1">
      <alignment vertical="center" wrapText="1"/>
    </xf>
    <xf numFmtId="1" fontId="4" fillId="0" borderId="0" xfId="4" applyNumberFormat="1" applyFont="1" applyAlignment="1">
      <alignment horizontal="center" vertical="center" wrapText="1"/>
    </xf>
    <xf numFmtId="9" fontId="4" fillId="0" borderId="5" xfId="2" applyFont="1" applyFill="1" applyBorder="1" applyAlignment="1">
      <alignment horizontal="center" vertical="center" wrapText="1"/>
    </xf>
    <xf numFmtId="170" fontId="4" fillId="0" borderId="5" xfId="2" applyNumberFormat="1" applyFont="1" applyFill="1" applyBorder="1" applyAlignment="1">
      <alignment horizontal="center" vertical="center" wrapText="1"/>
    </xf>
    <xf numFmtId="3" fontId="4" fillId="0" borderId="5" xfId="4" applyNumberFormat="1" applyFont="1" applyBorder="1" applyAlignment="1">
      <alignment vertical="center" wrapText="1"/>
    </xf>
    <xf numFmtId="3" fontId="4" fillId="0" borderId="0" xfId="4" applyNumberFormat="1" applyFont="1" applyAlignment="1">
      <alignment vertical="center" wrapText="1"/>
    </xf>
    <xf numFmtId="0" fontId="7" fillId="0" borderId="9" xfId="4" applyFont="1" applyBorder="1" applyAlignment="1">
      <alignment horizontal="center" vertical="center" wrapText="1"/>
    </xf>
    <xf numFmtId="0" fontId="4" fillId="0" borderId="5" xfId="4" applyFont="1" applyBorder="1" applyAlignment="1">
      <alignment horizontal="center" vertical="center" wrapText="1"/>
    </xf>
    <xf numFmtId="3" fontId="4" fillId="0" borderId="9" xfId="4" applyNumberFormat="1" applyFont="1" applyBorder="1" applyAlignment="1">
      <alignment vertical="center" wrapText="1"/>
    </xf>
    <xf numFmtId="14" fontId="4" fillId="0" borderId="9" xfId="4" applyNumberFormat="1" applyFont="1" applyBorder="1" applyAlignment="1">
      <alignment vertical="center" wrapText="1"/>
    </xf>
    <xf numFmtId="3" fontId="4" fillId="0" borderId="5" xfId="4" applyNumberFormat="1" applyFont="1" applyBorder="1" applyAlignment="1">
      <alignment horizontal="center" vertical="center" wrapText="1"/>
    </xf>
    <xf numFmtId="9" fontId="23" fillId="0" borderId="5" xfId="0" applyNumberFormat="1" applyFont="1" applyBorder="1" applyAlignment="1">
      <alignment horizontal="center" vertical="center"/>
    </xf>
    <xf numFmtId="171" fontId="6" fillId="0" borderId="6" xfId="0" applyNumberFormat="1" applyFont="1" applyBorder="1" applyAlignment="1">
      <alignment horizontal="right" vertical="center"/>
    </xf>
    <xf numFmtId="0" fontId="25" fillId="42" borderId="76" xfId="0" applyFont="1" applyFill="1" applyBorder="1" applyAlignment="1">
      <alignment horizontal="right" vertical="center"/>
    </xf>
    <xf numFmtId="10" fontId="4" fillId="0" borderId="5" xfId="2" applyNumberFormat="1" applyFont="1" applyFill="1" applyBorder="1" applyAlignment="1">
      <alignment horizontal="right" vertical="center" wrapText="1"/>
    </xf>
    <xf numFmtId="3" fontId="7" fillId="0" borderId="0" xfId="4" applyNumberFormat="1" applyFont="1" applyAlignment="1">
      <alignment vertical="center" wrapText="1"/>
    </xf>
    <xf numFmtId="0" fontId="25" fillId="42" borderId="5" xfId="0" applyFont="1" applyFill="1" applyBorder="1" applyAlignment="1">
      <alignment horizontal="right" vertical="center"/>
    </xf>
    <xf numFmtId="171" fontId="6" fillId="0" borderId="72" xfId="0" applyNumberFormat="1" applyFont="1" applyBorder="1" applyAlignment="1">
      <alignment horizontal="right" vertical="center"/>
    </xf>
    <xf numFmtId="3" fontId="7" fillId="0" borderId="9" xfId="4" applyNumberFormat="1" applyFont="1" applyBorder="1" applyAlignment="1">
      <alignment vertical="center" wrapText="1"/>
    </xf>
    <xf numFmtId="0" fontId="32" fillId="43" borderId="0" xfId="0" applyFont="1" applyFill="1" applyAlignment="1">
      <alignment horizontal="center" vertical="center" wrapText="1"/>
    </xf>
    <xf numFmtId="0" fontId="7" fillId="25" borderId="14" xfId="4" applyFont="1" applyFill="1" applyBorder="1" applyAlignment="1">
      <alignment horizontal="center" vertical="center" wrapText="1"/>
    </xf>
    <xf numFmtId="0" fontId="4" fillId="25" borderId="12" xfId="4" applyFont="1" applyFill="1" applyBorder="1" applyAlignment="1">
      <alignment horizontal="center" vertical="center" wrapText="1"/>
    </xf>
    <xf numFmtId="3" fontId="7" fillId="4" borderId="43" xfId="4" applyNumberFormat="1" applyFont="1" applyFill="1" applyBorder="1" applyAlignment="1">
      <alignment vertical="center" wrapText="1"/>
    </xf>
    <xf numFmtId="9" fontId="23" fillId="4" borderId="43" xfId="0" applyNumberFormat="1" applyFont="1" applyFill="1" applyBorder="1" applyAlignment="1">
      <alignment horizontal="center" vertical="center"/>
    </xf>
    <xf numFmtId="171" fontId="6" fillId="4" borderId="89" xfId="0" applyNumberFormat="1" applyFont="1" applyFill="1" applyBorder="1" applyAlignment="1">
      <alignment horizontal="right" vertical="center"/>
    </xf>
    <xf numFmtId="3" fontId="7" fillId="4" borderId="34" xfId="4" applyNumberFormat="1" applyFont="1" applyFill="1" applyBorder="1" applyAlignment="1">
      <alignment vertical="center" wrapText="1"/>
    </xf>
    <xf numFmtId="171" fontId="6" fillId="4" borderId="81" xfId="0" applyNumberFormat="1" applyFont="1" applyFill="1" applyBorder="1" applyAlignment="1">
      <alignment horizontal="right" vertical="center"/>
    </xf>
    <xf numFmtId="0" fontId="32" fillId="42" borderId="74" xfId="0" applyFont="1" applyFill="1" applyBorder="1" applyAlignment="1">
      <alignment horizontal="center" vertical="center" wrapText="1"/>
    </xf>
    <xf numFmtId="0" fontId="39" fillId="42" borderId="5" xfId="0" applyFont="1" applyFill="1" applyBorder="1" applyAlignment="1">
      <alignment vertical="center" wrapText="1"/>
    </xf>
    <xf numFmtId="0" fontId="23" fillId="29" borderId="97" xfId="0" applyFont="1" applyFill="1" applyBorder="1" applyAlignment="1">
      <alignment horizontal="center" vertical="center" wrapText="1"/>
    </xf>
    <xf numFmtId="9" fontId="23" fillId="4" borderId="40" xfId="0" applyNumberFormat="1" applyFont="1" applyFill="1" applyBorder="1" applyAlignment="1">
      <alignment horizontal="center" vertical="center"/>
    </xf>
    <xf numFmtId="171" fontId="45" fillId="42" borderId="6" xfId="0" applyNumberFormat="1" applyFont="1" applyFill="1" applyBorder="1" applyAlignment="1">
      <alignment horizontal="right" vertical="center"/>
    </xf>
    <xf numFmtId="171" fontId="6" fillId="4" borderId="90" xfId="0" applyNumberFormat="1" applyFont="1" applyFill="1" applyBorder="1" applyAlignment="1">
      <alignment horizontal="right" vertical="center"/>
    </xf>
    <xf numFmtId="3" fontId="7" fillId="4" borderId="41" xfId="4" applyNumberFormat="1" applyFont="1" applyFill="1" applyBorder="1" applyAlignment="1">
      <alignment vertical="center" wrapText="1"/>
    </xf>
    <xf numFmtId="171" fontId="6" fillId="4" borderId="87" xfId="0" applyNumberFormat="1" applyFont="1" applyFill="1" applyBorder="1" applyAlignment="1">
      <alignment horizontal="right" vertical="center"/>
    </xf>
    <xf numFmtId="0" fontId="32" fillId="42" borderId="97" xfId="0" applyFont="1" applyFill="1" applyBorder="1" applyAlignment="1">
      <alignment horizontal="center" vertical="center" wrapText="1"/>
    </xf>
    <xf numFmtId="3" fontId="4" fillId="24" borderId="15" xfId="4" applyNumberFormat="1" applyFont="1" applyFill="1" applyBorder="1" applyAlignment="1">
      <alignment vertical="center" wrapText="1"/>
    </xf>
    <xf numFmtId="1" fontId="4" fillId="24" borderId="15" xfId="4" applyNumberFormat="1" applyFont="1" applyFill="1" applyBorder="1" applyAlignment="1">
      <alignment horizontal="center" vertical="center" wrapText="1"/>
    </xf>
    <xf numFmtId="9" fontId="4" fillId="24" borderId="12" xfId="2" applyFont="1" applyFill="1" applyBorder="1" applyAlignment="1">
      <alignment horizontal="center" vertical="center" wrapText="1"/>
    </xf>
    <xf numFmtId="10" fontId="4" fillId="24" borderId="12" xfId="2" applyNumberFormat="1" applyFont="1" applyFill="1" applyBorder="1" applyAlignment="1">
      <alignment horizontal="center" vertical="center" wrapText="1"/>
    </xf>
    <xf numFmtId="3" fontId="4" fillId="24" borderId="12" xfId="4" applyNumberFormat="1" applyFont="1" applyFill="1" applyBorder="1" applyAlignment="1">
      <alignment vertical="center" wrapText="1"/>
    </xf>
    <xf numFmtId="3" fontId="4" fillId="24" borderId="14" xfId="4" applyNumberFormat="1" applyFont="1" applyFill="1" applyBorder="1" applyAlignment="1">
      <alignment vertical="center" wrapText="1"/>
    </xf>
    <xf numFmtId="14" fontId="4" fillId="24" borderId="14" xfId="4" applyNumberFormat="1" applyFont="1" applyFill="1" applyBorder="1" applyAlignment="1">
      <alignment vertical="center" wrapText="1"/>
    </xf>
    <xf numFmtId="3" fontId="4" fillId="24" borderId="14" xfId="4" applyNumberFormat="1" applyFont="1" applyFill="1" applyBorder="1" applyAlignment="1">
      <alignment horizontal="center" vertical="center" wrapText="1"/>
    </xf>
    <xf numFmtId="3" fontId="4" fillId="24" borderId="12" xfId="4" applyNumberFormat="1" applyFont="1" applyFill="1" applyBorder="1" applyAlignment="1">
      <alignment horizontal="center" vertical="center" wrapText="1"/>
    </xf>
    <xf numFmtId="9" fontId="4" fillId="24" borderId="14" xfId="2" applyFont="1" applyFill="1" applyBorder="1" applyAlignment="1">
      <alignment horizontal="center" vertical="center" wrapText="1"/>
    </xf>
    <xf numFmtId="10" fontId="4" fillId="24" borderId="12" xfId="2" applyNumberFormat="1" applyFont="1" applyFill="1" applyBorder="1" applyAlignment="1">
      <alignment vertical="center" wrapText="1"/>
    </xf>
    <xf numFmtId="0" fontId="4" fillId="24" borderId="12" xfId="4" applyFont="1" applyFill="1" applyBorder="1" applyAlignment="1">
      <alignment vertical="center" wrapText="1"/>
    </xf>
    <xf numFmtId="0" fontId="32" fillId="4" borderId="43" xfId="0" applyFont="1" applyFill="1" applyBorder="1" applyAlignment="1">
      <alignment vertical="center" wrapText="1"/>
    </xf>
    <xf numFmtId="0" fontId="6" fillId="4" borderId="24" xfId="0" applyFont="1" applyFill="1" applyBorder="1" applyAlignment="1">
      <alignment horizontal="center" vertical="center" wrapText="1"/>
    </xf>
    <xf numFmtId="3" fontId="4" fillId="4" borderId="43" xfId="4" applyNumberFormat="1" applyFont="1" applyFill="1" applyBorder="1" applyAlignment="1">
      <alignment vertical="top" wrapText="1"/>
    </xf>
    <xf numFmtId="171" fontId="44" fillId="4" borderId="80" xfId="0" applyNumberFormat="1" applyFont="1" applyFill="1" applyBorder="1" applyAlignment="1">
      <alignment horizontal="right" vertical="center"/>
    </xf>
    <xf numFmtId="171" fontId="25" fillId="4" borderId="77" xfId="0" applyNumberFormat="1" applyFont="1" applyFill="1" applyBorder="1" applyAlignment="1">
      <alignment horizontal="right" vertical="center"/>
    </xf>
    <xf numFmtId="0" fontId="32" fillId="4" borderId="104" xfId="0" applyFont="1" applyFill="1" applyBorder="1" applyAlignment="1">
      <alignment vertical="center" wrapText="1"/>
    </xf>
    <xf numFmtId="0" fontId="6" fillId="4" borderId="105" xfId="0" applyFont="1" applyFill="1" applyBorder="1" applyAlignment="1">
      <alignment horizontal="center" vertical="center" wrapText="1"/>
    </xf>
    <xf numFmtId="171" fontId="45" fillId="40" borderId="90" xfId="0" applyNumberFormat="1" applyFont="1" applyFill="1" applyBorder="1" applyAlignment="1">
      <alignment horizontal="right" vertical="center"/>
    </xf>
    <xf numFmtId="171" fontId="34" fillId="4" borderId="69" xfId="0" applyNumberFormat="1" applyFont="1" applyFill="1" applyBorder="1" applyAlignment="1">
      <alignment horizontal="right" vertical="center"/>
    </xf>
    <xf numFmtId="0" fontId="39" fillId="42" borderId="76" xfId="0" applyFont="1" applyFill="1" applyBorder="1" applyAlignment="1">
      <alignment horizontal="center" vertical="center"/>
    </xf>
    <xf numFmtId="3" fontId="4" fillId="0" borderId="9" xfId="4" applyNumberFormat="1" applyFont="1" applyBorder="1" applyAlignment="1">
      <alignment horizontal="center" vertical="center" wrapText="1"/>
    </xf>
    <xf numFmtId="171" fontId="45" fillId="42" borderId="90" xfId="0" applyNumberFormat="1" applyFont="1" applyFill="1" applyBorder="1" applyAlignment="1">
      <alignment horizontal="right" vertical="center"/>
    </xf>
    <xf numFmtId="3" fontId="7" fillId="4" borderId="9" xfId="4" applyNumberFormat="1" applyFont="1" applyFill="1" applyBorder="1" applyAlignment="1">
      <alignment vertical="center" wrapText="1"/>
    </xf>
    <xf numFmtId="0" fontId="39" fillId="40" borderId="0" xfId="0" applyFont="1" applyFill="1" applyAlignment="1">
      <alignment horizontal="center" vertical="center" wrapText="1"/>
    </xf>
    <xf numFmtId="0" fontId="23" fillId="28" borderId="9" xfId="0" applyFont="1" applyFill="1" applyBorder="1" applyAlignment="1">
      <alignment horizontal="center" vertical="center"/>
    </xf>
    <xf numFmtId="10" fontId="4" fillId="0" borderId="5" xfId="2" applyNumberFormat="1" applyFont="1" applyFill="1" applyBorder="1" applyAlignment="1">
      <alignment horizontal="center" vertical="center" wrapText="1"/>
    </xf>
    <xf numFmtId="171" fontId="45" fillId="40" borderId="6" xfId="0" applyNumberFormat="1" applyFont="1" applyFill="1" applyBorder="1" applyAlignment="1">
      <alignment horizontal="right" vertical="center"/>
    </xf>
    <xf numFmtId="171" fontId="45" fillId="40" borderId="5" xfId="0" applyNumberFormat="1" applyFont="1" applyFill="1" applyBorder="1" applyAlignment="1">
      <alignment horizontal="right" vertical="center"/>
    </xf>
    <xf numFmtId="170" fontId="7" fillId="63" borderId="7" xfId="2" applyNumberFormat="1" applyFont="1" applyFill="1" applyBorder="1" applyAlignment="1">
      <alignment horizontal="center" vertical="center" wrapText="1"/>
    </xf>
    <xf numFmtId="0" fontId="39" fillId="44" borderId="103" xfId="0" applyFont="1" applyFill="1" applyBorder="1" applyAlignment="1">
      <alignment horizontal="center" vertical="center"/>
    </xf>
    <xf numFmtId="9" fontId="39" fillId="44" borderId="81" xfId="0" applyNumberFormat="1" applyFont="1" applyFill="1" applyBorder="1" applyAlignment="1">
      <alignment horizontal="center" vertical="center" wrapText="1"/>
    </xf>
    <xf numFmtId="171" fontId="45" fillId="44" borderId="81" xfId="0" applyNumberFormat="1" applyFont="1" applyFill="1" applyBorder="1" applyAlignment="1">
      <alignment horizontal="right" vertical="center"/>
    </xf>
    <xf numFmtId="0" fontId="39" fillId="44" borderId="5" xfId="0" applyFont="1" applyFill="1" applyBorder="1" applyAlignment="1">
      <alignment vertical="center" wrapText="1"/>
    </xf>
    <xf numFmtId="0" fontId="39" fillId="44" borderId="9" xfId="0" applyFont="1" applyFill="1" applyBorder="1" applyAlignment="1">
      <alignment horizontal="center" vertical="center"/>
    </xf>
    <xf numFmtId="9" fontId="39" fillId="44" borderId="5" xfId="0" applyNumberFormat="1" applyFont="1" applyFill="1" applyBorder="1" applyAlignment="1">
      <alignment horizontal="center" vertical="center" wrapText="1"/>
    </xf>
    <xf numFmtId="171" fontId="45" fillId="44" borderId="6" xfId="0" applyNumberFormat="1" applyFont="1" applyFill="1" applyBorder="1" applyAlignment="1">
      <alignment horizontal="right" vertical="center"/>
    </xf>
    <xf numFmtId="171" fontId="45" fillId="44" borderId="76" xfId="0" applyNumberFormat="1" applyFont="1" applyFill="1" applyBorder="1" applyAlignment="1">
      <alignment horizontal="right" vertical="center"/>
    </xf>
    <xf numFmtId="171" fontId="45" fillId="44" borderId="5" xfId="0" applyNumberFormat="1" applyFont="1" applyFill="1" applyBorder="1" applyAlignment="1">
      <alignment horizontal="right" vertical="center"/>
    </xf>
    <xf numFmtId="10" fontId="4" fillId="25" borderId="7" xfId="2" applyNumberFormat="1" applyFont="1" applyFill="1" applyBorder="1" applyAlignment="1">
      <alignment vertical="center" wrapText="1"/>
    </xf>
    <xf numFmtId="10" fontId="7" fillId="25" borderId="7" xfId="2" applyNumberFormat="1" applyFont="1" applyFill="1" applyBorder="1" applyAlignment="1">
      <alignment vertical="center" wrapText="1"/>
    </xf>
    <xf numFmtId="0" fontId="23" fillId="27" borderId="74" xfId="0" applyFont="1" applyFill="1" applyBorder="1" applyAlignment="1">
      <alignment horizontal="center" vertical="center" wrapText="1"/>
    </xf>
    <xf numFmtId="0" fontId="23" fillId="27" borderId="103" xfId="0" applyFont="1" applyFill="1" applyBorder="1" applyAlignment="1">
      <alignment horizontal="center" vertical="center"/>
    </xf>
    <xf numFmtId="9" fontId="39" fillId="45" borderId="81" xfId="0" applyNumberFormat="1" applyFont="1" applyFill="1" applyBorder="1" applyAlignment="1">
      <alignment horizontal="center" vertical="center" wrapText="1"/>
    </xf>
    <xf numFmtId="0" fontId="32" fillId="45" borderId="74" xfId="0" applyFont="1" applyFill="1" applyBorder="1" applyAlignment="1">
      <alignment horizontal="center" vertical="center" wrapText="1"/>
    </xf>
    <xf numFmtId="0" fontId="23" fillId="27" borderId="98" xfId="0" applyFont="1" applyFill="1" applyBorder="1" applyAlignment="1">
      <alignment horizontal="center" vertical="center"/>
    </xf>
    <xf numFmtId="0" fontId="32" fillId="45" borderId="71" xfId="0" applyFont="1" applyFill="1" applyBorder="1" applyAlignment="1">
      <alignment horizontal="center" vertical="center" wrapText="1"/>
    </xf>
    <xf numFmtId="0" fontId="32" fillId="45" borderId="97" xfId="0" applyFont="1" applyFill="1" applyBorder="1" applyAlignment="1">
      <alignment horizontal="center" vertical="center" wrapText="1"/>
    </xf>
    <xf numFmtId="9" fontId="39" fillId="45" borderId="70" xfId="0" applyNumberFormat="1" applyFont="1" applyFill="1" applyBorder="1" applyAlignment="1">
      <alignment horizontal="center" vertical="center" wrapText="1"/>
    </xf>
    <xf numFmtId="0" fontId="23" fillId="27" borderId="102" xfId="0" applyFont="1" applyFill="1" applyBorder="1" applyAlignment="1">
      <alignment horizontal="center" vertical="center"/>
    </xf>
    <xf numFmtId="9" fontId="39" fillId="45" borderId="87" xfId="0" applyNumberFormat="1" applyFont="1" applyFill="1" applyBorder="1" applyAlignment="1">
      <alignment horizontal="center" vertical="center" wrapText="1"/>
    </xf>
    <xf numFmtId="0" fontId="45" fillId="45" borderId="90" xfId="0" applyFont="1" applyFill="1" applyBorder="1" applyAlignment="1">
      <alignment horizontal="right" vertical="center"/>
    </xf>
    <xf numFmtId="0" fontId="4" fillId="22" borderId="1" xfId="0" applyFont="1" applyFill="1" applyBorder="1" applyAlignment="1">
      <alignment vertical="center" wrapText="1"/>
    </xf>
    <xf numFmtId="0" fontId="39" fillId="44" borderId="38" xfId="0" applyFont="1" applyFill="1" applyBorder="1" applyAlignment="1">
      <alignment vertical="center" wrapText="1"/>
    </xf>
    <xf numFmtId="171" fontId="45" fillId="45" borderId="81" xfId="0" applyNumberFormat="1" applyFont="1" applyFill="1" applyBorder="1" applyAlignment="1">
      <alignment horizontal="right" vertical="center"/>
    </xf>
    <xf numFmtId="0" fontId="32" fillId="44" borderId="74" xfId="0" applyFont="1" applyFill="1" applyBorder="1" applyAlignment="1">
      <alignment horizontal="center" vertical="center" wrapText="1"/>
    </xf>
    <xf numFmtId="0" fontId="39" fillId="44" borderId="40" xfId="0" applyFont="1" applyFill="1" applyBorder="1" applyAlignment="1">
      <alignment vertical="center" wrapText="1"/>
    </xf>
    <xf numFmtId="0" fontId="45" fillId="45" borderId="99" xfId="0" applyFont="1" applyFill="1" applyBorder="1" applyAlignment="1">
      <alignment horizontal="right" vertical="center"/>
    </xf>
    <xf numFmtId="171" fontId="45" fillId="45" borderId="5" xfId="0" applyNumberFormat="1" applyFont="1" applyFill="1" applyBorder="1" applyAlignment="1">
      <alignment horizontal="right" vertical="center"/>
    </xf>
    <xf numFmtId="171" fontId="45" fillId="45" borderId="76" xfId="0" applyNumberFormat="1" applyFont="1" applyFill="1" applyBorder="1" applyAlignment="1">
      <alignment horizontal="right" vertical="center"/>
    </xf>
    <xf numFmtId="0" fontId="32" fillId="44" borderId="97" xfId="0" applyFont="1" applyFill="1" applyBorder="1" applyAlignment="1">
      <alignment horizontal="center" vertical="center" wrapText="1"/>
    </xf>
    <xf numFmtId="1" fontId="4" fillId="25" borderId="7" xfId="4" applyNumberFormat="1" applyFont="1" applyFill="1" applyBorder="1" applyAlignment="1">
      <alignment horizontal="center" vertical="center" wrapText="1"/>
    </xf>
    <xf numFmtId="0" fontId="39" fillId="46" borderId="96" xfId="0" applyFont="1" applyFill="1" applyBorder="1" applyAlignment="1">
      <alignment vertical="center" wrapText="1"/>
    </xf>
    <xf numFmtId="0" fontId="32" fillId="4" borderId="35" xfId="0" applyFont="1" applyFill="1" applyBorder="1" applyAlignment="1">
      <alignment horizontal="center" vertical="center" wrapText="1"/>
    </xf>
    <xf numFmtId="171" fontId="45" fillId="46" borderId="81" xfId="0" applyNumberFormat="1" applyFont="1" applyFill="1" applyBorder="1" applyAlignment="1">
      <alignment horizontal="right" vertical="center"/>
    </xf>
    <xf numFmtId="0" fontId="39" fillId="46" borderId="5" xfId="0" applyFont="1" applyFill="1" applyBorder="1" applyAlignment="1">
      <alignment vertical="center" wrapText="1"/>
    </xf>
    <xf numFmtId="0" fontId="32" fillId="4" borderId="39" xfId="0" applyFont="1" applyFill="1" applyBorder="1" applyAlignment="1">
      <alignment horizontal="center" vertical="center" wrapText="1"/>
    </xf>
    <xf numFmtId="1" fontId="4" fillId="2" borderId="39" xfId="4" applyNumberFormat="1" applyFont="1" applyFill="1" applyBorder="1" applyAlignment="1">
      <alignment horizontal="center" vertical="center" wrapText="1"/>
    </xf>
    <xf numFmtId="171" fontId="45" fillId="46" borderId="6" xfId="0" applyNumberFormat="1" applyFont="1" applyFill="1" applyBorder="1" applyAlignment="1">
      <alignment horizontal="right" vertical="center"/>
    </xf>
    <xf numFmtId="171" fontId="45" fillId="46" borderId="76" xfId="0" applyNumberFormat="1" applyFont="1" applyFill="1" applyBorder="1" applyAlignment="1">
      <alignment horizontal="right" vertical="center"/>
    </xf>
    <xf numFmtId="171" fontId="45" fillId="46" borderId="5" xfId="0" applyNumberFormat="1" applyFont="1" applyFill="1" applyBorder="1" applyAlignment="1">
      <alignment horizontal="right" vertical="center"/>
    </xf>
    <xf numFmtId="9" fontId="32" fillId="4" borderId="35" xfId="0" applyNumberFormat="1" applyFont="1" applyFill="1" applyBorder="1" applyAlignment="1">
      <alignment horizontal="center" vertical="center" wrapText="1"/>
    </xf>
    <xf numFmtId="9" fontId="32" fillId="4" borderId="106" xfId="0" applyNumberFormat="1" applyFont="1" applyFill="1" applyBorder="1" applyAlignment="1">
      <alignment horizontal="center" vertical="center" wrapText="1"/>
    </xf>
    <xf numFmtId="9" fontId="23" fillId="30" borderId="81" xfId="0" applyNumberFormat="1" applyFont="1" applyFill="1" applyBorder="1" applyAlignment="1">
      <alignment horizontal="center" vertical="center"/>
    </xf>
    <xf numFmtId="9" fontId="23" fillId="0" borderId="81" xfId="0" applyNumberFormat="1" applyFont="1" applyBorder="1" applyAlignment="1">
      <alignment horizontal="center" vertical="center"/>
    </xf>
    <xf numFmtId="171" fontId="45" fillId="47" borderId="81" xfId="0" applyNumberFormat="1" applyFont="1" applyFill="1" applyBorder="1" applyAlignment="1">
      <alignment horizontal="right" vertical="center"/>
    </xf>
    <xf numFmtId="0" fontId="32" fillId="47" borderId="74" xfId="0" applyFont="1" applyFill="1" applyBorder="1" applyAlignment="1">
      <alignment horizontal="center" vertical="center" wrapText="1"/>
    </xf>
    <xf numFmtId="0" fontId="39" fillId="47" borderId="5" xfId="0" applyFont="1" applyFill="1" applyBorder="1" applyAlignment="1">
      <alignment vertical="center" wrapText="1"/>
    </xf>
    <xf numFmtId="0" fontId="23" fillId="30" borderId="97" xfId="0" applyFont="1" applyFill="1" applyBorder="1" applyAlignment="1">
      <alignment horizontal="center" vertical="center" wrapText="1"/>
    </xf>
    <xf numFmtId="0" fontId="32" fillId="4" borderId="9" xfId="0" applyFont="1" applyFill="1" applyBorder="1" applyAlignment="1">
      <alignment horizontal="center" vertical="center" wrapText="1"/>
    </xf>
    <xf numFmtId="0" fontId="32" fillId="4" borderId="107" xfId="0" applyFont="1" applyFill="1" applyBorder="1" applyAlignment="1">
      <alignment horizontal="center" vertical="center" wrapText="1"/>
    </xf>
    <xf numFmtId="0" fontId="32" fillId="4" borderId="108" xfId="0" applyFont="1" applyFill="1" applyBorder="1" applyAlignment="1">
      <alignment horizontal="center" vertical="center" wrapText="1"/>
    </xf>
    <xf numFmtId="10" fontId="4" fillId="0" borderId="0" xfId="2" applyNumberFormat="1" applyFont="1" applyFill="1" applyBorder="1" applyAlignment="1">
      <alignment horizontal="center" vertical="center" wrapText="1"/>
    </xf>
    <xf numFmtId="9" fontId="23" fillId="0" borderId="87" xfId="0" applyNumberFormat="1" applyFont="1" applyBorder="1" applyAlignment="1">
      <alignment horizontal="center" vertical="center"/>
    </xf>
    <xf numFmtId="171" fontId="45" fillId="47" borderId="6" xfId="0" applyNumberFormat="1" applyFont="1" applyFill="1" applyBorder="1" applyAlignment="1">
      <alignment horizontal="right" vertical="center"/>
    </xf>
    <xf numFmtId="171" fontId="45" fillId="47" borderId="76" xfId="0" applyNumberFormat="1" applyFont="1" applyFill="1" applyBorder="1" applyAlignment="1">
      <alignment horizontal="right" vertical="center"/>
    </xf>
    <xf numFmtId="171" fontId="45" fillId="47" borderId="5" xfId="0" applyNumberFormat="1" applyFont="1" applyFill="1" applyBorder="1" applyAlignment="1">
      <alignment horizontal="right" vertical="center"/>
    </xf>
    <xf numFmtId="0" fontId="32" fillId="47" borderId="97" xfId="0" applyFont="1" applyFill="1" applyBorder="1" applyAlignment="1">
      <alignment horizontal="center" vertical="center" wrapText="1"/>
    </xf>
    <xf numFmtId="0" fontId="23" fillId="31" borderId="24" xfId="0" applyFont="1" applyFill="1" applyBorder="1" applyAlignment="1">
      <alignment horizontal="center" vertical="center" wrapText="1"/>
    </xf>
    <xf numFmtId="0" fontId="39" fillId="45" borderId="103" xfId="0" applyFont="1" applyFill="1" applyBorder="1" applyAlignment="1">
      <alignment horizontal="center" vertical="center"/>
    </xf>
    <xf numFmtId="171" fontId="47" fillId="45" borderId="75" xfId="0" applyNumberFormat="1" applyFont="1" applyFill="1" applyBorder="1" applyAlignment="1">
      <alignment horizontal="right" vertical="center"/>
    </xf>
    <xf numFmtId="171" fontId="47" fillId="45" borderId="81" xfId="0" applyNumberFormat="1" applyFont="1" applyFill="1" applyBorder="1" applyAlignment="1">
      <alignment horizontal="right" vertical="center"/>
    </xf>
    <xf numFmtId="9" fontId="23" fillId="0" borderId="70" xfId="0" applyNumberFormat="1" applyFont="1" applyBorder="1" applyAlignment="1">
      <alignment horizontal="center" vertical="center"/>
    </xf>
    <xf numFmtId="171" fontId="47" fillId="45" borderId="70" xfId="0" applyNumberFormat="1" applyFont="1" applyFill="1" applyBorder="1" applyAlignment="1">
      <alignment horizontal="right" vertical="center"/>
    </xf>
    <xf numFmtId="0" fontId="6" fillId="45" borderId="5" xfId="0" applyFont="1" applyFill="1" applyBorder="1" applyAlignment="1">
      <alignment vertical="center" wrapText="1"/>
    </xf>
    <xf numFmtId="0" fontId="39" fillId="45" borderId="9" xfId="0" applyFont="1" applyFill="1" applyBorder="1" applyAlignment="1">
      <alignment horizontal="center" vertical="center"/>
    </xf>
    <xf numFmtId="171" fontId="45" fillId="45" borderId="90" xfId="0" applyNumberFormat="1" applyFont="1" applyFill="1" applyBorder="1" applyAlignment="1">
      <alignment horizontal="right" vertical="center"/>
    </xf>
    <xf numFmtId="171" fontId="45" fillId="45" borderId="99" xfId="0" applyNumberFormat="1" applyFont="1" applyFill="1" applyBorder="1" applyAlignment="1">
      <alignment horizontal="right" vertical="center"/>
    </xf>
    <xf numFmtId="171" fontId="47" fillId="45" borderId="99" xfId="0" applyNumberFormat="1" applyFont="1" applyFill="1" applyBorder="1" applyAlignment="1">
      <alignment horizontal="right" vertical="center"/>
    </xf>
    <xf numFmtId="171" fontId="47" fillId="45" borderId="87" xfId="0" applyNumberFormat="1" applyFont="1" applyFill="1" applyBorder="1" applyAlignment="1">
      <alignment horizontal="right" vertical="center"/>
    </xf>
    <xf numFmtId="0" fontId="39" fillId="47" borderId="103" xfId="0" applyFont="1" applyFill="1" applyBorder="1" applyAlignment="1">
      <alignment horizontal="center" vertical="center"/>
    </xf>
    <xf numFmtId="9" fontId="39" fillId="47" borderId="81" xfId="0" applyNumberFormat="1" applyFont="1" applyFill="1" applyBorder="1" applyAlignment="1">
      <alignment horizontal="center" vertical="center" wrapText="1"/>
    </xf>
    <xf numFmtId="171" fontId="47" fillId="47" borderId="81" xfId="0" applyNumberFormat="1" applyFont="1" applyFill="1" applyBorder="1" applyAlignment="1">
      <alignment horizontal="right" vertical="center"/>
    </xf>
    <xf numFmtId="9" fontId="39" fillId="47" borderId="70" xfId="0" applyNumberFormat="1" applyFont="1" applyFill="1" applyBorder="1" applyAlignment="1">
      <alignment horizontal="center" vertical="center" wrapText="1"/>
    </xf>
    <xf numFmtId="171" fontId="45" fillId="47" borderId="80" xfId="0" applyNumberFormat="1" applyFont="1" applyFill="1" applyBorder="1" applyAlignment="1">
      <alignment horizontal="right" vertical="center"/>
    </xf>
    <xf numFmtId="171" fontId="47" fillId="47" borderId="77" xfId="0" applyNumberFormat="1" applyFont="1" applyFill="1" applyBorder="1" applyAlignment="1">
      <alignment horizontal="right" vertical="center"/>
    </xf>
    <xf numFmtId="171" fontId="47" fillId="47" borderId="70" xfId="0" applyNumberFormat="1" applyFont="1" applyFill="1" applyBorder="1" applyAlignment="1">
      <alignment horizontal="right" vertical="center"/>
    </xf>
    <xf numFmtId="171" fontId="45" fillId="47" borderId="77" xfId="0" applyNumberFormat="1" applyFont="1" applyFill="1" applyBorder="1" applyAlignment="1">
      <alignment horizontal="right" vertical="center"/>
    </xf>
    <xf numFmtId="171" fontId="45" fillId="47" borderId="70" xfId="0" applyNumberFormat="1" applyFont="1" applyFill="1" applyBorder="1" applyAlignment="1">
      <alignment horizontal="right" vertical="center"/>
    </xf>
    <xf numFmtId="0" fontId="6" fillId="47" borderId="71" xfId="0" applyFont="1" applyFill="1" applyBorder="1" applyAlignment="1">
      <alignment horizontal="center" vertical="center" wrapText="1"/>
    </xf>
    <xf numFmtId="0" fontId="32" fillId="47" borderId="71" xfId="0" applyFont="1" applyFill="1" applyBorder="1" applyAlignment="1">
      <alignment horizontal="center" vertical="center" wrapText="1"/>
    </xf>
    <xf numFmtId="0" fontId="39" fillId="47" borderId="87" xfId="0" applyFont="1" applyFill="1" applyBorder="1" applyAlignment="1">
      <alignment horizontal="left" vertical="center" wrapText="1"/>
    </xf>
    <xf numFmtId="0" fontId="39" fillId="47" borderId="9" xfId="0" applyFont="1" applyFill="1" applyBorder="1" applyAlignment="1">
      <alignment horizontal="center" vertical="center"/>
    </xf>
    <xf numFmtId="9" fontId="39" fillId="47" borderId="87" xfId="0" applyNumberFormat="1" applyFont="1" applyFill="1" applyBorder="1" applyAlignment="1">
      <alignment horizontal="center" vertical="center" wrapText="1"/>
    </xf>
    <xf numFmtId="171" fontId="45" fillId="47" borderId="90" xfId="0" applyNumberFormat="1" applyFont="1" applyFill="1" applyBorder="1" applyAlignment="1">
      <alignment horizontal="right" vertical="center"/>
    </xf>
    <xf numFmtId="171" fontId="45" fillId="47" borderId="99" xfId="0" applyNumberFormat="1" applyFont="1" applyFill="1" applyBorder="1" applyAlignment="1">
      <alignment horizontal="right" vertical="center"/>
    </xf>
    <xf numFmtId="171" fontId="47" fillId="47" borderId="99" xfId="0" applyNumberFormat="1" applyFont="1" applyFill="1" applyBorder="1" applyAlignment="1">
      <alignment horizontal="right" vertical="center"/>
    </xf>
    <xf numFmtId="171" fontId="45" fillId="47" borderId="87" xfId="0" applyNumberFormat="1" applyFont="1" applyFill="1" applyBorder="1" applyAlignment="1">
      <alignment horizontal="right" vertical="center"/>
    </xf>
    <xf numFmtId="0" fontId="39" fillId="45" borderId="42" xfId="0" applyFont="1" applyFill="1" applyBorder="1" applyAlignment="1">
      <alignment vertical="center" wrapText="1"/>
    </xf>
    <xf numFmtId="0" fontId="23" fillId="31" borderId="9" xfId="0" applyFont="1" applyFill="1" applyBorder="1" applyAlignment="1">
      <alignment horizontal="center" vertical="center"/>
    </xf>
    <xf numFmtId="10" fontId="4" fillId="4" borderId="5" xfId="2" applyNumberFormat="1" applyFont="1" applyFill="1" applyBorder="1" applyAlignment="1">
      <alignment horizontal="center" vertical="center" wrapText="1"/>
    </xf>
    <xf numFmtId="0" fontId="7" fillId="4" borderId="9" xfId="4" applyFont="1" applyFill="1" applyBorder="1" applyAlignment="1">
      <alignment horizontal="center" vertical="center" wrapText="1"/>
    </xf>
    <xf numFmtId="0" fontId="4" fillId="4" borderId="5" xfId="4" applyFont="1" applyFill="1" applyBorder="1" applyAlignment="1">
      <alignment horizontal="center" vertical="center" wrapText="1"/>
    </xf>
    <xf numFmtId="14" fontId="4" fillId="4" borderId="9" xfId="4" applyNumberFormat="1" applyFont="1" applyFill="1" applyBorder="1" applyAlignment="1">
      <alignment vertical="center" wrapText="1"/>
    </xf>
    <xf numFmtId="3" fontId="4" fillId="4" borderId="5" xfId="4" applyNumberFormat="1" applyFont="1" applyFill="1" applyBorder="1" applyAlignment="1">
      <alignment horizontal="center" vertical="center" wrapText="1"/>
    </xf>
    <xf numFmtId="10" fontId="4" fillId="4" borderId="0" xfId="2" applyNumberFormat="1" applyFont="1" applyFill="1" applyBorder="1" applyAlignment="1">
      <alignment horizontal="center" vertical="center" wrapText="1"/>
    </xf>
    <xf numFmtId="9" fontId="23" fillId="4" borderId="5" xfId="0" applyNumberFormat="1" applyFont="1" applyFill="1" applyBorder="1" applyAlignment="1">
      <alignment horizontal="center" vertical="center"/>
    </xf>
    <xf numFmtId="171" fontId="45" fillId="45" borderId="6" xfId="0" applyNumberFormat="1" applyFont="1" applyFill="1" applyBorder="1" applyAlignment="1">
      <alignment horizontal="right" vertical="center"/>
    </xf>
    <xf numFmtId="10" fontId="4" fillId="4" borderId="5" xfId="2" applyNumberFormat="1" applyFont="1" applyFill="1" applyBorder="1" applyAlignment="1">
      <alignment horizontal="right" vertical="center" wrapText="1"/>
    </xf>
    <xf numFmtId="171" fontId="6" fillId="4" borderId="72" xfId="0" applyNumberFormat="1" applyFont="1" applyFill="1" applyBorder="1" applyAlignment="1">
      <alignment horizontal="right" vertical="center"/>
    </xf>
    <xf numFmtId="0" fontId="6" fillId="45" borderId="0" xfId="0" applyFont="1" applyFill="1" applyAlignment="1">
      <alignment horizontal="center" vertical="center" wrapText="1"/>
    </xf>
    <xf numFmtId="0" fontId="23" fillId="32" borderId="24" xfId="0" applyFont="1" applyFill="1" applyBorder="1" applyAlignment="1">
      <alignment horizontal="center" vertical="center" wrapText="1"/>
    </xf>
    <xf numFmtId="0" fontId="23" fillId="32" borderId="103" xfId="0" applyFont="1" applyFill="1" applyBorder="1" applyAlignment="1">
      <alignment horizontal="center" vertical="center"/>
    </xf>
    <xf numFmtId="10" fontId="4" fillId="4" borderId="24" xfId="2" applyNumberFormat="1" applyFont="1" applyFill="1" applyBorder="1" applyAlignment="1">
      <alignment horizontal="center" vertical="center" wrapText="1"/>
    </xf>
    <xf numFmtId="166" fontId="7" fillId="4" borderId="6" xfId="3" applyNumberFormat="1" applyFont="1" applyFill="1" applyBorder="1" applyAlignment="1">
      <alignment vertical="center" wrapText="1"/>
    </xf>
    <xf numFmtId="0" fontId="23" fillId="32" borderId="98" xfId="0" applyFont="1" applyFill="1" applyBorder="1" applyAlignment="1">
      <alignment horizontal="center" vertical="center"/>
    </xf>
    <xf numFmtId="0" fontId="6" fillId="44" borderId="0" xfId="0" applyFont="1" applyFill="1" applyAlignment="1">
      <alignment horizontal="center" vertical="center" wrapText="1"/>
    </xf>
    <xf numFmtId="0" fontId="23" fillId="32" borderId="102" xfId="0" applyFont="1" applyFill="1" applyBorder="1" applyAlignment="1">
      <alignment horizontal="center" vertical="center"/>
    </xf>
    <xf numFmtId="4" fontId="7" fillId="24" borderId="7" xfId="4" applyNumberFormat="1" applyFont="1" applyFill="1" applyBorder="1" applyAlignment="1">
      <alignment vertical="center" wrapText="1"/>
    </xf>
    <xf numFmtId="0" fontId="39" fillId="48" borderId="103" xfId="0" applyFont="1" applyFill="1" applyBorder="1" applyAlignment="1">
      <alignment horizontal="center" vertical="center"/>
    </xf>
    <xf numFmtId="171" fontId="45" fillId="0" borderId="81" xfId="0" applyNumberFormat="1" applyFont="1" applyBorder="1" applyAlignment="1">
      <alignment horizontal="right" vertical="center"/>
    </xf>
    <xf numFmtId="171" fontId="42" fillId="0" borderId="73" xfId="0" applyNumberFormat="1" applyFont="1" applyBorder="1" applyAlignment="1">
      <alignment horizontal="right" vertical="center"/>
    </xf>
    <xf numFmtId="0" fontId="6" fillId="48" borderId="74" xfId="0" applyFont="1" applyFill="1" applyBorder="1" applyAlignment="1">
      <alignment horizontal="center" vertical="center" wrapText="1"/>
    </xf>
    <xf numFmtId="9" fontId="39" fillId="48" borderId="103" xfId="0" applyNumberFormat="1" applyFont="1" applyFill="1" applyBorder="1" applyAlignment="1">
      <alignment horizontal="center" vertical="center"/>
    </xf>
    <xf numFmtId="171" fontId="45" fillId="48" borderId="89" xfId="0" applyNumberFormat="1" applyFont="1" applyFill="1" applyBorder="1" applyAlignment="1">
      <alignment horizontal="right" vertical="center"/>
    </xf>
    <xf numFmtId="171" fontId="42" fillId="0" borderId="69" xfId="0" applyNumberFormat="1" applyFont="1" applyBorder="1" applyAlignment="1">
      <alignment horizontal="right" vertical="center"/>
    </xf>
    <xf numFmtId="0" fontId="6" fillId="48" borderId="71" xfId="0" applyFont="1" applyFill="1" applyBorder="1" applyAlignment="1">
      <alignment horizontal="center" vertical="center" wrapText="1"/>
    </xf>
    <xf numFmtId="3" fontId="4" fillId="25" borderId="21" xfId="4" applyNumberFormat="1" applyFont="1" applyFill="1" applyBorder="1" applyAlignment="1">
      <alignment vertical="center" wrapText="1"/>
    </xf>
    <xf numFmtId="3" fontId="4" fillId="25" borderId="67" xfId="4" applyNumberFormat="1" applyFont="1" applyFill="1" applyBorder="1" applyAlignment="1">
      <alignment vertical="center" wrapText="1"/>
    </xf>
    <xf numFmtId="10" fontId="4" fillId="25" borderId="40" xfId="2" applyNumberFormat="1" applyFont="1" applyFill="1" applyBorder="1" applyAlignment="1">
      <alignment horizontal="center" vertical="center" wrapText="1"/>
    </xf>
    <xf numFmtId="9" fontId="4" fillId="25" borderId="40" xfId="2" applyFont="1" applyFill="1" applyBorder="1" applyAlignment="1">
      <alignment horizontal="center" vertical="center" wrapText="1"/>
    </xf>
    <xf numFmtId="0" fontId="39" fillId="45" borderId="87" xfId="0" applyFont="1" applyFill="1" applyBorder="1" applyAlignment="1">
      <alignment vertical="center" wrapText="1"/>
    </xf>
    <xf numFmtId="0" fontId="39" fillId="45" borderId="97" xfId="0" applyFont="1" applyFill="1" applyBorder="1" applyAlignment="1">
      <alignment horizontal="center" vertical="center" wrapText="1"/>
    </xf>
    <xf numFmtId="0" fontId="6" fillId="45" borderId="97" xfId="0" applyFont="1" applyFill="1" applyBorder="1" applyAlignment="1">
      <alignment horizontal="center" vertical="center" wrapText="1"/>
    </xf>
    <xf numFmtId="0" fontId="4" fillId="63" borderId="15" xfId="4" applyFont="1" applyFill="1" applyBorder="1" applyAlignment="1">
      <alignment vertical="center" wrapText="1"/>
    </xf>
    <xf numFmtId="0" fontId="4" fillId="63" borderId="14" xfId="4" applyFont="1" applyFill="1" applyBorder="1" applyAlignment="1">
      <alignment vertical="center" wrapText="1"/>
    </xf>
    <xf numFmtId="14" fontId="4" fillId="63" borderId="14" xfId="4" applyNumberFormat="1" applyFont="1" applyFill="1" applyBorder="1" applyAlignment="1">
      <alignment vertical="center" wrapText="1"/>
    </xf>
    <xf numFmtId="0" fontId="4" fillId="63" borderId="14" xfId="4" applyFont="1" applyFill="1" applyBorder="1" applyAlignment="1">
      <alignment horizontal="center" vertical="center" wrapText="1"/>
    </xf>
    <xf numFmtId="0" fontId="7" fillId="24" borderId="15" xfId="4" applyFont="1" applyFill="1" applyBorder="1" applyAlignment="1">
      <alignment vertical="center" wrapText="1"/>
    </xf>
    <xf numFmtId="0" fontId="7" fillId="24" borderId="14" xfId="4" applyFont="1" applyFill="1" applyBorder="1" applyAlignment="1">
      <alignment vertical="center" wrapText="1"/>
    </xf>
    <xf numFmtId="0" fontId="7" fillId="24" borderId="14" xfId="4" applyFont="1" applyFill="1" applyBorder="1" applyAlignment="1">
      <alignment horizontal="center" vertical="center" wrapText="1"/>
    </xf>
    <xf numFmtId="0" fontId="4" fillId="25" borderId="14" xfId="4" applyFont="1" applyFill="1" applyBorder="1" applyAlignment="1">
      <alignment vertical="center" wrapText="1"/>
    </xf>
    <xf numFmtId="0" fontId="4" fillId="25" borderId="14" xfId="4" applyFont="1" applyFill="1" applyBorder="1" applyAlignment="1">
      <alignment horizontal="center" vertical="center" wrapText="1"/>
    </xf>
    <xf numFmtId="0" fontId="39" fillId="49" borderId="5" xfId="0" applyFont="1" applyFill="1" applyBorder="1" applyAlignment="1">
      <alignment vertical="center" wrapText="1"/>
    </xf>
    <xf numFmtId="0" fontId="23" fillId="33" borderId="9" xfId="0" applyFont="1" applyFill="1" applyBorder="1" applyAlignment="1">
      <alignment horizontal="center" vertical="center"/>
    </xf>
    <xf numFmtId="0" fontId="4" fillId="0" borderId="9" xfId="4" applyFont="1" applyBorder="1" applyAlignment="1">
      <alignment vertical="center" wrapText="1"/>
    </xf>
    <xf numFmtId="0" fontId="4" fillId="0" borderId="9" xfId="4" applyFont="1" applyBorder="1" applyAlignment="1">
      <alignment horizontal="center" vertical="center" wrapText="1"/>
    </xf>
    <xf numFmtId="171" fontId="45" fillId="49" borderId="6" xfId="0" applyNumberFormat="1" applyFont="1" applyFill="1" applyBorder="1" applyAlignment="1">
      <alignment horizontal="right" vertical="center"/>
    </xf>
    <xf numFmtId="171" fontId="45" fillId="49" borderId="76" xfId="0" applyNumberFormat="1" applyFont="1" applyFill="1" applyBorder="1" applyAlignment="1">
      <alignment horizontal="right" vertical="center"/>
    </xf>
    <xf numFmtId="171" fontId="45" fillId="49" borderId="5" xfId="0" applyNumberFormat="1" applyFont="1" applyFill="1" applyBorder="1" applyAlignment="1">
      <alignment horizontal="right" vertical="center"/>
    </xf>
    <xf numFmtId="0" fontId="39" fillId="49" borderId="0" xfId="0" applyFont="1" applyFill="1" applyAlignment="1">
      <alignment horizontal="center" vertical="center" wrapText="1"/>
    </xf>
    <xf numFmtId="0" fontId="39" fillId="50" borderId="5" xfId="0" applyFont="1" applyFill="1" applyBorder="1" applyAlignment="1">
      <alignment vertical="center" wrapText="1"/>
    </xf>
    <xf numFmtId="0" fontId="23" fillId="34" borderId="0" xfId="0" applyFont="1" applyFill="1" applyAlignment="1">
      <alignment horizontal="center" vertical="center" wrapText="1"/>
    </xf>
    <xf numFmtId="0" fontId="23" fillId="32" borderId="9" xfId="0" applyFont="1" applyFill="1" applyBorder="1" applyAlignment="1">
      <alignment horizontal="center" vertical="center"/>
    </xf>
    <xf numFmtId="171" fontId="25" fillId="50" borderId="6" xfId="0" applyNumberFormat="1" applyFont="1" applyFill="1" applyBorder="1" applyAlignment="1">
      <alignment horizontal="right" vertical="center"/>
    </xf>
    <xf numFmtId="171" fontId="25" fillId="51" borderId="76" xfId="0" applyNumberFormat="1" applyFont="1" applyFill="1" applyBorder="1" applyAlignment="1">
      <alignment horizontal="right" vertical="center"/>
    </xf>
    <xf numFmtId="171" fontId="25" fillId="51" borderId="5" xfId="0" applyNumberFormat="1" applyFont="1" applyFill="1" applyBorder="1" applyAlignment="1">
      <alignment horizontal="right" vertical="center"/>
    </xf>
    <xf numFmtId="0" fontId="32" fillId="50" borderId="0" xfId="0" applyFont="1" applyFill="1" applyAlignment="1">
      <alignment horizontal="center" vertical="center" wrapText="1"/>
    </xf>
    <xf numFmtId="171" fontId="25" fillId="51" borderId="6" xfId="0" applyNumberFormat="1" applyFont="1" applyFill="1" applyBorder="1" applyAlignment="1">
      <alignment horizontal="right" vertical="center"/>
    </xf>
    <xf numFmtId="0" fontId="32" fillId="51" borderId="0" xfId="0" applyFont="1" applyFill="1" applyAlignment="1">
      <alignment horizontal="center" vertical="center" wrapText="1"/>
    </xf>
    <xf numFmtId="0" fontId="23" fillId="34" borderId="103" xfId="0" applyFont="1" applyFill="1" applyBorder="1" applyAlignment="1">
      <alignment horizontal="center" vertical="center"/>
    </xf>
    <xf numFmtId="171" fontId="25" fillId="51" borderId="81" xfId="0" applyNumberFormat="1" applyFont="1" applyFill="1" applyBorder="1" applyAlignment="1">
      <alignment horizontal="right" vertical="center"/>
    </xf>
    <xf numFmtId="0" fontId="32" fillId="50" borderId="74" xfId="0" applyFont="1" applyFill="1" applyBorder="1" applyAlignment="1">
      <alignment horizontal="center" vertical="center" wrapText="1"/>
    </xf>
    <xf numFmtId="0" fontId="4" fillId="0" borderId="109" xfId="4" applyFont="1" applyBorder="1" applyAlignment="1">
      <alignment vertical="center" wrapText="1"/>
    </xf>
    <xf numFmtId="0" fontId="4" fillId="0" borderId="110" xfId="4" applyFont="1" applyBorder="1" applyAlignment="1">
      <alignment vertical="center" wrapText="1"/>
    </xf>
    <xf numFmtId="0" fontId="7" fillId="21" borderId="40" xfId="0" applyFont="1" applyFill="1" applyBorder="1" applyAlignment="1">
      <alignment vertical="center" wrapText="1"/>
    </xf>
    <xf numFmtId="1" fontId="7" fillId="24" borderId="21" xfId="4" applyNumberFormat="1" applyFont="1" applyFill="1" applyBorder="1" applyAlignment="1">
      <alignment horizontal="center" vertical="center" wrapText="1"/>
    </xf>
    <xf numFmtId="10" fontId="7" fillId="24" borderId="40" xfId="2" applyNumberFormat="1" applyFont="1" applyFill="1" applyBorder="1" applyAlignment="1">
      <alignment horizontal="center" vertical="center" wrapText="1"/>
    </xf>
    <xf numFmtId="0" fontId="7" fillId="24" borderId="40" xfId="4" applyFont="1" applyFill="1" applyBorder="1" applyAlignment="1">
      <alignment vertical="center" wrapText="1"/>
    </xf>
    <xf numFmtId="0" fontId="7" fillId="24" borderId="21" xfId="4" applyFont="1" applyFill="1" applyBorder="1" applyAlignment="1">
      <alignment vertical="center" wrapText="1"/>
    </xf>
    <xf numFmtId="3" fontId="7" fillId="24" borderId="40" xfId="4" applyNumberFormat="1" applyFont="1" applyFill="1" applyBorder="1" applyAlignment="1">
      <alignment vertical="center" wrapText="1"/>
    </xf>
    <xf numFmtId="14" fontId="7" fillId="24" borderId="39" xfId="4" applyNumberFormat="1" applyFont="1" applyFill="1" applyBorder="1" applyAlignment="1">
      <alignment vertical="center" wrapText="1"/>
    </xf>
    <xf numFmtId="9" fontId="7" fillId="23" borderId="39" xfId="2" applyFont="1" applyFill="1" applyBorder="1" applyAlignment="1">
      <alignment horizontal="center" vertical="center" wrapText="1"/>
    </xf>
    <xf numFmtId="3" fontId="7" fillId="24" borderId="68" xfId="4" applyNumberFormat="1" applyFont="1" applyFill="1" applyBorder="1" applyAlignment="1">
      <alignment vertical="center" wrapText="1"/>
    </xf>
    <xf numFmtId="10" fontId="7" fillId="24" borderId="40" xfId="2" applyNumberFormat="1" applyFont="1" applyFill="1" applyBorder="1" applyAlignment="1">
      <alignment horizontal="right" vertical="center" wrapText="1"/>
    </xf>
    <xf numFmtId="0" fontId="23" fillId="33" borderId="24" xfId="0" applyFont="1" applyFill="1" applyBorder="1" applyAlignment="1">
      <alignment horizontal="center" vertical="center" wrapText="1"/>
    </xf>
    <xf numFmtId="0" fontId="23" fillId="33" borderId="103" xfId="0" applyFont="1" applyFill="1" applyBorder="1" applyAlignment="1">
      <alignment horizontal="center" vertical="center"/>
    </xf>
    <xf numFmtId="0" fontId="23" fillId="34" borderId="89" xfId="0" applyFont="1" applyFill="1" applyBorder="1" applyAlignment="1">
      <alignment horizontal="center" vertical="center"/>
    </xf>
    <xf numFmtId="171" fontId="25" fillId="49" borderId="81" xfId="0" applyNumberFormat="1" applyFont="1" applyFill="1" applyBorder="1" applyAlignment="1">
      <alignment horizontal="right" vertical="center"/>
    </xf>
    <xf numFmtId="0" fontId="32" fillId="49" borderId="74" xfId="0" applyFont="1" applyFill="1" applyBorder="1" applyAlignment="1">
      <alignment horizontal="center" vertical="center" wrapText="1"/>
    </xf>
    <xf numFmtId="0" fontId="23" fillId="33" borderId="102" xfId="0" applyFont="1" applyFill="1" applyBorder="1" applyAlignment="1">
      <alignment horizontal="center" vertical="center"/>
    </xf>
    <xf numFmtId="0" fontId="23" fillId="34" borderId="90" xfId="0" applyFont="1" applyFill="1" applyBorder="1" applyAlignment="1">
      <alignment horizontal="center" vertical="center"/>
    </xf>
    <xf numFmtId="0" fontId="4" fillId="0" borderId="21" xfId="4" applyFont="1" applyBorder="1" applyAlignment="1">
      <alignment vertical="center" wrapText="1"/>
    </xf>
    <xf numFmtId="0" fontId="25" fillId="49" borderId="6" xfId="0" applyFont="1" applyFill="1" applyBorder="1" applyAlignment="1">
      <alignment horizontal="right" vertical="center"/>
    </xf>
    <xf numFmtId="0" fontId="25" fillId="49" borderId="76" xfId="0" applyFont="1" applyFill="1" applyBorder="1" applyAlignment="1">
      <alignment horizontal="right" vertical="center"/>
    </xf>
    <xf numFmtId="171" fontId="25" fillId="49" borderId="6" xfId="0" applyNumberFormat="1" applyFont="1" applyFill="1" applyBorder="1" applyAlignment="1">
      <alignment horizontal="right" vertical="center"/>
    </xf>
    <xf numFmtId="0" fontId="25" fillId="49" borderId="5" xfId="0" applyFont="1" applyFill="1" applyBorder="1" applyAlignment="1">
      <alignment horizontal="right" vertical="center"/>
    </xf>
    <xf numFmtId="0" fontId="32" fillId="49" borderId="97" xfId="0" applyFont="1" applyFill="1" applyBorder="1" applyAlignment="1">
      <alignment horizontal="center" vertical="center" wrapText="1"/>
    </xf>
    <xf numFmtId="0" fontId="39" fillId="51" borderId="0" xfId="0" applyFont="1" applyFill="1" applyAlignment="1">
      <alignment horizontal="center" vertical="center" wrapText="1"/>
    </xf>
    <xf numFmtId="0" fontId="4" fillId="4" borderId="5" xfId="4" applyFont="1" applyFill="1" applyBorder="1" applyAlignment="1">
      <alignment vertical="center" wrapText="1"/>
    </xf>
    <xf numFmtId="171" fontId="6" fillId="0" borderId="76" xfId="0" applyNumberFormat="1" applyFont="1" applyBorder="1" applyAlignment="1">
      <alignment horizontal="right" vertical="center"/>
    </xf>
    <xf numFmtId="171" fontId="6" fillId="0" borderId="5" xfId="0" applyNumberFormat="1" applyFont="1" applyBorder="1" applyAlignment="1">
      <alignment horizontal="right" vertical="center"/>
    </xf>
    <xf numFmtId="0" fontId="32" fillId="49" borderId="0" xfId="0" applyFont="1" applyFill="1" applyAlignment="1">
      <alignment horizontal="center" vertical="center" wrapText="1"/>
    </xf>
    <xf numFmtId="0" fontId="42" fillId="51" borderId="0" xfId="0" applyFont="1" applyFill="1" applyAlignment="1">
      <alignment horizontal="center" vertical="center" wrapText="1"/>
    </xf>
    <xf numFmtId="0" fontId="39" fillId="50" borderId="103" xfId="0" applyFont="1" applyFill="1" applyBorder="1" applyAlignment="1">
      <alignment horizontal="center" vertical="center"/>
    </xf>
    <xf numFmtId="0" fontId="4" fillId="4" borderId="0" xfId="4" applyFont="1" applyFill="1" applyAlignment="1">
      <alignment vertical="center" wrapText="1"/>
    </xf>
    <xf numFmtId="0" fontId="4" fillId="4" borderId="9" xfId="4" applyFont="1" applyFill="1" applyBorder="1" applyAlignment="1">
      <alignment vertical="center" wrapText="1"/>
    </xf>
    <xf numFmtId="0" fontId="4" fillId="4" borderId="9" xfId="4" applyFont="1" applyFill="1" applyBorder="1" applyAlignment="1">
      <alignment horizontal="center" vertical="center" wrapText="1"/>
    </xf>
    <xf numFmtId="9" fontId="39" fillId="50" borderId="81" xfId="0" applyNumberFormat="1" applyFont="1" applyFill="1" applyBorder="1" applyAlignment="1">
      <alignment horizontal="center" vertical="center" wrapText="1"/>
    </xf>
    <xf numFmtId="0" fontId="25" fillId="50" borderId="81" xfId="0" applyFont="1" applyFill="1" applyBorder="1" applyAlignment="1">
      <alignment horizontal="right" vertical="center"/>
    </xf>
    <xf numFmtId="0" fontId="4" fillId="4" borderId="21" xfId="4" applyFont="1" applyFill="1" applyBorder="1" applyAlignment="1">
      <alignment vertical="center" wrapText="1"/>
    </xf>
    <xf numFmtId="0" fontId="4" fillId="4" borderId="39" xfId="4" applyFont="1" applyFill="1" applyBorder="1" applyAlignment="1">
      <alignment vertical="center" wrapText="1"/>
    </xf>
    <xf numFmtId="0" fontId="4" fillId="4" borderId="39" xfId="4" applyFont="1" applyFill="1" applyBorder="1" applyAlignment="1">
      <alignment horizontal="center" vertical="center" wrapText="1"/>
    </xf>
    <xf numFmtId="9" fontId="39" fillId="50" borderId="5" xfId="0" applyNumberFormat="1" applyFont="1" applyFill="1" applyBorder="1" applyAlignment="1">
      <alignment horizontal="center" vertical="center" wrapText="1"/>
    </xf>
    <xf numFmtId="9" fontId="39" fillId="50" borderId="103" xfId="0" applyNumberFormat="1" applyFont="1" applyFill="1" applyBorder="1" applyAlignment="1">
      <alignment horizontal="center" vertical="center"/>
    </xf>
    <xf numFmtId="9" fontId="39" fillId="50" borderId="75" xfId="0" applyNumberFormat="1" applyFont="1" applyFill="1" applyBorder="1" applyAlignment="1">
      <alignment horizontal="center" vertical="center"/>
    </xf>
    <xf numFmtId="9" fontId="39" fillId="50" borderId="87" xfId="0" applyNumberFormat="1" applyFont="1" applyFill="1" applyBorder="1" applyAlignment="1">
      <alignment horizontal="center" vertical="center" wrapText="1"/>
    </xf>
    <xf numFmtId="171" fontId="25" fillId="50" borderId="81" xfId="0" applyNumberFormat="1" applyFont="1" applyFill="1" applyBorder="1" applyAlignment="1">
      <alignment horizontal="right" vertical="center"/>
    </xf>
    <xf numFmtId="0" fontId="32" fillId="50" borderId="71" xfId="0" applyFont="1" applyFill="1" applyBorder="1" applyAlignment="1">
      <alignment horizontal="center" vertical="center" wrapText="1"/>
    </xf>
    <xf numFmtId="0" fontId="39" fillId="50" borderId="9" xfId="0" applyFont="1" applyFill="1" applyBorder="1" applyAlignment="1">
      <alignment horizontal="center" vertical="center"/>
    </xf>
    <xf numFmtId="171" fontId="23" fillId="50" borderId="90" xfId="0" applyNumberFormat="1" applyFont="1" applyFill="1" applyBorder="1" applyAlignment="1">
      <alignment horizontal="right" vertical="center"/>
    </xf>
    <xf numFmtId="0" fontId="25" fillId="50" borderId="76" xfId="0" applyFont="1" applyFill="1" applyBorder="1" applyAlignment="1">
      <alignment horizontal="right" vertical="center"/>
    </xf>
    <xf numFmtId="0" fontId="25" fillId="50" borderId="5" xfId="0" applyFont="1" applyFill="1" applyBorder="1" applyAlignment="1">
      <alignment horizontal="right" vertical="center"/>
    </xf>
    <xf numFmtId="0" fontId="32" fillId="50" borderId="97" xfId="0" applyFont="1" applyFill="1" applyBorder="1" applyAlignment="1">
      <alignment horizontal="center" vertical="center" wrapText="1"/>
    </xf>
    <xf numFmtId="0" fontId="6" fillId="51" borderId="0" xfId="0" applyFont="1" applyFill="1" applyAlignment="1">
      <alignment horizontal="center" vertical="center" wrapText="1"/>
    </xf>
    <xf numFmtId="171" fontId="23" fillId="50" borderId="89" xfId="0" applyNumberFormat="1" applyFont="1" applyFill="1" applyBorder="1" applyAlignment="1">
      <alignment horizontal="right" vertical="center"/>
    </xf>
    <xf numFmtId="9" fontId="39" fillId="50" borderId="70" xfId="0" applyNumberFormat="1" applyFont="1" applyFill="1" applyBorder="1" applyAlignment="1">
      <alignment horizontal="center" vertical="center" wrapText="1"/>
    </xf>
    <xf numFmtId="0" fontId="6" fillId="50" borderId="87" xfId="0" applyFont="1" applyFill="1" applyBorder="1" applyAlignment="1">
      <alignment horizontal="left" vertical="center" wrapText="1"/>
    </xf>
    <xf numFmtId="171" fontId="25" fillId="50" borderId="90" xfId="0" applyNumberFormat="1" applyFont="1" applyFill="1" applyBorder="1" applyAlignment="1">
      <alignment horizontal="right" vertical="center"/>
    </xf>
    <xf numFmtId="0" fontId="39" fillId="51" borderId="103" xfId="0" applyFont="1" applyFill="1" applyBorder="1" applyAlignment="1">
      <alignment horizontal="center" vertical="center"/>
    </xf>
    <xf numFmtId="9" fontId="39" fillId="51" borderId="5" xfId="0" applyNumberFormat="1" applyFont="1" applyFill="1" applyBorder="1" applyAlignment="1">
      <alignment horizontal="center" vertical="center" wrapText="1"/>
    </xf>
    <xf numFmtId="9" fontId="39" fillId="51" borderId="87" xfId="0" applyNumberFormat="1" applyFont="1" applyFill="1" applyBorder="1" applyAlignment="1">
      <alignment horizontal="center" vertical="center" wrapText="1"/>
    </xf>
    <xf numFmtId="9" fontId="39" fillId="51" borderId="103" xfId="0" applyNumberFormat="1" applyFont="1" applyFill="1" applyBorder="1" applyAlignment="1">
      <alignment horizontal="center" vertical="center"/>
    </xf>
    <xf numFmtId="9" fontId="39" fillId="51" borderId="75" xfId="0" applyNumberFormat="1" applyFont="1" applyFill="1" applyBorder="1" applyAlignment="1">
      <alignment horizontal="center" vertical="center"/>
    </xf>
    <xf numFmtId="9" fontId="39" fillId="51" borderId="70" xfId="0" applyNumberFormat="1" applyFont="1" applyFill="1" applyBorder="1" applyAlignment="1">
      <alignment horizontal="center" vertical="center" wrapText="1"/>
    </xf>
    <xf numFmtId="9" fontId="39" fillId="51" borderId="81" xfId="0" applyNumberFormat="1" applyFont="1" applyFill="1" applyBorder="1" applyAlignment="1">
      <alignment horizontal="center" vertical="center" wrapText="1"/>
    </xf>
    <xf numFmtId="0" fontId="39" fillId="51" borderId="75" xfId="0" applyFont="1" applyFill="1" applyBorder="1" applyAlignment="1">
      <alignment horizontal="center" vertical="center"/>
    </xf>
    <xf numFmtId="9" fontId="7" fillId="24" borderId="39" xfId="2" applyFont="1" applyFill="1" applyBorder="1" applyAlignment="1">
      <alignment horizontal="center" vertical="center" wrapText="1"/>
    </xf>
    <xf numFmtId="9" fontId="39" fillId="49" borderId="103" xfId="0" applyNumberFormat="1" applyFont="1" applyFill="1" applyBorder="1" applyAlignment="1">
      <alignment horizontal="center" vertical="center"/>
    </xf>
    <xf numFmtId="170" fontId="39" fillId="49" borderId="75" xfId="0" applyNumberFormat="1" applyFont="1" applyFill="1" applyBorder="1" applyAlignment="1">
      <alignment horizontal="center" vertical="center"/>
    </xf>
    <xf numFmtId="9" fontId="39" fillId="49" borderId="81" xfId="0" applyNumberFormat="1" applyFont="1" applyFill="1" applyBorder="1" applyAlignment="1">
      <alignment horizontal="center" vertical="center" wrapText="1"/>
    </xf>
    <xf numFmtId="171" fontId="4" fillId="49" borderId="66" xfId="0" applyNumberFormat="1" applyFont="1" applyFill="1" applyBorder="1" applyAlignment="1">
      <alignment vertical="center"/>
    </xf>
    <xf numFmtId="0" fontId="32" fillId="49" borderId="71" xfId="0" applyFont="1" applyFill="1" applyBorder="1" applyAlignment="1">
      <alignment horizontal="center" vertical="center" wrapText="1"/>
    </xf>
    <xf numFmtId="0" fontId="39" fillId="49" borderId="103" xfId="0" applyFont="1" applyFill="1" applyBorder="1" applyAlignment="1">
      <alignment horizontal="center" vertical="center"/>
    </xf>
    <xf numFmtId="0" fontId="39" fillId="49" borderId="75" xfId="0" applyFont="1" applyFill="1" applyBorder="1" applyAlignment="1">
      <alignment horizontal="center" vertical="center"/>
    </xf>
    <xf numFmtId="0" fontId="25" fillId="49" borderId="89" xfId="0" applyFont="1" applyFill="1" applyBorder="1" applyAlignment="1">
      <alignment horizontal="right" vertical="center"/>
    </xf>
    <xf numFmtId="0" fontId="39" fillId="49" borderId="9" xfId="0" applyFont="1" applyFill="1" applyBorder="1" applyAlignment="1">
      <alignment horizontal="center" vertical="center"/>
    </xf>
    <xf numFmtId="0" fontId="39" fillId="49" borderId="76" xfId="0" applyFont="1" applyFill="1" applyBorder="1" applyAlignment="1">
      <alignment horizontal="center" vertical="center"/>
    </xf>
    <xf numFmtId="0" fontId="39" fillId="49" borderId="72" xfId="0" applyFont="1" applyFill="1" applyBorder="1" applyAlignment="1">
      <alignment horizontal="center" vertical="center"/>
    </xf>
    <xf numFmtId="9" fontId="39" fillId="49" borderId="5" xfId="0" applyNumberFormat="1" applyFont="1" applyFill="1" applyBorder="1" applyAlignment="1">
      <alignment horizontal="center" vertical="center" wrapText="1"/>
    </xf>
    <xf numFmtId="171" fontId="25" fillId="49" borderId="76" xfId="0" applyNumberFormat="1" applyFont="1" applyFill="1" applyBorder="1" applyAlignment="1">
      <alignment horizontal="right" vertical="center"/>
    </xf>
    <xf numFmtId="171" fontId="25" fillId="49" borderId="5" xfId="0" applyNumberFormat="1" applyFont="1" applyFill="1" applyBorder="1" applyAlignment="1">
      <alignment horizontal="right" vertical="center"/>
    </xf>
    <xf numFmtId="9" fontId="39" fillId="49" borderId="5" xfId="0" applyNumberFormat="1" applyFont="1" applyFill="1" applyBorder="1" applyAlignment="1">
      <alignment horizontal="center" vertical="center"/>
    </xf>
    <xf numFmtId="0" fontId="39" fillId="50" borderId="76" xfId="0" applyFont="1" applyFill="1" applyBorder="1" applyAlignment="1">
      <alignment horizontal="center" vertical="center"/>
    </xf>
    <xf numFmtId="171" fontId="25" fillId="50" borderId="76" xfId="0" applyNumberFormat="1" applyFont="1" applyFill="1" applyBorder="1" applyAlignment="1">
      <alignment horizontal="right" vertical="center"/>
    </xf>
    <xf numFmtId="0" fontId="25" fillId="50" borderId="6" xfId="0" applyFont="1" applyFill="1" applyBorder="1" applyAlignment="1">
      <alignment horizontal="right" vertical="center"/>
    </xf>
    <xf numFmtId="171" fontId="25" fillId="50" borderId="5" xfId="0" applyNumberFormat="1" applyFont="1" applyFill="1" applyBorder="1" applyAlignment="1">
      <alignment horizontal="right" vertical="center"/>
    </xf>
    <xf numFmtId="1" fontId="4" fillId="25" borderId="24" xfId="4" applyNumberFormat="1" applyFont="1" applyFill="1" applyBorder="1" applyAlignment="1">
      <alignment horizontal="center" vertical="center" wrapText="1"/>
    </xf>
    <xf numFmtId="10" fontId="4" fillId="25" borderId="43" xfId="2" applyNumberFormat="1" applyFont="1" applyFill="1" applyBorder="1" applyAlignment="1">
      <alignment horizontal="center" vertical="center" wrapText="1"/>
    </xf>
    <xf numFmtId="0" fontId="4" fillId="25" borderId="5" xfId="4" applyFont="1" applyFill="1" applyBorder="1" applyAlignment="1">
      <alignment vertical="center" wrapText="1"/>
    </xf>
    <xf numFmtId="0" fontId="4" fillId="25" borderId="0" xfId="4" applyFont="1" applyFill="1" applyAlignment="1">
      <alignment vertical="center" wrapText="1"/>
    </xf>
    <xf numFmtId="3" fontId="4" fillId="25" borderId="43" xfId="4" applyNumberFormat="1" applyFont="1" applyFill="1" applyBorder="1" applyAlignment="1">
      <alignment vertical="center" wrapText="1"/>
    </xf>
    <xf numFmtId="0" fontId="4" fillId="25" borderId="9" xfId="4" applyFont="1" applyFill="1" applyBorder="1" applyAlignment="1">
      <alignment vertical="center" wrapText="1"/>
    </xf>
    <xf numFmtId="14" fontId="4" fillId="25" borderId="35" xfId="4" applyNumberFormat="1" applyFont="1" applyFill="1" applyBorder="1" applyAlignment="1">
      <alignment vertical="center" wrapText="1"/>
    </xf>
    <xf numFmtId="0" fontId="4" fillId="25" borderId="9" xfId="4" applyFont="1" applyFill="1" applyBorder="1" applyAlignment="1">
      <alignment horizontal="center" vertical="center" wrapText="1"/>
    </xf>
    <xf numFmtId="9" fontId="4" fillId="25" borderId="35" xfId="2" applyFont="1" applyFill="1" applyBorder="1" applyAlignment="1">
      <alignment horizontal="center" vertical="center" wrapText="1"/>
    </xf>
    <xf numFmtId="3" fontId="4" fillId="25" borderId="66" xfId="4" applyNumberFormat="1" applyFont="1" applyFill="1" applyBorder="1" applyAlignment="1">
      <alignment vertical="center" wrapText="1"/>
    </xf>
    <xf numFmtId="10" fontId="4" fillId="25" borderId="43" xfId="2" applyNumberFormat="1" applyFont="1" applyFill="1" applyBorder="1" applyAlignment="1">
      <alignment horizontal="right" vertical="center" wrapText="1"/>
    </xf>
    <xf numFmtId="3" fontId="4" fillId="25" borderId="5" xfId="4" applyNumberFormat="1" applyFont="1" applyFill="1" applyBorder="1" applyAlignment="1">
      <alignment horizontal="center" vertical="center" wrapText="1"/>
    </xf>
    <xf numFmtId="3" fontId="7" fillId="25" borderId="24" xfId="4" applyNumberFormat="1" applyFont="1" applyFill="1" applyBorder="1" applyAlignment="1">
      <alignment vertical="center" wrapText="1"/>
    </xf>
    <xf numFmtId="3" fontId="7" fillId="25" borderId="66" xfId="4" applyNumberFormat="1" applyFont="1" applyFill="1" applyBorder="1" applyAlignment="1">
      <alignment vertical="center" wrapText="1"/>
    </xf>
    <xf numFmtId="9" fontId="4" fillId="25" borderId="5" xfId="2" applyFont="1" applyFill="1" applyBorder="1" applyAlignment="1">
      <alignment horizontal="center" vertical="center" wrapText="1"/>
    </xf>
    <xf numFmtId="3" fontId="7" fillId="25" borderId="9" xfId="4" applyNumberFormat="1" applyFont="1" applyFill="1" applyBorder="1" applyAlignment="1">
      <alignment vertical="center" wrapText="1"/>
    </xf>
    <xf numFmtId="3" fontId="7" fillId="25" borderId="35" xfId="4" applyNumberFormat="1" applyFont="1" applyFill="1" applyBorder="1" applyAlignment="1">
      <alignment vertical="center" wrapText="1"/>
    </xf>
    <xf numFmtId="3" fontId="7" fillId="25" borderId="43" xfId="4" applyNumberFormat="1" applyFont="1" applyFill="1" applyBorder="1" applyAlignment="1">
      <alignment vertical="center" wrapText="1"/>
    </xf>
    <xf numFmtId="0" fontId="4" fillId="25" borderId="43" xfId="4" applyFont="1" applyFill="1" applyBorder="1" applyAlignment="1">
      <alignment vertical="center" wrapText="1"/>
    </xf>
    <xf numFmtId="171" fontId="6" fillId="0" borderId="90" xfId="0" applyNumberFormat="1" applyFont="1" applyBorder="1" applyAlignment="1">
      <alignment horizontal="right" vertical="center"/>
    </xf>
    <xf numFmtId="171" fontId="6" fillId="0" borderId="99" xfId="0" applyNumberFormat="1" applyFont="1" applyBorder="1" applyAlignment="1">
      <alignment horizontal="right" vertical="center"/>
    </xf>
    <xf numFmtId="171" fontId="6" fillId="0" borderId="87" xfId="0" applyNumberFormat="1" applyFont="1" applyBorder="1" applyAlignment="1">
      <alignment horizontal="right" vertical="center"/>
    </xf>
    <xf numFmtId="4" fontId="7" fillId="63" borderId="12" xfId="4" applyNumberFormat="1" applyFont="1" applyFill="1" applyBorder="1" applyAlignment="1">
      <alignment vertical="center" wrapText="1"/>
    </xf>
    <xf numFmtId="10" fontId="4" fillId="25" borderId="5" xfId="2" applyNumberFormat="1" applyFont="1" applyFill="1" applyBorder="1" applyAlignment="1">
      <alignment horizontal="center" vertical="center" wrapText="1"/>
    </xf>
    <xf numFmtId="0" fontId="39" fillId="52" borderId="103" xfId="0" applyFont="1" applyFill="1" applyBorder="1" applyAlignment="1">
      <alignment horizontal="center" vertical="center"/>
    </xf>
    <xf numFmtId="9" fontId="39" fillId="52" borderId="81" xfId="0" applyNumberFormat="1" applyFont="1" applyFill="1" applyBorder="1" applyAlignment="1">
      <alignment horizontal="center" vertical="center" wrapText="1"/>
    </xf>
    <xf numFmtId="171" fontId="25" fillId="52" borderId="81" xfId="0" applyNumberFormat="1" applyFont="1" applyFill="1" applyBorder="1" applyAlignment="1">
      <alignment horizontal="right" vertical="center"/>
    </xf>
    <xf numFmtId="0" fontId="32" fillId="52" borderId="71" xfId="0" applyFont="1" applyFill="1" applyBorder="1" applyAlignment="1">
      <alignment horizontal="center" vertical="center" wrapText="1"/>
    </xf>
    <xf numFmtId="9" fontId="39" fillId="52" borderId="103" xfId="0" applyNumberFormat="1" applyFont="1" applyFill="1" applyBorder="1" applyAlignment="1">
      <alignment horizontal="center" vertical="center"/>
    </xf>
    <xf numFmtId="0" fontId="39" fillId="52" borderId="9" xfId="0" applyFont="1" applyFill="1" applyBorder="1" applyAlignment="1">
      <alignment horizontal="center" vertical="center"/>
    </xf>
    <xf numFmtId="0" fontId="39" fillId="52" borderId="76" xfId="0" applyFont="1" applyFill="1" applyBorder="1" applyAlignment="1">
      <alignment horizontal="center" vertical="center"/>
    </xf>
    <xf numFmtId="9" fontId="39" fillId="52" borderId="5" xfId="0" applyNumberFormat="1" applyFont="1" applyFill="1" applyBorder="1" applyAlignment="1">
      <alignment horizontal="center" vertical="center" wrapText="1"/>
    </xf>
    <xf numFmtId="171" fontId="25" fillId="52" borderId="6" xfId="0" applyNumberFormat="1" applyFont="1" applyFill="1" applyBorder="1" applyAlignment="1">
      <alignment horizontal="right" vertical="center"/>
    </xf>
    <xf numFmtId="171" fontId="25" fillId="52" borderId="76" xfId="0" applyNumberFormat="1" applyFont="1" applyFill="1" applyBorder="1" applyAlignment="1">
      <alignment horizontal="right" vertical="center"/>
    </xf>
    <xf numFmtId="171" fontId="25" fillId="52" borderId="5" xfId="0" applyNumberFormat="1" applyFont="1" applyFill="1" applyBorder="1" applyAlignment="1">
      <alignment horizontal="right" vertical="center"/>
    </xf>
    <xf numFmtId="0" fontId="32" fillId="52" borderId="97" xfId="0" applyFont="1" applyFill="1" applyBorder="1" applyAlignment="1">
      <alignment horizontal="center" vertical="center" wrapText="1"/>
    </xf>
    <xf numFmtId="10" fontId="4" fillId="25" borderId="35" xfId="2" applyNumberFormat="1" applyFont="1" applyFill="1" applyBorder="1" applyAlignment="1">
      <alignment horizontal="center" vertical="center" wrapText="1"/>
    </xf>
    <xf numFmtId="0" fontId="4" fillId="25" borderId="1" xfId="4" applyFont="1" applyFill="1" applyBorder="1" applyAlignment="1">
      <alignment vertical="center" wrapText="1"/>
    </xf>
    <xf numFmtId="0" fontId="4" fillId="25" borderId="43" xfId="4" applyFont="1" applyFill="1" applyBorder="1" applyAlignment="1">
      <alignment horizontal="center" vertical="center" wrapText="1"/>
    </xf>
    <xf numFmtId="0" fontId="39" fillId="53" borderId="103" xfId="0" applyFont="1" applyFill="1" applyBorder="1" applyAlignment="1">
      <alignment horizontal="center" vertical="center"/>
    </xf>
    <xf numFmtId="171" fontId="25" fillId="53" borderId="81" xfId="0" applyNumberFormat="1" applyFont="1" applyFill="1" applyBorder="1" applyAlignment="1">
      <alignment horizontal="right" vertical="center"/>
    </xf>
    <xf numFmtId="0" fontId="32" fillId="53" borderId="71" xfId="0" applyFont="1" applyFill="1" applyBorder="1" applyAlignment="1">
      <alignment horizontal="center" vertical="center" wrapText="1"/>
    </xf>
    <xf numFmtId="10" fontId="4" fillId="4" borderId="37" xfId="2" applyNumberFormat="1" applyFont="1" applyFill="1" applyBorder="1" applyAlignment="1">
      <alignment horizontal="center" vertical="center" wrapText="1"/>
    </xf>
    <xf numFmtId="0" fontId="0" fillId="4" borderId="38" xfId="0" applyFill="1" applyBorder="1" applyAlignment="1">
      <alignment wrapText="1"/>
    </xf>
    <xf numFmtId="171" fontId="4" fillId="53" borderId="79" xfId="0" applyNumberFormat="1" applyFont="1" applyFill="1" applyBorder="1" applyAlignment="1">
      <alignment vertical="center"/>
    </xf>
    <xf numFmtId="10" fontId="4" fillId="25" borderId="37" xfId="2" applyNumberFormat="1" applyFont="1" applyFill="1" applyBorder="1" applyAlignment="1">
      <alignment horizontal="center" vertical="center" wrapText="1"/>
    </xf>
    <xf numFmtId="0" fontId="4" fillId="25" borderId="40" xfId="4" applyFont="1" applyFill="1" applyBorder="1" applyAlignment="1">
      <alignment vertical="center" wrapText="1"/>
    </xf>
    <xf numFmtId="0" fontId="4" fillId="25" borderId="21" xfId="4" applyFont="1" applyFill="1" applyBorder="1" applyAlignment="1">
      <alignment vertical="center" wrapText="1"/>
    </xf>
    <xf numFmtId="0" fontId="39" fillId="54" borderId="5" xfId="0" applyFont="1" applyFill="1" applyBorder="1" applyAlignment="1">
      <alignment vertical="center" wrapText="1"/>
    </xf>
    <xf numFmtId="0" fontId="39" fillId="54" borderId="0" xfId="0" applyFont="1" applyFill="1" applyAlignment="1">
      <alignment horizontal="center" vertical="center" wrapText="1"/>
    </xf>
    <xf numFmtId="0" fontId="39" fillId="53" borderId="9" xfId="0" applyFont="1" applyFill="1" applyBorder="1" applyAlignment="1">
      <alignment horizontal="center" vertical="center"/>
    </xf>
    <xf numFmtId="10" fontId="4" fillId="0" borderId="39" xfId="2" applyNumberFormat="1" applyFont="1" applyFill="1" applyBorder="1" applyAlignment="1">
      <alignment horizontal="center" vertical="center" wrapText="1"/>
    </xf>
    <xf numFmtId="0" fontId="4" fillId="0" borderId="42" xfId="4" applyFont="1" applyBorder="1" applyAlignment="1">
      <alignment vertical="center" wrapText="1"/>
    </xf>
    <xf numFmtId="0" fontId="39" fillId="53" borderId="72" xfId="0" applyFont="1" applyFill="1" applyBorder="1" applyAlignment="1">
      <alignment horizontal="center" vertical="center"/>
    </xf>
    <xf numFmtId="171" fontId="25" fillId="54" borderId="6" xfId="0" applyNumberFormat="1" applyFont="1" applyFill="1" applyBorder="1" applyAlignment="1">
      <alignment horizontal="right" vertical="center"/>
    </xf>
    <xf numFmtId="171" fontId="25" fillId="54" borderId="76" xfId="0" applyNumberFormat="1" applyFont="1" applyFill="1" applyBorder="1" applyAlignment="1">
      <alignment horizontal="right" vertical="center"/>
    </xf>
    <xf numFmtId="171" fontId="25" fillId="54" borderId="5" xfId="0" applyNumberFormat="1" applyFont="1" applyFill="1" applyBorder="1" applyAlignment="1">
      <alignment horizontal="right" vertical="center"/>
    </xf>
    <xf numFmtId="0" fontId="32" fillId="54" borderId="97" xfId="0" applyFont="1" applyFill="1" applyBorder="1" applyAlignment="1">
      <alignment horizontal="center" vertical="center" wrapText="1"/>
    </xf>
    <xf numFmtId="0" fontId="23" fillId="35" borderId="98" xfId="0" applyFont="1" applyFill="1" applyBorder="1" applyAlignment="1">
      <alignment horizontal="center" vertical="center"/>
    </xf>
    <xf numFmtId="0" fontId="23" fillId="35" borderId="80" xfId="0" applyFont="1" applyFill="1" applyBorder="1" applyAlignment="1">
      <alignment horizontal="center" vertical="center"/>
    </xf>
    <xf numFmtId="171" fontId="25" fillId="54" borderId="81" xfId="0" applyNumberFormat="1" applyFont="1" applyFill="1" applyBorder="1" applyAlignment="1">
      <alignment horizontal="right" vertical="center"/>
    </xf>
    <xf numFmtId="9" fontId="23" fillId="35" borderId="80" xfId="2" applyFont="1" applyFill="1" applyBorder="1" applyAlignment="1">
      <alignment horizontal="center" vertical="center"/>
    </xf>
    <xf numFmtId="9" fontId="39" fillId="52" borderId="111" xfId="0" applyNumberFormat="1" applyFont="1" applyFill="1" applyBorder="1" applyAlignment="1">
      <alignment horizontal="center" vertical="center"/>
    </xf>
    <xf numFmtId="3" fontId="4" fillId="4" borderId="67" xfId="4" applyNumberFormat="1" applyFont="1" applyFill="1" applyBorder="1" applyAlignment="1">
      <alignment horizontal="center" vertical="center" wrapText="1"/>
    </xf>
    <xf numFmtId="9" fontId="23" fillId="4" borderId="70" xfId="0" applyNumberFormat="1" applyFont="1" applyFill="1" applyBorder="1" applyAlignment="1">
      <alignment horizontal="center" vertical="center"/>
    </xf>
    <xf numFmtId="10" fontId="4" fillId="4" borderId="39" xfId="2" applyNumberFormat="1" applyFont="1" applyFill="1" applyBorder="1" applyAlignment="1">
      <alignment horizontal="center" vertical="center" wrapText="1"/>
    </xf>
    <xf numFmtId="171" fontId="42" fillId="4" borderId="100" xfId="0" applyNumberFormat="1" applyFont="1" applyFill="1" applyBorder="1" applyAlignment="1">
      <alignment horizontal="right" vertical="center"/>
    </xf>
    <xf numFmtId="10" fontId="7" fillId="24" borderId="14" xfId="2" applyNumberFormat="1" applyFont="1" applyFill="1" applyBorder="1" applyAlignment="1">
      <alignment horizontal="center" vertical="center" wrapText="1"/>
    </xf>
    <xf numFmtId="4" fontId="7" fillId="24" borderId="12" xfId="4" applyNumberFormat="1" applyFont="1" applyFill="1" applyBorder="1" applyAlignment="1">
      <alignment vertical="center" wrapText="1"/>
    </xf>
    <xf numFmtId="4" fontId="4" fillId="25" borderId="43" xfId="4" applyNumberFormat="1" applyFont="1" applyFill="1" applyBorder="1" applyAlignment="1">
      <alignment vertical="center" wrapText="1"/>
    </xf>
    <xf numFmtId="171" fontId="4" fillId="52" borderId="38" xfId="0" applyNumberFormat="1" applyFont="1" applyFill="1" applyBorder="1" applyAlignment="1">
      <alignment vertical="center"/>
    </xf>
    <xf numFmtId="172" fontId="25" fillId="52" borderId="81" xfId="0" applyNumberFormat="1" applyFont="1" applyFill="1" applyBorder="1" applyAlignment="1">
      <alignment horizontal="right" vertical="center"/>
    </xf>
    <xf numFmtId="0" fontId="6" fillId="53" borderId="97" xfId="0" applyFont="1" applyFill="1" applyBorder="1" applyAlignment="1">
      <alignment horizontal="center" vertical="center" wrapText="1"/>
    </xf>
    <xf numFmtId="0" fontId="39" fillId="53" borderId="5" xfId="0" applyFont="1" applyFill="1" applyBorder="1" applyAlignment="1">
      <alignment vertical="center" wrapText="1"/>
    </xf>
    <xf numFmtId="0" fontId="39" fillId="53" borderId="0" xfId="0" applyFont="1" applyFill="1" applyAlignment="1">
      <alignment horizontal="center" vertical="center" wrapText="1"/>
    </xf>
    <xf numFmtId="9" fontId="39" fillId="53" borderId="9" xfId="0" applyNumberFormat="1" applyFont="1" applyFill="1" applyBorder="1" applyAlignment="1">
      <alignment horizontal="center" vertical="center"/>
    </xf>
    <xf numFmtId="9" fontId="39" fillId="53" borderId="76" xfId="0" applyNumberFormat="1" applyFont="1" applyFill="1" applyBorder="1" applyAlignment="1">
      <alignment horizontal="center" vertical="center"/>
    </xf>
    <xf numFmtId="171" fontId="4" fillId="52" borderId="6" xfId="0" applyNumberFormat="1" applyFont="1" applyFill="1" applyBorder="1" applyAlignment="1">
      <alignment vertical="center"/>
    </xf>
    <xf numFmtId="171" fontId="4" fillId="52" borderId="40" xfId="0" applyNumberFormat="1" applyFont="1" applyFill="1" applyBorder="1" applyAlignment="1">
      <alignment vertical="center"/>
    </xf>
    <xf numFmtId="0" fontId="4" fillId="24" borderId="15" xfId="4" applyFont="1" applyFill="1" applyBorder="1" applyAlignment="1">
      <alignment vertical="center" wrapText="1"/>
    </xf>
    <xf numFmtId="0" fontId="4" fillId="24" borderId="14" xfId="4" applyFont="1" applyFill="1" applyBorder="1" applyAlignment="1">
      <alignment vertical="center" wrapText="1"/>
    </xf>
    <xf numFmtId="0" fontId="4" fillId="24" borderId="14" xfId="4" applyFont="1" applyFill="1" applyBorder="1" applyAlignment="1">
      <alignment horizontal="center" vertical="center" wrapText="1"/>
    </xf>
    <xf numFmtId="9" fontId="4" fillId="68" borderId="35" xfId="2" applyFont="1" applyFill="1" applyBorder="1" applyAlignment="1">
      <alignment horizontal="center" vertical="center" wrapText="1"/>
    </xf>
    <xf numFmtId="9" fontId="4" fillId="68" borderId="43" xfId="2" applyFont="1" applyFill="1" applyBorder="1" applyAlignment="1">
      <alignment horizontal="center" vertical="center" wrapText="1"/>
    </xf>
    <xf numFmtId="3" fontId="4" fillId="68" borderId="66" xfId="4" applyNumberFormat="1" applyFont="1" applyFill="1" applyBorder="1" applyAlignment="1">
      <alignment vertical="center" wrapText="1"/>
    </xf>
    <xf numFmtId="10" fontId="4" fillId="68" borderId="43" xfId="2" applyNumberFormat="1" applyFont="1" applyFill="1" applyBorder="1" applyAlignment="1">
      <alignment horizontal="right" vertical="center" wrapText="1"/>
    </xf>
    <xf numFmtId="10" fontId="4" fillId="68" borderId="5" xfId="2" applyNumberFormat="1" applyFont="1" applyFill="1" applyBorder="1" applyAlignment="1">
      <alignment horizontal="center" vertical="center" wrapText="1"/>
    </xf>
    <xf numFmtId="3" fontId="7" fillId="68" borderId="24" xfId="4" applyNumberFormat="1" applyFont="1" applyFill="1" applyBorder="1" applyAlignment="1">
      <alignment vertical="center" wrapText="1"/>
    </xf>
    <xf numFmtId="3" fontId="4" fillId="68" borderId="43" xfId="4" applyNumberFormat="1" applyFont="1" applyFill="1" applyBorder="1" applyAlignment="1">
      <alignment vertical="center" wrapText="1"/>
    </xf>
    <xf numFmtId="10" fontId="4" fillId="68" borderId="43" xfId="2" applyNumberFormat="1" applyFont="1" applyFill="1" applyBorder="1" applyAlignment="1">
      <alignment vertical="center" wrapText="1"/>
    </xf>
    <xf numFmtId="9" fontId="4" fillId="68" borderId="5" xfId="2" applyFont="1" applyFill="1" applyBorder="1" applyAlignment="1">
      <alignment horizontal="center" vertical="center" wrapText="1"/>
    </xf>
    <xf numFmtId="3" fontId="7" fillId="68" borderId="9" xfId="4" applyNumberFormat="1" applyFont="1" applyFill="1" applyBorder="1" applyAlignment="1">
      <alignment vertical="center" wrapText="1"/>
    </xf>
    <xf numFmtId="3" fontId="7" fillId="68" borderId="35" xfId="4" applyNumberFormat="1" applyFont="1" applyFill="1" applyBorder="1" applyAlignment="1">
      <alignment vertical="center" wrapText="1"/>
    </xf>
    <xf numFmtId="3" fontId="7" fillId="68" borderId="43" xfId="4" applyNumberFormat="1" applyFont="1" applyFill="1" applyBorder="1" applyAlignment="1">
      <alignment vertical="center" wrapText="1"/>
    </xf>
    <xf numFmtId="171" fontId="4" fillId="4" borderId="67" xfId="0" applyNumberFormat="1" applyFont="1" applyFill="1" applyBorder="1" applyAlignment="1">
      <alignment vertical="center"/>
    </xf>
    <xf numFmtId="0" fontId="32" fillId="0" borderId="0" xfId="0" applyFont="1" applyAlignment="1">
      <alignment horizontal="center"/>
    </xf>
    <xf numFmtId="9" fontId="39" fillId="52" borderId="67" xfId="0" applyNumberFormat="1" applyFont="1" applyFill="1" applyBorder="1" applyAlignment="1">
      <alignment horizontal="center" vertical="center"/>
    </xf>
    <xf numFmtId="0" fontId="6" fillId="52" borderId="71" xfId="0" applyFont="1" applyFill="1" applyBorder="1" applyAlignment="1">
      <alignment horizontal="center" vertical="center" wrapText="1"/>
    </xf>
    <xf numFmtId="171" fontId="4" fillId="0" borderId="68" xfId="0" applyNumberFormat="1" applyFont="1" applyBorder="1" applyAlignment="1">
      <alignment vertical="center"/>
    </xf>
    <xf numFmtId="0" fontId="6" fillId="52" borderId="97" xfId="0" applyFont="1" applyFill="1" applyBorder="1" applyAlignment="1">
      <alignment horizontal="center" vertical="center" wrapText="1"/>
    </xf>
    <xf numFmtId="9" fontId="39" fillId="53" borderId="103" xfId="0" applyNumberFormat="1" applyFont="1" applyFill="1" applyBorder="1" applyAlignment="1">
      <alignment horizontal="center" vertical="center"/>
    </xf>
    <xf numFmtId="9" fontId="4" fillId="4" borderId="18" xfId="2" applyFont="1" applyFill="1" applyBorder="1" applyAlignment="1">
      <alignment horizontal="center" vertical="center" wrapText="1"/>
    </xf>
    <xf numFmtId="9" fontId="39" fillId="53" borderId="112" xfId="0" applyNumberFormat="1" applyFont="1" applyFill="1" applyBorder="1" applyAlignment="1">
      <alignment horizontal="center" vertical="center"/>
    </xf>
    <xf numFmtId="171" fontId="4" fillId="54" borderId="89" xfId="0" applyNumberFormat="1" applyFont="1" applyFill="1" applyBorder="1" applyAlignment="1">
      <alignment horizontal="right" vertical="center"/>
    </xf>
    <xf numFmtId="171" fontId="4" fillId="52" borderId="89" xfId="0" applyNumberFormat="1" applyFont="1" applyFill="1" applyBorder="1" applyAlignment="1">
      <alignment horizontal="right" vertical="center"/>
    </xf>
    <xf numFmtId="9" fontId="39" fillId="54" borderId="103" xfId="0" applyNumberFormat="1" applyFont="1" applyFill="1" applyBorder="1" applyAlignment="1">
      <alignment horizontal="center" vertical="center"/>
    </xf>
    <xf numFmtId="0" fontId="32" fillId="54" borderId="71" xfId="0" applyFont="1" applyFill="1" applyBorder="1" applyAlignment="1">
      <alignment horizontal="center" vertical="center" wrapText="1"/>
    </xf>
    <xf numFmtId="0" fontId="6" fillId="54" borderId="97" xfId="0" applyFont="1" applyFill="1" applyBorder="1" applyAlignment="1">
      <alignment horizontal="center" vertical="center" wrapText="1"/>
    </xf>
    <xf numFmtId="9" fontId="39" fillId="54" borderId="9" xfId="0" applyNumberFormat="1" applyFont="1" applyFill="1" applyBorder="1" applyAlignment="1">
      <alignment horizontal="center" vertical="center"/>
    </xf>
    <xf numFmtId="9" fontId="39" fillId="54" borderId="76" xfId="0" applyNumberFormat="1" applyFont="1" applyFill="1" applyBorder="1" applyAlignment="1">
      <alignment horizontal="center" vertical="center"/>
    </xf>
    <xf numFmtId="171" fontId="4" fillId="54" borderId="6" xfId="0" applyNumberFormat="1" applyFont="1" applyFill="1" applyBorder="1" applyAlignment="1">
      <alignment horizontal="right" vertical="center"/>
    </xf>
    <xf numFmtId="0" fontId="0" fillId="4" borderId="5" xfId="0" applyFill="1" applyBorder="1" applyAlignment="1">
      <alignment wrapText="1"/>
    </xf>
    <xf numFmtId="171" fontId="4" fillId="53" borderId="80" xfId="0" applyNumberFormat="1" applyFont="1" applyFill="1" applyBorder="1" applyAlignment="1">
      <alignment horizontal="right" vertical="center"/>
    </xf>
    <xf numFmtId="171" fontId="23" fillId="53" borderId="70" xfId="0" applyNumberFormat="1" applyFont="1" applyFill="1" applyBorder="1" applyAlignment="1">
      <alignment horizontal="right" vertical="center"/>
    </xf>
    <xf numFmtId="0" fontId="23" fillId="35" borderId="102" xfId="0" applyFont="1" applyFill="1" applyBorder="1" applyAlignment="1">
      <alignment horizontal="center" vertical="center"/>
    </xf>
    <xf numFmtId="170" fontId="4" fillId="4" borderId="39" xfId="2" applyNumberFormat="1" applyFont="1" applyFill="1" applyBorder="1" applyAlignment="1">
      <alignment horizontal="center" vertical="center" wrapText="1"/>
    </xf>
    <xf numFmtId="0" fontId="4" fillId="4" borderId="42" xfId="4" applyFont="1" applyFill="1" applyBorder="1" applyAlignment="1">
      <alignment vertical="center" wrapText="1"/>
    </xf>
    <xf numFmtId="171" fontId="4" fillId="52" borderId="6" xfId="0" applyNumberFormat="1" applyFont="1" applyFill="1" applyBorder="1" applyAlignment="1">
      <alignment horizontal="right" vertical="center"/>
    </xf>
    <xf numFmtId="171" fontId="23" fillId="53" borderId="99" xfId="0" applyNumberFormat="1" applyFont="1" applyFill="1" applyBorder="1" applyAlignment="1">
      <alignment horizontal="right" vertical="center"/>
    </xf>
    <xf numFmtId="171" fontId="4" fillId="53" borderId="90" xfId="0" applyNumberFormat="1" applyFont="1" applyFill="1" applyBorder="1" applyAlignment="1">
      <alignment horizontal="right" vertical="center"/>
    </xf>
    <xf numFmtId="171" fontId="23" fillId="53" borderId="87" xfId="0" applyNumberFormat="1" applyFont="1" applyFill="1" applyBorder="1" applyAlignment="1">
      <alignment horizontal="right" vertical="center"/>
    </xf>
    <xf numFmtId="171" fontId="4" fillId="53" borderId="67" xfId="0" applyNumberFormat="1" applyFont="1" applyFill="1" applyBorder="1" applyAlignment="1">
      <alignment horizontal="right" vertical="center"/>
    </xf>
    <xf numFmtId="0" fontId="32" fillId="53" borderId="0" xfId="0" applyFont="1" applyFill="1" applyAlignment="1">
      <alignment horizontal="center" vertical="center" wrapText="1"/>
    </xf>
    <xf numFmtId="171" fontId="4" fillId="53" borderId="66" xfId="0" applyNumberFormat="1" applyFont="1" applyFill="1" applyBorder="1" applyAlignment="1">
      <alignment horizontal="right" vertical="center"/>
    </xf>
    <xf numFmtId="9" fontId="39" fillId="53" borderId="5" xfId="0" applyNumberFormat="1" applyFont="1" applyFill="1" applyBorder="1" applyAlignment="1">
      <alignment horizontal="center" vertical="center" wrapText="1"/>
    </xf>
    <xf numFmtId="171" fontId="4" fillId="53" borderId="6" xfId="0" applyNumberFormat="1" applyFont="1" applyFill="1" applyBorder="1" applyAlignment="1">
      <alignment horizontal="right" vertical="center"/>
    </xf>
    <xf numFmtId="171" fontId="25" fillId="53" borderId="76" xfId="0" applyNumberFormat="1" applyFont="1" applyFill="1" applyBorder="1" applyAlignment="1">
      <alignment horizontal="right" vertical="center"/>
    </xf>
    <xf numFmtId="171" fontId="4" fillId="53" borderId="68" xfId="0" applyNumberFormat="1" applyFont="1" applyFill="1" applyBorder="1" applyAlignment="1">
      <alignment horizontal="right" vertical="center"/>
    </xf>
    <xf numFmtId="171" fontId="25" fillId="53" borderId="5" xfId="0" applyNumberFormat="1" applyFont="1" applyFill="1" applyBorder="1" applyAlignment="1">
      <alignment horizontal="right" vertical="center"/>
    </xf>
    <xf numFmtId="0" fontId="4" fillId="25" borderId="36" xfId="4" applyFont="1" applyFill="1" applyBorder="1" applyAlignment="1">
      <alignment horizontal="center" vertical="center" wrapText="1"/>
    </xf>
    <xf numFmtId="171" fontId="4" fillId="52" borderId="67" xfId="0" applyNumberFormat="1" applyFont="1" applyFill="1" applyBorder="1" applyAlignment="1">
      <alignment horizontal="right" vertical="center"/>
    </xf>
    <xf numFmtId="9" fontId="39" fillId="52" borderId="9" xfId="0" applyNumberFormat="1" applyFont="1" applyFill="1" applyBorder="1" applyAlignment="1">
      <alignment horizontal="center" vertical="center"/>
    </xf>
    <xf numFmtId="9" fontId="39" fillId="52" borderId="76" xfId="0" applyNumberFormat="1" applyFont="1" applyFill="1" applyBorder="1" applyAlignment="1">
      <alignment horizontal="center" vertical="center"/>
    </xf>
    <xf numFmtId="9" fontId="39" fillId="54" borderId="81" xfId="0" applyNumberFormat="1" applyFont="1" applyFill="1" applyBorder="1" applyAlignment="1">
      <alignment horizontal="center" vertical="center" wrapText="1"/>
    </xf>
    <xf numFmtId="0" fontId="39" fillId="54" borderId="9" xfId="0" applyFont="1" applyFill="1" applyBorder="1" applyAlignment="1">
      <alignment horizontal="center" vertical="center"/>
    </xf>
    <xf numFmtId="0" fontId="39" fillId="54" borderId="76" xfId="0" applyFont="1" applyFill="1" applyBorder="1" applyAlignment="1">
      <alignment horizontal="center" vertical="center"/>
    </xf>
    <xf numFmtId="9" fontId="39" fillId="54" borderId="5" xfId="0" applyNumberFormat="1" applyFont="1" applyFill="1" applyBorder="1" applyAlignment="1">
      <alignment horizontal="center" vertical="center" wrapText="1"/>
    </xf>
    <xf numFmtId="166" fontId="7" fillId="4" borderId="68" xfId="3" applyNumberFormat="1" applyFont="1" applyFill="1" applyBorder="1" applyAlignment="1">
      <alignment vertical="center" wrapText="1"/>
    </xf>
    <xf numFmtId="3" fontId="7" fillId="0" borderId="113" xfId="4" applyNumberFormat="1" applyFont="1" applyBorder="1" applyAlignment="1">
      <alignment vertical="center" wrapText="1"/>
    </xf>
    <xf numFmtId="0" fontId="32" fillId="54" borderId="114" xfId="0" applyFont="1" applyFill="1" applyBorder="1" applyAlignment="1">
      <alignment horizontal="center" vertical="center" wrapText="1"/>
    </xf>
    <xf numFmtId="1" fontId="4" fillId="25" borderId="36" xfId="4" applyNumberFormat="1" applyFont="1" applyFill="1" applyBorder="1" applyAlignment="1">
      <alignment horizontal="center" vertical="center" wrapText="1"/>
    </xf>
    <xf numFmtId="0" fontId="4" fillId="72" borderId="38" xfId="0" applyFont="1" applyFill="1" applyBorder="1" applyAlignment="1">
      <alignment vertical="center" wrapText="1"/>
    </xf>
    <xf numFmtId="9" fontId="4" fillId="4" borderId="39" xfId="4" applyNumberFormat="1" applyFont="1" applyFill="1" applyBorder="1" applyAlignment="1">
      <alignment horizontal="center" vertical="center" wrapText="1"/>
    </xf>
    <xf numFmtId="3" fontId="4" fillId="4" borderId="67" xfId="4" applyNumberFormat="1" applyFont="1" applyFill="1" applyBorder="1" applyAlignment="1">
      <alignment vertical="center" wrapText="1"/>
    </xf>
    <xf numFmtId="0" fontId="8" fillId="24" borderId="7" xfId="4" applyFont="1" applyFill="1" applyBorder="1" applyAlignment="1">
      <alignment horizontal="center" vertical="center" wrapText="1"/>
    </xf>
    <xf numFmtId="0" fontId="8" fillId="24" borderId="12" xfId="4" applyFont="1" applyFill="1" applyBorder="1" applyAlignment="1">
      <alignment horizontal="center" vertical="center" wrapText="1"/>
    </xf>
    <xf numFmtId="170" fontId="8" fillId="24" borderId="7" xfId="4" applyNumberFormat="1" applyFont="1" applyFill="1" applyBorder="1" applyAlignment="1">
      <alignment horizontal="center" vertical="center" wrapText="1"/>
    </xf>
    <xf numFmtId="10" fontId="8" fillId="24" borderId="7" xfId="4" applyNumberFormat="1" applyFont="1" applyFill="1" applyBorder="1" applyAlignment="1">
      <alignment horizontal="center" vertical="center" wrapText="1"/>
    </xf>
    <xf numFmtId="10" fontId="8" fillId="24" borderId="7" xfId="2" applyNumberFormat="1" applyFont="1" applyFill="1" applyBorder="1" applyAlignment="1">
      <alignment horizontal="center" vertical="center" wrapText="1"/>
    </xf>
    <xf numFmtId="10" fontId="8" fillId="24" borderId="12" xfId="2" applyNumberFormat="1" applyFont="1" applyFill="1" applyBorder="1" applyAlignment="1">
      <alignment horizontal="center" vertical="center" wrapText="1"/>
    </xf>
    <xf numFmtId="172" fontId="8" fillId="24" borderId="7" xfId="4" applyNumberFormat="1" applyFont="1" applyFill="1" applyBorder="1" applyAlignment="1">
      <alignment horizontal="center" vertical="center" wrapText="1"/>
    </xf>
    <xf numFmtId="172" fontId="8" fillId="24" borderId="15" xfId="4" applyNumberFormat="1" applyFont="1" applyFill="1" applyBorder="1" applyAlignment="1">
      <alignment horizontal="center" vertical="center" wrapText="1"/>
    </xf>
    <xf numFmtId="172" fontId="59" fillId="24" borderId="12" xfId="4" applyNumberFormat="1" applyFont="1" applyFill="1" applyBorder="1" applyAlignment="1">
      <alignment horizontal="center" vertical="center" wrapText="1"/>
    </xf>
    <xf numFmtId="10" fontId="29" fillId="24" borderId="12" xfId="2" applyNumberFormat="1" applyFont="1" applyFill="1" applyBorder="1" applyAlignment="1">
      <alignment horizontal="center" vertical="center" wrapText="1"/>
    </xf>
    <xf numFmtId="0" fontId="4" fillId="24" borderId="7" xfId="4" applyFont="1" applyFill="1" applyBorder="1" applyAlignment="1">
      <alignment vertical="center" wrapText="1"/>
    </xf>
    <xf numFmtId="0" fontId="2" fillId="0" borderId="0" xfId="14"/>
    <xf numFmtId="0" fontId="13" fillId="0" borderId="46" xfId="14" applyFont="1" applyBorder="1" applyAlignment="1">
      <alignment horizontal="center" vertical="center"/>
    </xf>
    <xf numFmtId="0" fontId="3" fillId="0" borderId="0" xfId="14" applyFont="1"/>
    <xf numFmtId="49" fontId="14" fillId="0" borderId="51" xfId="10" applyNumberFormat="1" applyFont="1" applyBorder="1" applyAlignment="1">
      <alignment vertical="center" wrapText="1"/>
    </xf>
    <xf numFmtId="49" fontId="14" fillId="0" borderId="51" xfId="10" quotePrefix="1" applyNumberFormat="1" applyFont="1" applyBorder="1" applyAlignment="1">
      <alignment vertical="center" wrapText="1"/>
    </xf>
    <xf numFmtId="0" fontId="14" fillId="0" borderId="51" xfId="10" applyFont="1" applyBorder="1" applyAlignment="1">
      <alignment vertical="center" wrapText="1"/>
    </xf>
    <xf numFmtId="49" fontId="14" fillId="0" borderId="50" xfId="10" applyNumberFormat="1" applyFont="1" applyBorder="1" applyAlignment="1">
      <alignment horizontal="center" vertical="center" wrapText="1"/>
    </xf>
    <xf numFmtId="49" fontId="15" fillId="0" borderId="50" xfId="10" applyNumberFormat="1" applyFont="1" applyBorder="1" applyAlignment="1">
      <alignment horizontal="center" vertical="center" wrapText="1"/>
    </xf>
    <xf numFmtId="49" fontId="14" fillId="4" borderId="50" xfId="10" applyNumberFormat="1" applyFont="1" applyFill="1" applyBorder="1" applyAlignment="1">
      <alignment horizontal="center" vertical="center" wrapText="1"/>
    </xf>
    <xf numFmtId="0" fontId="3" fillId="0" borderId="0" xfId="14" applyFont="1" applyAlignment="1">
      <alignment horizontal="center" wrapText="1"/>
    </xf>
    <xf numFmtId="49" fontId="14" fillId="13" borderId="50" xfId="10" applyNumberFormat="1" applyFont="1" applyFill="1" applyBorder="1" applyAlignment="1">
      <alignment horizontal="center" vertical="center"/>
    </xf>
    <xf numFmtId="0" fontId="14" fillId="13" borderId="50" xfId="10" applyFont="1" applyFill="1" applyBorder="1" applyAlignment="1">
      <alignment horizontal="left" vertical="center"/>
    </xf>
    <xf numFmtId="0" fontId="14" fillId="13" borderId="50" xfId="10" applyFont="1" applyFill="1" applyBorder="1" applyAlignment="1">
      <alignment horizontal="left" vertical="center" wrapText="1"/>
    </xf>
    <xf numFmtId="164" fontId="14" fillId="13" borderId="50" xfId="15" applyNumberFormat="1" applyFont="1" applyFill="1" applyBorder="1" applyAlignment="1">
      <alignment horizontal="right" vertical="center"/>
    </xf>
    <xf numFmtId="9" fontId="14" fillId="13" borderId="50" xfId="16" applyFont="1" applyFill="1" applyBorder="1" applyAlignment="1">
      <alignment horizontal="center" vertical="center"/>
    </xf>
    <xf numFmtId="0" fontId="3" fillId="13" borderId="0" xfId="14" applyFont="1" applyFill="1"/>
    <xf numFmtId="0" fontId="14" fillId="62" borderId="50" xfId="10" applyFont="1" applyFill="1" applyBorder="1" applyAlignment="1">
      <alignment horizontal="center" vertical="center"/>
    </xf>
    <xf numFmtId="49" fontId="14" fillId="62" borderId="50" xfId="10" applyNumberFormat="1" applyFont="1" applyFill="1" applyBorder="1" applyAlignment="1">
      <alignment horizontal="center" vertical="center"/>
    </xf>
    <xf numFmtId="0" fontId="14" fillId="62" borderId="50" xfId="10" applyFont="1" applyFill="1" applyBorder="1" applyAlignment="1">
      <alignment horizontal="left" vertical="center" wrapText="1"/>
    </xf>
    <xf numFmtId="164" fontId="14" fillId="62" borderId="50" xfId="15" applyNumberFormat="1" applyFont="1" applyFill="1" applyBorder="1" applyAlignment="1">
      <alignment horizontal="right" vertical="center"/>
    </xf>
    <xf numFmtId="9" fontId="14" fillId="62" borderId="50" xfId="16" applyFont="1" applyFill="1" applyBorder="1" applyAlignment="1">
      <alignment horizontal="center" vertical="center"/>
    </xf>
    <xf numFmtId="0" fontId="3" fillId="62" borderId="0" xfId="14" applyFont="1" applyFill="1"/>
    <xf numFmtId="0" fontId="14" fillId="14" borderId="50" xfId="10" applyFont="1" applyFill="1" applyBorder="1" applyAlignment="1">
      <alignment horizontal="center" vertical="center"/>
    </xf>
    <xf numFmtId="49" fontId="14" fillId="14" borderId="50" xfId="10" applyNumberFormat="1" applyFont="1" applyFill="1" applyBorder="1" applyAlignment="1">
      <alignment horizontal="center" vertical="center"/>
    </xf>
    <xf numFmtId="0" fontId="14" fillId="14" borderId="50" xfId="10" applyFont="1" applyFill="1" applyBorder="1" applyAlignment="1">
      <alignment horizontal="left" vertical="center" wrapText="1"/>
    </xf>
    <xf numFmtId="164" fontId="14" fillId="14" borderId="50" xfId="15" applyNumberFormat="1" applyFont="1" applyFill="1" applyBorder="1" applyAlignment="1">
      <alignment horizontal="right" vertical="center"/>
    </xf>
    <xf numFmtId="9" fontId="14" fillId="14" borderId="50" xfId="16" applyFont="1" applyFill="1" applyBorder="1" applyAlignment="1">
      <alignment horizontal="center" vertical="center"/>
    </xf>
    <xf numFmtId="0" fontId="3" fillId="14" borderId="0" xfId="14" applyFont="1" applyFill="1"/>
    <xf numFmtId="0" fontId="14" fillId="74" borderId="50" xfId="10" applyFont="1" applyFill="1" applyBorder="1" applyAlignment="1">
      <alignment horizontal="center" vertical="center"/>
    </xf>
    <xf numFmtId="49" fontId="14" fillId="74" borderId="50" xfId="10" applyNumberFormat="1" applyFont="1" applyFill="1" applyBorder="1" applyAlignment="1">
      <alignment horizontal="center" vertical="center"/>
    </xf>
    <xf numFmtId="0" fontId="14" fillId="74" borderId="50" xfId="10" applyFont="1" applyFill="1" applyBorder="1" applyAlignment="1">
      <alignment horizontal="left" vertical="center" wrapText="1"/>
    </xf>
    <xf numFmtId="164" fontId="14" fillId="74" borderId="50" xfId="15" applyNumberFormat="1" applyFont="1" applyFill="1" applyBorder="1" applyAlignment="1">
      <alignment horizontal="right" vertical="center"/>
    </xf>
    <xf numFmtId="9" fontId="14" fillId="74" borderId="50" xfId="16" applyFont="1" applyFill="1" applyBorder="1" applyAlignment="1">
      <alignment horizontal="center" vertical="center"/>
    </xf>
    <xf numFmtId="0" fontId="3" fillId="74" borderId="0" xfId="14" applyFont="1" applyFill="1"/>
    <xf numFmtId="0" fontId="14" fillId="60" borderId="50" xfId="10" applyFont="1" applyFill="1" applyBorder="1" applyAlignment="1">
      <alignment horizontal="center" vertical="center"/>
    </xf>
    <xf numFmtId="49" fontId="14" fillId="60" borderId="50" xfId="10" applyNumberFormat="1" applyFont="1" applyFill="1" applyBorder="1" applyAlignment="1">
      <alignment horizontal="center" vertical="center"/>
    </xf>
    <xf numFmtId="0" fontId="14" fillId="60" borderId="50" xfId="10" applyFont="1" applyFill="1" applyBorder="1" applyAlignment="1">
      <alignment horizontal="left" vertical="center" wrapText="1"/>
    </xf>
    <xf numFmtId="164" fontId="14" fillId="60" borderId="50" xfId="15" applyNumberFormat="1" applyFont="1" applyFill="1" applyBorder="1" applyAlignment="1">
      <alignment horizontal="right" vertical="center"/>
    </xf>
    <xf numFmtId="9" fontId="14" fillId="60" borderId="50" xfId="16" applyFont="1" applyFill="1" applyBorder="1" applyAlignment="1">
      <alignment horizontal="center" vertical="center"/>
    </xf>
    <xf numFmtId="0" fontId="3" fillId="60" borderId="0" xfId="14" applyFont="1" applyFill="1"/>
    <xf numFmtId="0" fontId="14" fillId="0" borderId="50" xfId="10" applyFont="1" applyBorder="1" applyAlignment="1">
      <alignment horizontal="center" vertical="center"/>
    </xf>
    <xf numFmtId="49" fontId="14" fillId="0" borderId="50" xfId="10" applyNumberFormat="1" applyFont="1" applyBorder="1" applyAlignment="1">
      <alignment horizontal="center" vertical="center"/>
    </xf>
    <xf numFmtId="0" fontId="14" fillId="0" borderId="50" xfId="10" applyFont="1" applyBorder="1" applyAlignment="1">
      <alignment horizontal="left" vertical="center" wrapText="1"/>
    </xf>
    <xf numFmtId="164" fontId="14" fillId="0" borderId="50" xfId="15" applyNumberFormat="1" applyFont="1" applyFill="1" applyBorder="1" applyAlignment="1">
      <alignment horizontal="right" vertical="center"/>
    </xf>
    <xf numFmtId="9" fontId="14" fillId="0" borderId="50" xfId="16" applyFont="1" applyFill="1" applyBorder="1" applyAlignment="1">
      <alignment horizontal="center" vertical="center"/>
    </xf>
    <xf numFmtId="0" fontId="16" fillId="0" borderId="50" xfId="10" applyFont="1" applyBorder="1" applyAlignment="1">
      <alignment horizontal="center" vertical="center"/>
    </xf>
    <xf numFmtId="49" fontId="16" fillId="0" borderId="50" xfId="10" applyNumberFormat="1" applyFont="1" applyBorder="1" applyAlignment="1">
      <alignment horizontal="center" vertical="center"/>
    </xf>
    <xf numFmtId="164" fontId="16" fillId="0" borderId="50" xfId="15" applyNumberFormat="1" applyFont="1" applyFill="1" applyBorder="1" applyAlignment="1">
      <alignment horizontal="right" vertical="center"/>
    </xf>
    <xf numFmtId="9" fontId="16" fillId="0" borderId="50" xfId="16" applyFont="1" applyFill="1" applyBorder="1" applyAlignment="1">
      <alignment horizontal="center" vertical="center"/>
    </xf>
    <xf numFmtId="0" fontId="16" fillId="0" borderId="50" xfId="10" applyFont="1" applyBorder="1" applyAlignment="1">
      <alignment horizontal="left" vertical="center" wrapText="1"/>
    </xf>
    <xf numFmtId="167" fontId="16" fillId="0" borderId="50" xfId="15" applyNumberFormat="1" applyFont="1" applyFill="1" applyBorder="1" applyAlignment="1">
      <alignment horizontal="right" vertical="center"/>
    </xf>
    <xf numFmtId="167" fontId="14" fillId="0" borderId="50" xfId="15" applyNumberFormat="1" applyFont="1" applyFill="1" applyBorder="1" applyAlignment="1">
      <alignment horizontal="right" vertical="center"/>
    </xf>
    <xf numFmtId="164" fontId="16" fillId="4" borderId="50" xfId="15" applyNumberFormat="1" applyFont="1" applyFill="1" applyBorder="1" applyAlignment="1">
      <alignment horizontal="right" vertical="center"/>
    </xf>
    <xf numFmtId="1" fontId="14" fillId="60" borderId="50" xfId="10" applyNumberFormat="1" applyFont="1" applyFill="1" applyBorder="1" applyAlignment="1">
      <alignment horizontal="center" vertical="center"/>
    </xf>
    <xf numFmtId="167" fontId="14" fillId="60" borderId="50" xfId="15" applyNumberFormat="1" applyFont="1" applyFill="1" applyBorder="1" applyAlignment="1">
      <alignment horizontal="right" vertical="center"/>
    </xf>
    <xf numFmtId="1" fontId="16" fillId="0" borderId="50" xfId="10" applyNumberFormat="1" applyFont="1" applyBorder="1" applyAlignment="1">
      <alignment horizontal="center" vertical="center"/>
    </xf>
    <xf numFmtId="1" fontId="14" fillId="14" borderId="50" xfId="10" applyNumberFormat="1" applyFont="1" applyFill="1" applyBorder="1" applyAlignment="1">
      <alignment horizontal="center" vertical="center"/>
    </xf>
    <xf numFmtId="1" fontId="14" fillId="74" borderId="50" xfId="10" applyNumberFormat="1" applyFont="1" applyFill="1" applyBorder="1" applyAlignment="1">
      <alignment horizontal="center" vertical="center"/>
    </xf>
    <xf numFmtId="0" fontId="14" fillId="75" borderId="50" xfId="10" applyFont="1" applyFill="1" applyBorder="1" applyAlignment="1">
      <alignment horizontal="center" vertical="center"/>
    </xf>
    <xf numFmtId="49" fontId="14" fillId="75" borderId="50" xfId="10" applyNumberFormat="1" applyFont="1" applyFill="1" applyBorder="1" applyAlignment="1">
      <alignment horizontal="center" vertical="center"/>
    </xf>
    <xf numFmtId="1" fontId="14" fillId="75" borderId="50" xfId="10" applyNumberFormat="1" applyFont="1" applyFill="1" applyBorder="1" applyAlignment="1">
      <alignment horizontal="center" vertical="center"/>
    </xf>
    <xf numFmtId="0" fontId="14" fillId="75" borderId="50" xfId="10" applyFont="1" applyFill="1" applyBorder="1" applyAlignment="1">
      <alignment horizontal="left" vertical="center" wrapText="1"/>
    </xf>
    <xf numFmtId="164" fontId="14" fillId="75" borderId="50" xfId="15" applyNumberFormat="1" applyFont="1" applyFill="1" applyBorder="1" applyAlignment="1">
      <alignment horizontal="right" vertical="center"/>
    </xf>
    <xf numFmtId="9" fontId="14" fillId="75" borderId="50" xfId="16" applyFont="1" applyFill="1" applyBorder="1" applyAlignment="1">
      <alignment horizontal="center" vertical="center"/>
    </xf>
    <xf numFmtId="0" fontId="3" fillId="75" borderId="0" xfId="14" applyFont="1" applyFill="1"/>
    <xf numFmtId="1" fontId="14" fillId="0" borderId="50" xfId="10" applyNumberFormat="1" applyFont="1" applyBorder="1" applyAlignment="1">
      <alignment horizontal="center" vertical="center"/>
    </xf>
    <xf numFmtId="170" fontId="16" fillId="0" borderId="50" xfId="16" applyNumberFormat="1" applyFont="1" applyFill="1" applyBorder="1" applyAlignment="1">
      <alignment horizontal="center" vertical="center"/>
    </xf>
    <xf numFmtId="10" fontId="16" fillId="0" borderId="50" xfId="16" applyNumberFormat="1" applyFont="1" applyFill="1" applyBorder="1" applyAlignment="1">
      <alignment horizontal="center" vertical="center"/>
    </xf>
    <xf numFmtId="164" fontId="16" fillId="0" borderId="50" xfId="15" applyNumberFormat="1" applyFont="1" applyBorder="1" applyAlignment="1">
      <alignment horizontal="right" vertical="center"/>
    </xf>
    <xf numFmtId="164" fontId="16" fillId="2" borderId="50" xfId="15" applyNumberFormat="1" applyFont="1" applyFill="1" applyBorder="1" applyAlignment="1">
      <alignment horizontal="right" vertical="center"/>
    </xf>
    <xf numFmtId="167" fontId="16" fillId="2" borderId="50" xfId="15" applyNumberFormat="1" applyFont="1" applyFill="1" applyBorder="1" applyAlignment="1">
      <alignment horizontal="right" vertical="center"/>
    </xf>
    <xf numFmtId="49" fontId="14" fillId="74" borderId="50" xfId="10" applyNumberFormat="1" applyFont="1" applyFill="1" applyBorder="1" applyAlignment="1">
      <alignment horizontal="left" vertical="center"/>
    </xf>
    <xf numFmtId="164" fontId="14" fillId="74" borderId="50" xfId="10" applyNumberFormat="1" applyFont="1" applyFill="1" applyBorder="1" applyAlignment="1">
      <alignment horizontal="center" vertical="center"/>
    </xf>
    <xf numFmtId="167" fontId="14" fillId="75" borderId="50" xfId="15" applyNumberFormat="1" applyFont="1" applyFill="1" applyBorder="1" applyAlignment="1">
      <alignment horizontal="right" vertical="center"/>
    </xf>
    <xf numFmtId="188" fontId="16" fillId="0" borderId="50" xfId="16" applyNumberFormat="1" applyFont="1" applyFill="1" applyBorder="1" applyAlignment="1">
      <alignment horizontal="center" vertical="center"/>
    </xf>
    <xf numFmtId="9" fontId="16" fillId="0" borderId="50" xfId="2" applyFont="1" applyFill="1" applyBorder="1" applyAlignment="1">
      <alignment horizontal="center" vertical="center"/>
    </xf>
    <xf numFmtId="167" fontId="14" fillId="62" borderId="50" xfId="15" applyNumberFormat="1" applyFont="1" applyFill="1" applyBorder="1" applyAlignment="1">
      <alignment horizontal="right" vertical="center"/>
    </xf>
    <xf numFmtId="167" fontId="14" fillId="14" borderId="50" xfId="15" applyNumberFormat="1" applyFont="1" applyFill="1" applyBorder="1" applyAlignment="1">
      <alignment horizontal="right" vertical="center"/>
    </xf>
    <xf numFmtId="167" fontId="14" fillId="74" borderId="50" xfId="15" applyNumberFormat="1" applyFont="1" applyFill="1" applyBorder="1" applyAlignment="1">
      <alignment horizontal="right" vertical="center"/>
    </xf>
    <xf numFmtId="0" fontId="14" fillId="74" borderId="50" xfId="10" applyFont="1" applyFill="1" applyBorder="1" applyAlignment="1">
      <alignment horizontal="left" vertical="center"/>
    </xf>
    <xf numFmtId="0" fontId="14" fillId="14" borderId="50" xfId="16" applyNumberFormat="1" applyFont="1" applyFill="1" applyBorder="1" applyAlignment="1">
      <alignment horizontal="center" vertical="center"/>
    </xf>
    <xf numFmtId="0" fontId="16" fillId="76" borderId="50" xfId="10" applyFont="1" applyFill="1" applyBorder="1" applyAlignment="1">
      <alignment horizontal="center" vertical="center"/>
    </xf>
    <xf numFmtId="49" fontId="16" fillId="76" borderId="50" xfId="10" applyNumberFormat="1" applyFont="1" applyFill="1" applyBorder="1" applyAlignment="1">
      <alignment horizontal="center" vertical="center"/>
    </xf>
    <xf numFmtId="164" fontId="16" fillId="76" borderId="50" xfId="15" applyNumberFormat="1" applyFont="1" applyFill="1" applyBorder="1" applyAlignment="1">
      <alignment horizontal="right" vertical="center"/>
    </xf>
    <xf numFmtId="9" fontId="16" fillId="76" borderId="50" xfId="16" applyFont="1" applyFill="1" applyBorder="1" applyAlignment="1">
      <alignment horizontal="center" vertical="center"/>
    </xf>
    <xf numFmtId="167" fontId="16" fillId="76" borderId="50" xfId="15" applyNumberFormat="1" applyFont="1" applyFill="1" applyBorder="1" applyAlignment="1">
      <alignment horizontal="right" vertical="center"/>
    </xf>
    <xf numFmtId="0" fontId="2" fillId="76" borderId="0" xfId="14" applyFill="1"/>
    <xf numFmtId="0" fontId="14" fillId="13" borderId="50" xfId="10" applyFont="1" applyFill="1" applyBorder="1" applyAlignment="1">
      <alignment horizontal="center" vertical="center"/>
    </xf>
    <xf numFmtId="167" fontId="14" fillId="13" borderId="50" xfId="15" applyNumberFormat="1" applyFont="1" applyFill="1" applyBorder="1" applyAlignment="1">
      <alignment horizontal="right" vertical="center"/>
    </xf>
    <xf numFmtId="0" fontId="16" fillId="0" borderId="0" xfId="10" applyFont="1" applyAlignment="1">
      <alignment horizontal="center" vertical="center"/>
    </xf>
    <xf numFmtId="49" fontId="16" fillId="0" borderId="0" xfId="10" applyNumberFormat="1" applyFont="1" applyAlignment="1">
      <alignment horizontal="center" vertical="center"/>
    </xf>
    <xf numFmtId="0" fontId="16" fillId="0" borderId="0" xfId="10" applyFont="1" applyAlignment="1">
      <alignment horizontal="left" vertical="center" wrapText="1"/>
    </xf>
    <xf numFmtId="164" fontId="16" fillId="0" borderId="0" xfId="15" applyNumberFormat="1" applyFont="1" applyFill="1" applyBorder="1" applyAlignment="1">
      <alignment horizontal="right" vertical="center"/>
    </xf>
    <xf numFmtId="167" fontId="16" fillId="0" borderId="0" xfId="15" applyNumberFormat="1" applyFont="1" applyFill="1" applyBorder="1" applyAlignment="1">
      <alignment horizontal="right" vertical="center"/>
    </xf>
    <xf numFmtId="164" fontId="2" fillId="0" borderId="0" xfId="14" applyNumberFormat="1"/>
    <xf numFmtId="43" fontId="16" fillId="0" borderId="0" xfId="15" applyFont="1" applyFill="1" applyBorder="1" applyAlignment="1">
      <alignment horizontal="right" vertical="center"/>
    </xf>
    <xf numFmtId="0" fontId="16" fillId="0" borderId="47" xfId="10" applyFont="1" applyBorder="1" applyAlignment="1">
      <alignment horizontal="center" vertical="center"/>
    </xf>
    <xf numFmtId="49" fontId="16" fillId="0" borderId="47" xfId="10" applyNumberFormat="1" applyFont="1" applyBorder="1" applyAlignment="1">
      <alignment horizontal="center" vertical="center"/>
    </xf>
    <xf numFmtId="0" fontId="16" fillId="0" borderId="47" xfId="10" applyFont="1" applyBorder="1" applyAlignment="1">
      <alignment horizontal="left" vertical="center" wrapText="1"/>
    </xf>
    <xf numFmtId="164" fontId="16" fillId="0" borderId="47" xfId="15" applyNumberFormat="1" applyFont="1" applyFill="1" applyBorder="1" applyAlignment="1">
      <alignment horizontal="right" vertical="center"/>
    </xf>
    <xf numFmtId="43" fontId="16" fillId="0" borderId="47" xfId="15" applyFont="1" applyFill="1" applyBorder="1" applyAlignment="1">
      <alignment horizontal="right" vertical="center"/>
    </xf>
    <xf numFmtId="43" fontId="16" fillId="0" borderId="50" xfId="15" applyFont="1" applyFill="1" applyBorder="1" applyAlignment="1">
      <alignment horizontal="right" vertical="center"/>
    </xf>
    <xf numFmtId="49" fontId="16" fillId="0" borderId="50" xfId="10" applyNumberFormat="1" applyFont="1" applyBorder="1" applyAlignment="1">
      <alignment horizontal="left" vertical="center" wrapText="1"/>
    </xf>
    <xf numFmtId="164" fontId="16" fillId="0" borderId="50" xfId="15" applyNumberFormat="1" applyFont="1" applyFill="1" applyBorder="1" applyAlignment="1">
      <alignment horizontal="left" vertical="center"/>
    </xf>
    <xf numFmtId="43" fontId="16" fillId="0" borderId="50" xfId="15" applyFont="1" applyFill="1" applyBorder="1" applyAlignment="1">
      <alignment horizontal="left" vertical="center"/>
    </xf>
    <xf numFmtId="166" fontId="16" fillId="0" borderId="50" xfId="15" applyNumberFormat="1" applyFont="1" applyFill="1" applyBorder="1" applyAlignment="1">
      <alignment horizontal="left" vertical="center"/>
    </xf>
    <xf numFmtId="49" fontId="16" fillId="13" borderId="50" xfId="10" applyNumberFormat="1" applyFont="1" applyFill="1" applyBorder="1" applyAlignment="1">
      <alignment horizontal="center" vertical="center"/>
    </xf>
    <xf numFmtId="0" fontId="16" fillId="13" borderId="50" xfId="10" applyFont="1" applyFill="1" applyBorder="1" applyAlignment="1">
      <alignment horizontal="left" vertical="center"/>
    </xf>
    <xf numFmtId="0" fontId="16" fillId="13" borderId="50" xfId="10" applyFont="1" applyFill="1" applyBorder="1" applyAlignment="1">
      <alignment horizontal="left" vertical="center" wrapText="1"/>
    </xf>
    <xf numFmtId="164" fontId="16" fillId="13" borderId="50" xfId="15" applyNumberFormat="1" applyFont="1" applyFill="1" applyBorder="1" applyAlignment="1">
      <alignment horizontal="left" vertical="center"/>
    </xf>
    <xf numFmtId="166" fontId="16" fillId="13" borderId="50" xfId="15" applyNumberFormat="1" applyFont="1" applyFill="1" applyBorder="1" applyAlignment="1">
      <alignment horizontal="left" vertical="center"/>
    </xf>
    <xf numFmtId="166" fontId="16" fillId="13" borderId="50" xfId="15" applyNumberFormat="1" applyFont="1" applyFill="1" applyBorder="1" applyAlignment="1">
      <alignment horizontal="left" vertical="center" wrapText="1"/>
    </xf>
    <xf numFmtId="0" fontId="16" fillId="4" borderId="50" xfId="10" applyFont="1" applyFill="1" applyBorder="1" applyAlignment="1">
      <alignment horizontal="left" vertical="center" wrapText="1"/>
    </xf>
    <xf numFmtId="0" fontId="2" fillId="0" borderId="0" xfId="14" applyAlignment="1">
      <alignment wrapText="1"/>
    </xf>
    <xf numFmtId="164" fontId="16" fillId="68" borderId="50" xfId="15" applyNumberFormat="1" applyFont="1" applyFill="1" applyBorder="1" applyAlignment="1">
      <alignment horizontal="right" vertical="center"/>
    </xf>
    <xf numFmtId="167" fontId="16" fillId="2" borderId="50" xfId="3" applyNumberFormat="1" applyFont="1" applyFill="1" applyBorder="1" applyAlignment="1">
      <alignment horizontal="right" vertical="center"/>
    </xf>
    <xf numFmtId="164" fontId="14" fillId="0" borderId="50" xfId="3" applyNumberFormat="1" applyFont="1" applyBorder="1" applyAlignment="1">
      <alignment horizontal="right" vertical="center"/>
    </xf>
    <xf numFmtId="164" fontId="14" fillId="2" borderId="50" xfId="3" applyNumberFormat="1" applyFont="1" applyFill="1" applyBorder="1" applyAlignment="1">
      <alignment horizontal="right" vertical="center"/>
    </xf>
    <xf numFmtId="0" fontId="14" fillId="2" borderId="50" xfId="4" applyFont="1" applyFill="1" applyBorder="1" applyAlignment="1">
      <alignment horizontal="left" vertical="center"/>
    </xf>
    <xf numFmtId="0" fontId="16" fillId="2" borderId="50" xfId="4" applyFont="1" applyFill="1" applyBorder="1" applyAlignment="1">
      <alignment horizontal="left" vertical="center"/>
    </xf>
    <xf numFmtId="43" fontId="14" fillId="2" borderId="50" xfId="3" applyFont="1" applyFill="1" applyBorder="1" applyAlignment="1">
      <alignment horizontal="right" vertical="center"/>
    </xf>
    <xf numFmtId="43" fontId="16" fillId="2" borderId="50" xfId="3" applyFont="1" applyFill="1" applyBorder="1" applyAlignment="1">
      <alignment horizontal="right" vertical="center"/>
    </xf>
    <xf numFmtId="164" fontId="14" fillId="13" borderId="50" xfId="3" applyNumberFormat="1" applyFont="1" applyFill="1" applyBorder="1" applyAlignment="1">
      <alignment horizontal="right" vertical="center"/>
    </xf>
    <xf numFmtId="164" fontId="14" fillId="14" borderId="50" xfId="3" applyNumberFormat="1" applyFont="1" applyFill="1" applyBorder="1" applyAlignment="1">
      <alignment horizontal="right" vertical="center"/>
    </xf>
    <xf numFmtId="164" fontId="14" fillId="59" borderId="50" xfId="3" applyNumberFormat="1" applyFont="1" applyFill="1" applyBorder="1" applyAlignment="1">
      <alignment horizontal="right" vertical="center"/>
    </xf>
    <xf numFmtId="164" fontId="14" fillId="60" borderId="50" xfId="3" applyNumberFormat="1" applyFont="1" applyFill="1" applyBorder="1" applyAlignment="1">
      <alignment horizontal="right" vertical="center"/>
    </xf>
    <xf numFmtId="164" fontId="16" fillId="0" borderId="50" xfId="3" applyNumberFormat="1" applyFont="1" applyBorder="1" applyAlignment="1">
      <alignment horizontal="right" vertical="center"/>
    </xf>
    <xf numFmtId="164" fontId="14" fillId="0" borderId="50" xfId="3" applyNumberFormat="1" applyFont="1" applyFill="1" applyBorder="1" applyAlignment="1">
      <alignment horizontal="right" vertical="center"/>
    </xf>
    <xf numFmtId="164" fontId="16" fillId="2" borderId="50" xfId="3" applyNumberFormat="1" applyFont="1" applyFill="1" applyBorder="1" applyAlignment="1">
      <alignment horizontal="right" vertical="center"/>
    </xf>
    <xf numFmtId="164" fontId="16" fillId="0" borderId="50" xfId="3" applyNumberFormat="1" applyFont="1" applyFill="1" applyBorder="1" applyAlignment="1">
      <alignment horizontal="right" vertical="center"/>
    </xf>
    <xf numFmtId="164" fontId="16" fillId="77" borderId="50" xfId="3" applyNumberFormat="1" applyFont="1" applyFill="1" applyBorder="1" applyAlignment="1">
      <alignment horizontal="right" vertical="center"/>
    </xf>
    <xf numFmtId="164" fontId="14" fillId="0" borderId="50" xfId="3" applyNumberFormat="1" applyFont="1" applyBorder="1" applyAlignment="1">
      <alignment horizontal="left" vertical="center"/>
    </xf>
    <xf numFmtId="164" fontId="16" fillId="0" borderId="50" xfId="3" applyNumberFormat="1" applyFont="1" applyBorder="1" applyAlignment="1">
      <alignment horizontal="left" vertical="center"/>
    </xf>
    <xf numFmtId="164" fontId="14" fillId="60" borderId="50" xfId="3" applyNumberFormat="1" applyFont="1" applyFill="1" applyBorder="1" applyAlignment="1">
      <alignment horizontal="left" vertical="center"/>
    </xf>
    <xf numFmtId="164" fontId="14" fillId="59" borderId="50" xfId="3" applyNumberFormat="1" applyFont="1" applyFill="1" applyBorder="1" applyAlignment="1">
      <alignment horizontal="center" vertical="center"/>
    </xf>
    <xf numFmtId="164" fontId="16" fillId="2" borderId="50" xfId="3" applyNumberFormat="1" applyFont="1" applyFill="1" applyBorder="1" applyAlignment="1">
      <alignment horizontal="left" vertical="center"/>
    </xf>
    <xf numFmtId="164" fontId="16" fillId="0" borderId="50" xfId="3" applyNumberFormat="1" applyFont="1" applyFill="1" applyBorder="1" applyAlignment="1">
      <alignment horizontal="left" vertical="center"/>
    </xf>
    <xf numFmtId="164" fontId="14" fillId="0" borderId="50" xfId="3" applyNumberFormat="1" applyFont="1" applyFill="1" applyBorder="1" applyAlignment="1">
      <alignment horizontal="left" vertical="center"/>
    </xf>
    <xf numFmtId="164" fontId="14" fillId="59" borderId="50" xfId="3" applyNumberFormat="1" applyFont="1" applyFill="1" applyBorder="1" applyAlignment="1">
      <alignment horizontal="left" vertical="center"/>
    </xf>
    <xf numFmtId="189" fontId="16" fillId="0" borderId="50" xfId="2" applyNumberFormat="1" applyFont="1" applyFill="1" applyBorder="1" applyAlignment="1">
      <alignment horizontal="center" vertical="center"/>
    </xf>
    <xf numFmtId="189" fontId="16" fillId="0" borderId="50" xfId="16" applyNumberFormat="1" applyFont="1" applyFill="1" applyBorder="1" applyAlignment="1">
      <alignment horizontal="center" vertical="center"/>
    </xf>
    <xf numFmtId="187" fontId="16" fillId="0" borderId="50" xfId="16" applyNumberFormat="1" applyFont="1" applyFill="1" applyBorder="1" applyAlignment="1">
      <alignment horizontal="center" vertical="center"/>
    </xf>
    <xf numFmtId="187" fontId="16" fillId="4" borderId="50" xfId="16" applyNumberFormat="1" applyFont="1" applyFill="1" applyBorder="1" applyAlignment="1">
      <alignment horizontal="center" vertical="center"/>
    </xf>
    <xf numFmtId="167" fontId="16" fillId="68" borderId="50" xfId="15" applyNumberFormat="1" applyFont="1" applyFill="1" applyBorder="1" applyAlignment="1">
      <alignment horizontal="right" vertical="center"/>
    </xf>
    <xf numFmtId="9" fontId="14" fillId="13" borderId="50" xfId="2" applyFont="1" applyFill="1" applyBorder="1" applyAlignment="1">
      <alignment horizontal="right" vertical="center"/>
    </xf>
    <xf numFmtId="9" fontId="14" fillId="62" borderId="50" xfId="2" applyFont="1" applyFill="1" applyBorder="1" applyAlignment="1">
      <alignment horizontal="right" vertical="center"/>
    </xf>
    <xf numFmtId="9" fontId="14" fillId="14" borderId="50" xfId="2" applyFont="1" applyFill="1" applyBorder="1" applyAlignment="1">
      <alignment horizontal="right" vertical="center"/>
    </xf>
    <xf numFmtId="9" fontId="14" fillId="74" borderId="50" xfId="2" applyFont="1" applyFill="1" applyBorder="1" applyAlignment="1">
      <alignment horizontal="right" vertical="center"/>
    </xf>
    <xf numFmtId="9" fontId="14" fillId="60" borderId="50" xfId="2" applyFont="1" applyFill="1" applyBorder="1" applyAlignment="1">
      <alignment horizontal="right" vertical="center"/>
    </xf>
    <xf numFmtId="9" fontId="14" fillId="0" borderId="50" xfId="2" applyFont="1" applyFill="1" applyBorder="1" applyAlignment="1">
      <alignment horizontal="right" vertical="center"/>
    </xf>
    <xf numFmtId="9" fontId="16" fillId="0" borderId="50" xfId="2" applyFont="1" applyFill="1" applyBorder="1" applyAlignment="1">
      <alignment horizontal="right" vertical="center"/>
    </xf>
    <xf numFmtId="9" fontId="14" fillId="75" borderId="50" xfId="2" applyFont="1" applyFill="1" applyBorder="1" applyAlignment="1">
      <alignment horizontal="right" vertical="center"/>
    </xf>
    <xf numFmtId="9" fontId="16" fillId="2" borderId="50" xfId="2" applyFont="1" applyFill="1" applyBorder="1" applyAlignment="1">
      <alignment horizontal="right" vertical="center"/>
    </xf>
    <xf numFmtId="9" fontId="14" fillId="74" borderId="50" xfId="2" applyFont="1" applyFill="1" applyBorder="1" applyAlignment="1">
      <alignment horizontal="center" vertical="center"/>
    </xf>
    <xf numFmtId="9" fontId="16" fillId="76" borderId="50" xfId="2" applyFont="1" applyFill="1" applyBorder="1" applyAlignment="1">
      <alignment horizontal="right" vertical="center"/>
    </xf>
    <xf numFmtId="0" fontId="51" fillId="2" borderId="16" xfId="10" applyFont="1" applyFill="1" applyBorder="1" applyAlignment="1">
      <alignment horizontal="center" vertical="center" wrapText="1"/>
    </xf>
    <xf numFmtId="175" fontId="52" fillId="78" borderId="31" xfId="17" applyNumberFormat="1" applyFont="1" applyFill="1" applyBorder="1" applyAlignment="1">
      <alignment vertical="center"/>
    </xf>
    <xf numFmtId="175" fontId="51" fillId="0" borderId="0" xfId="10" applyNumberFormat="1" applyFont="1" applyAlignment="1">
      <alignment vertical="center"/>
    </xf>
    <xf numFmtId="0" fontId="51" fillId="78" borderId="0" xfId="10" applyFont="1" applyFill="1" applyAlignment="1">
      <alignment vertical="center"/>
    </xf>
    <xf numFmtId="43" fontId="51" fillId="0" borderId="0" xfId="3" applyFont="1" applyAlignment="1">
      <alignment vertical="center"/>
    </xf>
    <xf numFmtId="43" fontId="51" fillId="78" borderId="0" xfId="3" applyFont="1" applyFill="1" applyAlignment="1">
      <alignment vertical="center"/>
    </xf>
    <xf numFmtId="174" fontId="52" fillId="61" borderId="26" xfId="17" applyFont="1" applyFill="1" applyBorder="1" applyAlignment="1">
      <alignment vertical="center"/>
    </xf>
    <xf numFmtId="175" fontId="52" fillId="61" borderId="31" xfId="17" applyNumberFormat="1" applyFont="1" applyFill="1" applyBorder="1" applyAlignment="1">
      <alignment vertical="center"/>
    </xf>
    <xf numFmtId="174" fontId="52" fillId="61" borderId="31" xfId="17" applyFont="1" applyFill="1" applyBorder="1" applyAlignment="1">
      <alignment vertical="center"/>
    </xf>
    <xf numFmtId="174" fontId="52" fillId="0" borderId="16" xfId="17" applyFont="1" applyBorder="1" applyAlignment="1">
      <alignment vertical="center"/>
    </xf>
    <xf numFmtId="177" fontId="53" fillId="63" borderId="0" xfId="11" applyNumberFormat="1" applyFont="1" applyFill="1" applyAlignment="1">
      <alignment horizontal="right" vertical="center"/>
    </xf>
    <xf numFmtId="177" fontId="53" fillId="2" borderId="0" xfId="11" applyNumberFormat="1" applyFont="1" applyFill="1" applyAlignment="1">
      <alignment horizontal="right" vertical="center"/>
    </xf>
    <xf numFmtId="177" fontId="53" fillId="79" borderId="0" xfId="11" applyNumberFormat="1" applyFont="1" applyFill="1" applyAlignment="1">
      <alignment horizontal="right" vertical="center"/>
    </xf>
    <xf numFmtId="175" fontId="52" fillId="0" borderId="16" xfId="17" applyNumberFormat="1" applyFont="1" applyFill="1" applyBorder="1" applyAlignment="1">
      <alignment vertical="center"/>
    </xf>
    <xf numFmtId="0" fontId="52" fillId="0" borderId="12" xfId="10" applyFont="1" applyBorder="1" applyAlignment="1">
      <alignment horizontal="center" vertical="center"/>
    </xf>
    <xf numFmtId="172" fontId="54" fillId="3" borderId="14" xfId="10" applyNumberFormat="1" applyFont="1" applyFill="1" applyBorder="1" applyAlignment="1">
      <alignment horizontal="center" vertical="center"/>
    </xf>
    <xf numFmtId="181" fontId="54" fillId="3" borderId="14" xfId="10" applyNumberFormat="1" applyFont="1" applyFill="1" applyBorder="1" applyAlignment="1">
      <alignment horizontal="center" vertical="center"/>
    </xf>
    <xf numFmtId="182" fontId="54" fillId="3" borderId="14" xfId="10" applyNumberFormat="1" applyFont="1" applyFill="1" applyBorder="1" applyAlignment="1">
      <alignment horizontal="center" vertical="center"/>
    </xf>
    <xf numFmtId="172" fontId="51" fillId="0" borderId="0" xfId="10" applyNumberFormat="1" applyFont="1" applyAlignment="1">
      <alignment vertical="center"/>
    </xf>
    <xf numFmtId="174" fontId="51" fillId="77" borderId="0" xfId="10" applyNumberFormat="1" applyFont="1" applyFill="1" applyAlignment="1">
      <alignment vertical="center"/>
    </xf>
    <xf numFmtId="174" fontId="51" fillId="65" borderId="0" xfId="10" applyNumberFormat="1" applyFont="1" applyFill="1" applyAlignment="1">
      <alignment vertical="center"/>
    </xf>
    <xf numFmtId="174" fontId="51" fillId="80" borderId="0" xfId="10" applyNumberFormat="1" applyFont="1" applyFill="1" applyAlignment="1">
      <alignment vertical="center"/>
    </xf>
    <xf numFmtId="174" fontId="56" fillId="65" borderId="0" xfId="10" applyNumberFormat="1" applyFont="1" applyFill="1" applyAlignment="1">
      <alignment vertical="center"/>
    </xf>
    <xf numFmtId="183" fontId="51" fillId="0" borderId="0" xfId="10" applyNumberFormat="1" applyFont="1" applyAlignment="1">
      <alignment vertical="center"/>
    </xf>
    <xf numFmtId="43" fontId="51" fillId="0" borderId="0" xfId="10" applyNumberFormat="1" applyFont="1" applyAlignment="1">
      <alignment vertical="center"/>
    </xf>
    <xf numFmtId="190" fontId="51" fillId="0" borderId="0" xfId="10" applyNumberFormat="1" applyFont="1" applyAlignment="1">
      <alignment vertical="center"/>
    </xf>
    <xf numFmtId="172" fontId="52" fillId="81" borderId="16" xfId="10" applyNumberFormat="1" applyFont="1" applyFill="1" applyBorder="1" applyAlignment="1">
      <alignment horizontal="right" vertical="center"/>
    </xf>
    <xf numFmtId="172" fontId="52" fillId="23" borderId="16" xfId="10" applyNumberFormat="1" applyFont="1" applyFill="1" applyBorder="1" applyAlignment="1">
      <alignment horizontal="right" vertical="center"/>
    </xf>
    <xf numFmtId="0" fontId="51" fillId="2" borderId="31" xfId="10" applyFont="1" applyFill="1" applyBorder="1" applyAlignment="1">
      <alignment horizontal="center" vertical="center" wrapText="1"/>
    </xf>
    <xf numFmtId="0" fontId="51" fillId="2" borderId="0" xfId="10" applyFont="1" applyFill="1" applyAlignment="1">
      <alignment vertical="center"/>
    </xf>
    <xf numFmtId="174" fontId="51" fillId="2" borderId="0" xfId="10" applyNumberFormat="1" applyFont="1" applyFill="1" applyAlignment="1">
      <alignment vertical="center"/>
    </xf>
    <xf numFmtId="43" fontId="51" fillId="2" borderId="0" xfId="10" applyNumberFormat="1" applyFont="1" applyFill="1" applyAlignment="1">
      <alignment vertical="center"/>
    </xf>
    <xf numFmtId="0" fontId="7" fillId="7" borderId="3" xfId="4" applyFont="1" applyFill="1" applyBorder="1" applyAlignment="1">
      <alignment horizontal="center" vertical="center" wrapText="1"/>
    </xf>
    <xf numFmtId="172" fontId="51" fillId="2" borderId="0" xfId="10" applyNumberFormat="1" applyFont="1" applyFill="1" applyAlignment="1">
      <alignment vertical="center"/>
    </xf>
    <xf numFmtId="174" fontId="51" fillId="79" borderId="0" xfId="10" applyNumberFormat="1" applyFont="1" applyFill="1" applyAlignment="1">
      <alignment vertical="center"/>
    </xf>
    <xf numFmtId="0" fontId="16" fillId="82" borderId="50" xfId="10" applyFont="1" applyFill="1" applyBorder="1" applyAlignment="1">
      <alignment horizontal="left" vertical="center" wrapText="1"/>
    </xf>
    <xf numFmtId="164" fontId="16" fillId="82" borderId="50" xfId="15" applyNumberFormat="1" applyFont="1" applyFill="1" applyBorder="1" applyAlignment="1">
      <alignment horizontal="right" vertical="center"/>
    </xf>
    <xf numFmtId="167" fontId="16" fillId="82" borderId="50" xfId="15" applyNumberFormat="1" applyFont="1" applyFill="1" applyBorder="1" applyAlignment="1">
      <alignment horizontal="right" vertical="center"/>
    </xf>
    <xf numFmtId="9" fontId="16" fillId="82" borderId="50" xfId="16" applyFont="1" applyFill="1" applyBorder="1" applyAlignment="1">
      <alignment horizontal="center" vertical="center"/>
    </xf>
    <xf numFmtId="167" fontId="14" fillId="82" borderId="50" xfId="15" applyNumberFormat="1" applyFont="1" applyFill="1" applyBorder="1" applyAlignment="1">
      <alignment horizontal="right" vertical="center"/>
    </xf>
    <xf numFmtId="164" fontId="14" fillId="82" borderId="50" xfId="15" applyNumberFormat="1" applyFont="1" applyFill="1" applyBorder="1" applyAlignment="1">
      <alignment horizontal="right" vertical="center"/>
    </xf>
    <xf numFmtId="0" fontId="14" fillId="82" borderId="50" xfId="10" applyFont="1" applyFill="1" applyBorder="1" applyAlignment="1">
      <alignment horizontal="left" vertical="center" wrapText="1"/>
    </xf>
    <xf numFmtId="0" fontId="51" fillId="79" borderId="16" xfId="10" applyFont="1" applyFill="1" applyBorder="1" applyAlignment="1">
      <alignment horizontal="center" vertical="center" wrapText="1"/>
    </xf>
    <xf numFmtId="9" fontId="16" fillId="4" borderId="50" xfId="16" applyFont="1" applyFill="1" applyBorder="1" applyAlignment="1">
      <alignment horizontal="center" vertical="center"/>
    </xf>
    <xf numFmtId="0" fontId="16" fillId="2" borderId="50" xfId="10" applyFont="1" applyFill="1" applyBorder="1" applyAlignment="1">
      <alignment horizontal="left" vertical="center" wrapText="1"/>
    </xf>
    <xf numFmtId="3" fontId="16" fillId="82" borderId="56" xfId="14" applyNumberFormat="1" applyFont="1" applyFill="1" applyBorder="1" applyAlignment="1">
      <alignment horizontal="right" vertical="center"/>
    </xf>
    <xf numFmtId="0" fontId="51" fillId="77" borderId="16" xfId="10" applyFont="1" applyFill="1" applyBorder="1" applyAlignment="1">
      <alignment horizontal="center" vertical="center" wrapText="1"/>
    </xf>
    <xf numFmtId="0" fontId="7" fillId="11" borderId="4" xfId="4" applyFont="1" applyFill="1" applyBorder="1" applyAlignment="1">
      <alignment horizontal="center" vertical="center" wrapText="1"/>
    </xf>
    <xf numFmtId="191" fontId="20" fillId="0" borderId="54" xfId="0" applyNumberFormat="1" applyFont="1" applyBorder="1" applyAlignment="1">
      <alignment horizontal="left" vertical="center"/>
    </xf>
    <xf numFmtId="43" fontId="20" fillId="0" borderId="54" xfId="3" applyFont="1" applyBorder="1" applyAlignment="1">
      <alignment horizontal="left" vertical="center"/>
    </xf>
    <xf numFmtId="43" fontId="20" fillId="23" borderId="54" xfId="3" applyFont="1" applyFill="1" applyBorder="1" applyAlignment="1">
      <alignment horizontal="left" vertical="center"/>
    </xf>
    <xf numFmtId="168" fontId="7" fillId="83" borderId="116" xfId="3" applyNumberFormat="1" applyFont="1" applyFill="1" applyBorder="1" applyAlignment="1">
      <alignment horizontal="center"/>
    </xf>
    <xf numFmtId="4" fontId="7" fillId="24" borderId="5" xfId="4" applyNumberFormat="1" applyFont="1" applyFill="1" applyBorder="1" applyAlignment="1">
      <alignment vertical="center" wrapText="1"/>
    </xf>
    <xf numFmtId="1" fontId="4" fillId="67" borderId="14" xfId="4" applyNumberFormat="1" applyFont="1" applyFill="1" applyBorder="1" applyAlignment="1">
      <alignment horizontal="center" vertical="center" wrapText="1"/>
    </xf>
    <xf numFmtId="1" fontId="4" fillId="67" borderId="12" xfId="4" applyNumberFormat="1" applyFont="1" applyFill="1" applyBorder="1" applyAlignment="1">
      <alignment horizontal="center" vertical="center" wrapText="1"/>
    </xf>
    <xf numFmtId="170" fontId="7" fillId="67" borderId="12" xfId="2" applyNumberFormat="1" applyFont="1" applyFill="1" applyBorder="1" applyAlignment="1">
      <alignment horizontal="center" vertical="center" wrapText="1"/>
    </xf>
    <xf numFmtId="3" fontId="4" fillId="67" borderId="14" xfId="4" applyNumberFormat="1" applyFont="1" applyFill="1" applyBorder="1" applyAlignment="1">
      <alignment horizontal="center" vertical="center" wrapText="1"/>
    </xf>
    <xf numFmtId="3" fontId="4" fillId="67" borderId="12" xfId="4" applyNumberFormat="1" applyFont="1" applyFill="1" applyBorder="1" applyAlignment="1">
      <alignment horizontal="center" vertical="center" wrapText="1"/>
    </xf>
    <xf numFmtId="170" fontId="7" fillId="67" borderId="14" xfId="2" applyNumberFormat="1" applyFont="1" applyFill="1" applyBorder="1" applyAlignment="1">
      <alignment horizontal="center" vertical="center" wrapText="1"/>
    </xf>
    <xf numFmtId="9" fontId="7" fillId="67" borderId="12" xfId="2" applyFont="1" applyFill="1" applyBorder="1" applyAlignment="1">
      <alignment horizontal="center" vertical="center" wrapText="1"/>
    </xf>
    <xf numFmtId="3" fontId="7" fillId="67" borderId="7" xfId="4" applyNumberFormat="1" applyFont="1" applyFill="1" applyBorder="1" applyAlignment="1">
      <alignment vertical="center" wrapText="1"/>
    </xf>
    <xf numFmtId="10" fontId="7" fillId="67" borderId="12" xfId="2" applyNumberFormat="1" applyFont="1" applyFill="1" applyBorder="1" applyAlignment="1">
      <alignment horizontal="center" vertical="center" wrapText="1"/>
    </xf>
    <xf numFmtId="3" fontId="7" fillId="67" borderId="15" xfId="4" applyNumberFormat="1" applyFont="1" applyFill="1" applyBorder="1" applyAlignment="1">
      <alignment vertical="center" wrapText="1"/>
    </xf>
    <xf numFmtId="3" fontId="7" fillId="67" borderId="12" xfId="4" applyNumberFormat="1" applyFont="1" applyFill="1" applyBorder="1" applyAlignment="1">
      <alignment vertical="center" wrapText="1"/>
    </xf>
    <xf numFmtId="10" fontId="4" fillId="67" borderId="12" xfId="2" applyNumberFormat="1" applyFont="1" applyFill="1" applyBorder="1" applyAlignment="1">
      <alignment vertical="center" wrapText="1"/>
    </xf>
    <xf numFmtId="3" fontId="7" fillId="67" borderId="14" xfId="4" applyNumberFormat="1" applyFont="1" applyFill="1" applyBorder="1" applyAlignment="1">
      <alignment vertical="center" wrapText="1"/>
    </xf>
    <xf numFmtId="0" fontId="4" fillId="67" borderId="12" xfId="4" applyFont="1" applyFill="1" applyBorder="1" applyAlignment="1">
      <alignment vertical="center" wrapText="1"/>
    </xf>
    <xf numFmtId="171" fontId="25" fillId="84" borderId="70" xfId="0" applyNumberFormat="1" applyFont="1" applyFill="1" applyBorder="1" applyAlignment="1">
      <alignment horizontal="right" vertical="center"/>
    </xf>
    <xf numFmtId="3" fontId="7" fillId="77" borderId="18" xfId="4" applyNumberFormat="1" applyFont="1" applyFill="1" applyBorder="1" applyAlignment="1">
      <alignment vertical="center" wrapText="1"/>
    </xf>
    <xf numFmtId="171" fontId="32" fillId="77" borderId="100" xfId="0" applyNumberFormat="1" applyFont="1" applyFill="1" applyBorder="1" applyAlignment="1">
      <alignment horizontal="right" vertical="center"/>
    </xf>
    <xf numFmtId="0" fontId="42" fillId="52" borderId="5" xfId="0" applyFont="1" applyFill="1" applyBorder="1" applyAlignment="1">
      <alignment horizontal="center" vertical="center"/>
    </xf>
    <xf numFmtId="0" fontId="42" fillId="52" borderId="103" xfId="0" applyFont="1" applyFill="1" applyBorder="1" applyAlignment="1">
      <alignment horizontal="center" vertical="center"/>
    </xf>
    <xf numFmtId="172" fontId="29" fillId="24" borderId="12" xfId="4" applyNumberFormat="1" applyFont="1" applyFill="1" applyBorder="1" applyAlignment="1">
      <alignment horizontal="center" vertical="center" wrapText="1"/>
    </xf>
    <xf numFmtId="172" fontId="25" fillId="36" borderId="0" xfId="0" applyNumberFormat="1" applyFont="1" applyFill="1" applyAlignment="1">
      <alignment horizontal="right" vertical="center"/>
    </xf>
    <xf numFmtId="171" fontId="25" fillId="4" borderId="6" xfId="0" applyNumberFormat="1" applyFont="1" applyFill="1" applyBorder="1" applyAlignment="1">
      <alignment horizontal="right" vertical="center"/>
    </xf>
    <xf numFmtId="171" fontId="25" fillId="40" borderId="0" xfId="0" applyNumberFormat="1" applyFont="1" applyFill="1" applyAlignment="1">
      <alignment horizontal="right" vertical="center"/>
    </xf>
    <xf numFmtId="171" fontId="23" fillId="42" borderId="6" xfId="0" applyNumberFormat="1" applyFont="1" applyFill="1" applyBorder="1" applyAlignment="1">
      <alignment horizontal="right" vertical="center"/>
    </xf>
    <xf numFmtId="0" fontId="25" fillId="42" borderId="0" xfId="0" applyFont="1" applyFill="1" applyAlignment="1">
      <alignment horizontal="right" vertical="center"/>
    </xf>
    <xf numFmtId="171" fontId="6" fillId="4" borderId="6" xfId="0" applyNumberFormat="1" applyFont="1" applyFill="1" applyBorder="1" applyAlignment="1">
      <alignment horizontal="right" vertical="center"/>
    </xf>
    <xf numFmtId="0" fontId="45" fillId="45" borderId="6" xfId="0" applyFont="1" applyFill="1" applyBorder="1" applyAlignment="1">
      <alignment horizontal="right" vertical="center"/>
    </xf>
    <xf numFmtId="171" fontId="45" fillId="47" borderId="0" xfId="0" applyNumberFormat="1" applyFont="1" applyFill="1" applyAlignment="1">
      <alignment horizontal="right" vertical="center"/>
    </xf>
    <xf numFmtId="171" fontId="47" fillId="45" borderId="0" xfId="0" applyNumberFormat="1" applyFont="1" applyFill="1" applyAlignment="1">
      <alignment horizontal="right" vertical="center"/>
    </xf>
    <xf numFmtId="171" fontId="47" fillId="47" borderId="0" xfId="0" applyNumberFormat="1" applyFont="1" applyFill="1" applyAlignment="1">
      <alignment horizontal="right" vertical="center"/>
    </xf>
    <xf numFmtId="171" fontId="45" fillId="45" borderId="0" xfId="0" applyNumberFormat="1" applyFont="1" applyFill="1" applyAlignment="1">
      <alignment horizontal="right" vertical="center"/>
    </xf>
    <xf numFmtId="171" fontId="45" fillId="49" borderId="0" xfId="0" applyNumberFormat="1" applyFont="1" applyFill="1" applyAlignment="1">
      <alignment horizontal="right" vertical="center"/>
    </xf>
    <xf numFmtId="0" fontId="25" fillId="49" borderId="0" xfId="0" applyFont="1" applyFill="1" applyAlignment="1">
      <alignment horizontal="right" vertical="center"/>
    </xf>
    <xf numFmtId="0" fontId="25" fillId="50" borderId="0" xfId="0" applyFont="1" applyFill="1" applyAlignment="1">
      <alignment horizontal="right" vertical="center"/>
    </xf>
    <xf numFmtId="171" fontId="23" fillId="50" borderId="6" xfId="0" applyNumberFormat="1" applyFont="1" applyFill="1" applyBorder="1" applyAlignment="1">
      <alignment horizontal="right" vertical="center"/>
    </xf>
    <xf numFmtId="171" fontId="25" fillId="49" borderId="0" xfId="0" applyNumberFormat="1" applyFont="1" applyFill="1" applyAlignment="1">
      <alignment horizontal="right" vertical="center"/>
    </xf>
    <xf numFmtId="171" fontId="25" fillId="53" borderId="6" xfId="0" applyNumberFormat="1" applyFont="1" applyFill="1" applyBorder="1" applyAlignment="1">
      <alignment horizontal="right" vertical="center"/>
    </xf>
    <xf numFmtId="171" fontId="25" fillId="54" borderId="0" xfId="0" applyNumberFormat="1" applyFont="1" applyFill="1" applyAlignment="1">
      <alignment horizontal="right" vertical="center"/>
    </xf>
    <xf numFmtId="0" fontId="7" fillId="11" borderId="12" xfId="4" applyFont="1" applyFill="1" applyBorder="1" applyAlignment="1">
      <alignment horizontal="center" vertical="center" wrapText="1"/>
    </xf>
    <xf numFmtId="171" fontId="44" fillId="4" borderId="6" xfId="0" applyNumberFormat="1" applyFont="1" applyFill="1" applyBorder="1" applyAlignment="1">
      <alignment horizontal="right" vertical="center"/>
    </xf>
    <xf numFmtId="3" fontId="4" fillId="25" borderId="68" xfId="4" applyNumberFormat="1" applyFont="1" applyFill="1" applyBorder="1" applyAlignment="1">
      <alignment vertical="center" wrapText="1"/>
    </xf>
    <xf numFmtId="3" fontId="4" fillId="25" borderId="6" xfId="4" applyNumberFormat="1" applyFont="1" applyFill="1" applyBorder="1" applyAlignment="1">
      <alignment vertical="center" wrapText="1"/>
    </xf>
    <xf numFmtId="3" fontId="7" fillId="25" borderId="6" xfId="4" applyNumberFormat="1" applyFont="1" applyFill="1" applyBorder="1" applyAlignment="1">
      <alignment vertical="center" wrapText="1"/>
    </xf>
    <xf numFmtId="171" fontId="4" fillId="53" borderId="68" xfId="0" applyNumberFormat="1" applyFont="1" applyFill="1" applyBorder="1" applyAlignment="1">
      <alignment vertical="center"/>
    </xf>
    <xf numFmtId="3" fontId="4" fillId="68" borderId="6" xfId="4" applyNumberFormat="1" applyFont="1" applyFill="1" applyBorder="1" applyAlignment="1">
      <alignment vertical="center" wrapText="1"/>
    </xf>
    <xf numFmtId="171" fontId="4" fillId="4" borderId="68" xfId="0" applyNumberFormat="1" applyFont="1" applyFill="1" applyBorder="1" applyAlignment="1">
      <alignment vertical="center"/>
    </xf>
    <xf numFmtId="171" fontId="4" fillId="52" borderId="68" xfId="0" applyNumberFormat="1" applyFont="1" applyFill="1" applyBorder="1" applyAlignment="1">
      <alignment horizontal="right" vertical="center"/>
    </xf>
    <xf numFmtId="10" fontId="7" fillId="63" borderId="7" xfId="2" applyNumberFormat="1" applyFont="1" applyFill="1" applyBorder="1" applyAlignment="1">
      <alignment horizontal="right" vertical="center" wrapText="1"/>
    </xf>
    <xf numFmtId="10" fontId="7" fillId="24" borderId="6" xfId="2" applyNumberFormat="1" applyFont="1" applyFill="1" applyBorder="1" applyAlignment="1">
      <alignment horizontal="right" vertical="center" wrapText="1"/>
    </xf>
    <xf numFmtId="10" fontId="4" fillId="25" borderId="7" xfId="2" applyNumberFormat="1" applyFont="1" applyFill="1" applyBorder="1" applyAlignment="1">
      <alignment horizontal="right" vertical="center" wrapText="1"/>
    </xf>
    <xf numFmtId="10" fontId="4" fillId="0" borderId="6" xfId="2" applyNumberFormat="1" applyFont="1" applyFill="1" applyBorder="1" applyAlignment="1">
      <alignment horizontal="right" vertical="center" wrapText="1"/>
    </xf>
    <xf numFmtId="10" fontId="7" fillId="24" borderId="7" xfId="2" applyNumberFormat="1" applyFont="1" applyFill="1" applyBorder="1" applyAlignment="1">
      <alignment horizontal="right" vertical="center" wrapText="1"/>
    </xf>
    <xf numFmtId="10" fontId="4" fillId="68" borderId="7" xfId="2" applyNumberFormat="1" applyFont="1" applyFill="1" applyBorder="1" applyAlignment="1">
      <alignment horizontal="right" vertical="center" wrapText="1"/>
    </xf>
    <xf numFmtId="10" fontId="4" fillId="4" borderId="6" xfId="2" applyNumberFormat="1" applyFont="1" applyFill="1" applyBorder="1" applyAlignment="1">
      <alignment horizontal="right" vertical="center" wrapText="1"/>
    </xf>
    <xf numFmtId="10" fontId="7" fillId="67" borderId="7" xfId="2" applyNumberFormat="1" applyFont="1" applyFill="1" applyBorder="1" applyAlignment="1">
      <alignment horizontal="right" vertical="center" wrapText="1"/>
    </xf>
    <xf numFmtId="10" fontId="4" fillId="25" borderId="67" xfId="2" applyNumberFormat="1" applyFont="1" applyFill="1" applyBorder="1" applyAlignment="1">
      <alignment horizontal="right" vertical="center" wrapText="1"/>
    </xf>
    <xf numFmtId="10" fontId="7" fillId="24" borderId="68" xfId="2" applyNumberFormat="1" applyFont="1" applyFill="1" applyBorder="1" applyAlignment="1">
      <alignment horizontal="right" vertical="center" wrapText="1"/>
    </xf>
    <xf numFmtId="10" fontId="4" fillId="25" borderId="66" xfId="2" applyNumberFormat="1" applyFont="1" applyFill="1" applyBorder="1" applyAlignment="1">
      <alignment horizontal="right" vertical="center" wrapText="1"/>
    </xf>
    <xf numFmtId="10" fontId="4" fillId="4" borderId="67" xfId="2" applyNumberFormat="1" applyFont="1" applyFill="1" applyBorder="1" applyAlignment="1">
      <alignment horizontal="right" vertical="center" wrapText="1"/>
    </xf>
    <xf numFmtId="10" fontId="4" fillId="68" borderId="66" xfId="2" applyNumberFormat="1" applyFont="1" applyFill="1" applyBorder="1" applyAlignment="1">
      <alignment horizontal="right" vertical="center" wrapText="1"/>
    </xf>
    <xf numFmtId="10" fontId="4" fillId="0" borderId="68" xfId="2" applyNumberFormat="1" applyFont="1" applyFill="1" applyBorder="1" applyAlignment="1">
      <alignment horizontal="right" vertical="center" wrapText="1"/>
    </xf>
    <xf numFmtId="10" fontId="4" fillId="0" borderId="67" xfId="2" applyNumberFormat="1" applyFont="1" applyFill="1" applyBorder="1" applyAlignment="1">
      <alignment horizontal="right" vertical="center" wrapText="1"/>
    </xf>
    <xf numFmtId="10" fontId="4" fillId="4" borderId="68" xfId="2" applyNumberFormat="1" applyFont="1" applyFill="1" applyBorder="1" applyAlignment="1">
      <alignment horizontal="right" vertical="center" wrapText="1"/>
    </xf>
    <xf numFmtId="171" fontId="23" fillId="0" borderId="0" xfId="0" applyNumberFormat="1" applyFont="1" applyAlignment="1">
      <alignment horizontal="right" vertical="center"/>
    </xf>
    <xf numFmtId="171" fontId="23" fillId="36" borderId="0" xfId="0" applyNumberFormat="1" applyFont="1" applyFill="1" applyAlignment="1">
      <alignment horizontal="right" vertical="center"/>
    </xf>
    <xf numFmtId="171" fontId="25" fillId="37" borderId="0" xfId="0" applyNumberFormat="1" applyFont="1" applyFill="1" applyAlignment="1">
      <alignment horizontal="right" vertical="center"/>
    </xf>
    <xf numFmtId="171" fontId="25" fillId="38" borderId="66" xfId="0" applyNumberFormat="1" applyFont="1" applyFill="1" applyBorder="1" applyAlignment="1">
      <alignment horizontal="right" vertical="center"/>
    </xf>
    <xf numFmtId="171" fontId="25" fillId="38" borderId="0" xfId="0" applyNumberFormat="1" applyFont="1" applyFill="1" applyAlignment="1">
      <alignment horizontal="right" vertical="center"/>
    </xf>
    <xf numFmtId="171" fontId="25" fillId="36" borderId="66" xfId="0" applyNumberFormat="1" applyFont="1" applyFill="1" applyBorder="1" applyAlignment="1">
      <alignment horizontal="right" vertical="center"/>
    </xf>
    <xf numFmtId="3" fontId="7" fillId="77" borderId="24" xfId="4" applyNumberFormat="1" applyFont="1" applyFill="1" applyBorder="1" applyAlignment="1">
      <alignment vertical="center" wrapText="1"/>
    </xf>
    <xf numFmtId="171" fontId="45" fillId="44" borderId="0" xfId="0" applyNumberFormat="1" applyFont="1" applyFill="1" applyAlignment="1">
      <alignment horizontal="right" vertical="center"/>
    </xf>
    <xf numFmtId="171" fontId="45" fillId="46" borderId="0" xfId="0" applyNumberFormat="1" applyFont="1" applyFill="1" applyAlignment="1">
      <alignment horizontal="right" vertical="center"/>
    </xf>
    <xf numFmtId="171" fontId="45" fillId="0" borderId="6" xfId="0" applyNumberFormat="1" applyFont="1" applyBorder="1" applyAlignment="1">
      <alignment horizontal="right" vertical="center"/>
    </xf>
    <xf numFmtId="171" fontId="25" fillId="51" borderId="0" xfId="0" applyNumberFormat="1" applyFont="1" applyFill="1" applyAlignment="1">
      <alignment horizontal="right" vertical="center"/>
    </xf>
    <xf numFmtId="171" fontId="6" fillId="0" borderId="0" xfId="0" applyNumberFormat="1" applyFont="1" applyAlignment="1">
      <alignment horizontal="right" vertical="center"/>
    </xf>
    <xf numFmtId="171" fontId="25" fillId="50" borderId="0" xfId="0" applyNumberFormat="1" applyFont="1" applyFill="1" applyAlignment="1">
      <alignment horizontal="right" vertical="center"/>
    </xf>
    <xf numFmtId="171" fontId="25" fillId="52" borderId="0" xfId="0" applyNumberFormat="1" applyFont="1" applyFill="1" applyAlignment="1">
      <alignment horizontal="right" vertical="center"/>
    </xf>
    <xf numFmtId="171" fontId="25" fillId="53" borderId="0" xfId="0" applyNumberFormat="1" applyFont="1" applyFill="1" applyAlignment="1">
      <alignment horizontal="right" vertical="center"/>
    </xf>
    <xf numFmtId="171" fontId="23" fillId="53" borderId="0" xfId="0" applyNumberFormat="1" applyFont="1" applyFill="1" applyAlignment="1">
      <alignment horizontal="right" vertical="center"/>
    </xf>
    <xf numFmtId="3" fontId="4" fillId="4" borderId="66" xfId="4" applyNumberFormat="1" applyFont="1" applyFill="1" applyBorder="1" applyAlignment="1">
      <alignment vertical="center" wrapText="1"/>
    </xf>
    <xf numFmtId="49" fontId="61" fillId="73" borderId="50" xfId="10" applyNumberFormat="1" applyFont="1" applyFill="1" applyBorder="1" applyAlignment="1">
      <alignment horizontal="center" vertical="center"/>
    </xf>
    <xf numFmtId="0" fontId="61" fillId="73" borderId="50" xfId="10" applyFont="1" applyFill="1" applyBorder="1" applyAlignment="1">
      <alignment horizontal="left" vertical="center"/>
    </xf>
    <xf numFmtId="0" fontId="61" fillId="73" borderId="50" xfId="10" applyFont="1" applyFill="1" applyBorder="1" applyAlignment="1">
      <alignment horizontal="left" vertical="center" wrapText="1"/>
    </xf>
    <xf numFmtId="164" fontId="61" fillId="73" borderId="50" xfId="15" applyNumberFormat="1" applyFont="1" applyFill="1" applyBorder="1" applyAlignment="1">
      <alignment horizontal="right" vertical="center"/>
    </xf>
    <xf numFmtId="9" fontId="61" fillId="73" borderId="50" xfId="16" applyFont="1" applyFill="1" applyBorder="1" applyAlignment="1">
      <alignment horizontal="center" vertical="center"/>
    </xf>
    <xf numFmtId="9" fontId="61" fillId="73" borderId="50" xfId="2" applyFont="1" applyFill="1" applyBorder="1" applyAlignment="1">
      <alignment horizontal="right" vertical="center"/>
    </xf>
    <xf numFmtId="0" fontId="60" fillId="73" borderId="0" xfId="14" applyFont="1" applyFill="1"/>
    <xf numFmtId="165" fontId="4" fillId="4" borderId="39" xfId="4" applyNumberFormat="1" applyFont="1" applyFill="1" applyBorder="1" applyAlignment="1">
      <alignment horizontal="center" vertical="center" wrapText="1"/>
    </xf>
    <xf numFmtId="0" fontId="7" fillId="24" borderId="12" xfId="2" applyNumberFormat="1" applyFont="1" applyFill="1" applyBorder="1" applyAlignment="1">
      <alignment horizontal="center" vertical="center" wrapText="1"/>
    </xf>
    <xf numFmtId="10" fontId="4" fillId="82" borderId="67" xfId="2" applyNumberFormat="1" applyFont="1" applyFill="1" applyBorder="1" applyAlignment="1">
      <alignment horizontal="center" vertical="center" wrapText="1"/>
    </xf>
    <xf numFmtId="9" fontId="4" fillId="82" borderId="67" xfId="2" applyFont="1" applyFill="1" applyBorder="1" applyAlignment="1">
      <alignment horizontal="center" vertical="center" wrapText="1"/>
    </xf>
    <xf numFmtId="9" fontId="23" fillId="82" borderId="81" xfId="0" applyNumberFormat="1" applyFont="1" applyFill="1" applyBorder="1" applyAlignment="1">
      <alignment horizontal="center" vertical="center"/>
    </xf>
    <xf numFmtId="9" fontId="23" fillId="82" borderId="87" xfId="0" applyNumberFormat="1" applyFont="1" applyFill="1" applyBorder="1" applyAlignment="1">
      <alignment horizontal="center" vertical="center"/>
    </xf>
    <xf numFmtId="9" fontId="32" fillId="82" borderId="67" xfId="0" applyNumberFormat="1" applyFont="1" applyFill="1" applyBorder="1" applyAlignment="1">
      <alignment horizontal="center" vertical="center" wrapText="1"/>
    </xf>
    <xf numFmtId="9" fontId="39" fillId="85" borderId="89" xfId="0" applyNumberFormat="1" applyFont="1" applyFill="1" applyBorder="1" applyAlignment="1">
      <alignment horizontal="center" vertical="center" wrapText="1"/>
    </xf>
    <xf numFmtId="9" fontId="39" fillId="86" borderId="80" xfId="0" applyNumberFormat="1" applyFont="1" applyFill="1" applyBorder="1" applyAlignment="1">
      <alignment horizontal="center" vertical="center" wrapText="1"/>
    </xf>
    <xf numFmtId="9" fontId="39" fillId="86" borderId="89" xfId="0" applyNumberFormat="1" applyFont="1" applyFill="1" applyBorder="1" applyAlignment="1">
      <alignment horizontal="center" vertical="center" wrapText="1"/>
    </xf>
    <xf numFmtId="9" fontId="39" fillId="87" borderId="6" xfId="0" applyNumberFormat="1" applyFont="1" applyFill="1" applyBorder="1" applyAlignment="1">
      <alignment horizontal="center" vertical="center" wrapText="1"/>
    </xf>
    <xf numFmtId="9" fontId="39" fillId="87" borderId="90" xfId="0" applyNumberFormat="1" applyFont="1" applyFill="1" applyBorder="1" applyAlignment="1">
      <alignment horizontal="center" vertical="center" wrapText="1"/>
    </xf>
    <xf numFmtId="9" fontId="39" fillId="88" borderId="89" xfId="0" applyNumberFormat="1" applyFont="1" applyFill="1" applyBorder="1" applyAlignment="1">
      <alignment horizontal="center" vertical="center" wrapText="1"/>
    </xf>
    <xf numFmtId="165" fontId="4" fillId="4" borderId="37" xfId="4" applyNumberFormat="1" applyFont="1" applyFill="1" applyBorder="1" applyAlignment="1">
      <alignment horizontal="center" vertical="center" wrapText="1"/>
    </xf>
    <xf numFmtId="9" fontId="0" fillId="0" borderId="0" xfId="2" applyFont="1"/>
    <xf numFmtId="0" fontId="25" fillId="0" borderId="16" xfId="0" applyFont="1" applyBorder="1" applyAlignment="1">
      <alignment horizontal="center" vertical="center"/>
    </xf>
    <xf numFmtId="0" fontId="25" fillId="0" borderId="16" xfId="0" applyFont="1" applyBorder="1" applyAlignment="1">
      <alignment horizontal="center" vertical="center" wrapText="1"/>
    </xf>
    <xf numFmtId="0" fontId="4" fillId="0" borderId="35" xfId="4" applyFont="1" applyBorder="1" applyAlignment="1">
      <alignment horizontal="center" vertical="center" wrapText="1"/>
    </xf>
    <xf numFmtId="0" fontId="4" fillId="4" borderId="35" xfId="4" applyFont="1" applyFill="1" applyBorder="1" applyAlignment="1">
      <alignment horizontal="center" vertical="center" wrapText="1"/>
    </xf>
    <xf numFmtId="0" fontId="4" fillId="4" borderId="37" xfId="4" applyFont="1" applyFill="1" applyBorder="1" applyAlignment="1">
      <alignment horizontal="center" vertical="center" wrapText="1"/>
    </xf>
    <xf numFmtId="0" fontId="23" fillId="0" borderId="16" xfId="0" applyFont="1" applyBorder="1" applyAlignment="1">
      <alignment vertical="center" wrapText="1"/>
    </xf>
    <xf numFmtId="0" fontId="23" fillId="0" borderId="16" xfId="0" applyFont="1" applyBorder="1" applyAlignment="1">
      <alignment horizontal="center" vertical="center" wrapText="1"/>
    </xf>
    <xf numFmtId="0" fontId="62" fillId="0" borderId="16" xfId="0" applyFont="1" applyBorder="1" applyAlignment="1">
      <alignment horizontal="center" vertical="center"/>
    </xf>
    <xf numFmtId="0" fontId="23" fillId="0" borderId="16" xfId="0" applyFont="1" applyBorder="1" applyAlignment="1">
      <alignment vertical="center"/>
    </xf>
    <xf numFmtId="0" fontId="2" fillId="0" borderId="0" xfId="0" applyFont="1" applyAlignment="1">
      <alignment vertical="center" wrapText="1"/>
    </xf>
    <xf numFmtId="9" fontId="4" fillId="0" borderId="39" xfId="2" applyFont="1" applyBorder="1" applyAlignment="1">
      <alignment horizontal="center" vertical="center" wrapText="1"/>
    </xf>
    <xf numFmtId="9" fontId="4" fillId="0" borderId="38" xfId="2" applyFont="1" applyBorder="1" applyAlignment="1">
      <alignment horizontal="center" vertical="center" wrapText="1"/>
    </xf>
    <xf numFmtId="1" fontId="39" fillId="53" borderId="73" xfId="0" applyNumberFormat="1" applyFont="1" applyFill="1" applyBorder="1" applyAlignment="1">
      <alignment horizontal="center" vertical="center"/>
    </xf>
    <xf numFmtId="1" fontId="39" fillId="52" borderId="76" xfId="0" applyNumberFormat="1" applyFont="1" applyFill="1" applyBorder="1" applyAlignment="1">
      <alignment horizontal="center" vertical="center"/>
    </xf>
    <xf numFmtId="1" fontId="39" fillId="53" borderId="75" xfId="0" applyNumberFormat="1" applyFont="1" applyFill="1" applyBorder="1" applyAlignment="1">
      <alignment horizontal="center" vertical="center"/>
    </xf>
    <xf numFmtId="4" fontId="7" fillId="63" borderId="15" xfId="4" applyNumberFormat="1" applyFont="1" applyFill="1" applyBorder="1" applyAlignment="1">
      <alignment vertical="center" wrapText="1"/>
    </xf>
    <xf numFmtId="171" fontId="25" fillId="36" borderId="97" xfId="0" applyNumberFormat="1" applyFont="1" applyFill="1" applyBorder="1" applyAlignment="1">
      <alignment horizontal="right" vertical="center"/>
    </xf>
    <xf numFmtId="172" fontId="25" fillId="36" borderId="74" xfId="0" applyNumberFormat="1" applyFont="1" applyFill="1" applyBorder="1" applyAlignment="1">
      <alignment horizontal="right" vertical="center"/>
    </xf>
    <xf numFmtId="172" fontId="25" fillId="36" borderId="71" xfId="0" applyNumberFormat="1" applyFont="1" applyFill="1" applyBorder="1" applyAlignment="1">
      <alignment horizontal="right" vertical="center"/>
    </xf>
    <xf numFmtId="172" fontId="25" fillId="36" borderId="97" xfId="0" applyNumberFormat="1" applyFont="1" applyFill="1" applyBorder="1" applyAlignment="1">
      <alignment horizontal="right" vertical="center"/>
    </xf>
    <xf numFmtId="3" fontId="4" fillId="68" borderId="15" xfId="4" applyNumberFormat="1" applyFont="1" applyFill="1" applyBorder="1" applyAlignment="1">
      <alignment vertical="center" wrapText="1"/>
    </xf>
    <xf numFmtId="171" fontId="25" fillId="4" borderId="74" xfId="0" applyNumberFormat="1" applyFont="1" applyFill="1" applyBorder="1" applyAlignment="1">
      <alignment horizontal="right" vertical="center"/>
    </xf>
    <xf numFmtId="171" fontId="25" fillId="0" borderId="0" xfId="0" applyNumberFormat="1" applyFont="1" applyAlignment="1">
      <alignment horizontal="right" vertical="center"/>
    </xf>
    <xf numFmtId="4" fontId="7" fillId="67" borderId="15" xfId="4" applyNumberFormat="1" applyFont="1" applyFill="1" applyBorder="1" applyAlignment="1">
      <alignment vertical="center" wrapText="1"/>
    </xf>
    <xf numFmtId="171" fontId="25" fillId="40" borderId="74" xfId="0" applyNumberFormat="1" applyFont="1" applyFill="1" applyBorder="1" applyAlignment="1">
      <alignment horizontal="right" vertical="center"/>
    </xf>
    <xf numFmtId="171" fontId="25" fillId="40" borderId="71" xfId="0" applyNumberFormat="1" applyFont="1" applyFill="1" applyBorder="1" applyAlignment="1">
      <alignment horizontal="right" vertical="center"/>
    </xf>
    <xf numFmtId="171" fontId="25" fillId="40" borderId="97" xfId="0" applyNumberFormat="1" applyFont="1" applyFill="1" applyBorder="1" applyAlignment="1">
      <alignment horizontal="right" vertical="center"/>
    </xf>
    <xf numFmtId="171" fontId="23" fillId="42" borderId="74" xfId="0" applyNumberFormat="1" applyFont="1" applyFill="1" applyBorder="1" applyAlignment="1">
      <alignment horizontal="right" vertical="center"/>
    </xf>
    <xf numFmtId="171" fontId="23" fillId="42" borderId="97" xfId="0" applyNumberFormat="1" applyFont="1" applyFill="1" applyBorder="1" applyAlignment="1">
      <alignment horizontal="right" vertical="center"/>
    </xf>
    <xf numFmtId="171" fontId="6" fillId="4" borderId="74" xfId="0" applyNumberFormat="1" applyFont="1" applyFill="1" applyBorder="1" applyAlignment="1">
      <alignment horizontal="right" vertical="center"/>
    </xf>
    <xf numFmtId="171" fontId="6" fillId="4" borderId="97" xfId="0" applyNumberFormat="1" applyFont="1" applyFill="1" applyBorder="1" applyAlignment="1">
      <alignment horizontal="right" vertical="center"/>
    </xf>
    <xf numFmtId="171" fontId="45" fillId="42" borderId="74" xfId="0" applyNumberFormat="1" applyFont="1" applyFill="1" applyBorder="1" applyAlignment="1">
      <alignment horizontal="right" vertical="center"/>
    </xf>
    <xf numFmtId="171" fontId="45" fillId="42" borderId="71" xfId="0" applyNumberFormat="1" applyFont="1" applyFill="1" applyBorder="1" applyAlignment="1">
      <alignment horizontal="right" vertical="center"/>
    </xf>
    <xf numFmtId="171" fontId="45" fillId="42" borderId="97" xfId="0" applyNumberFormat="1" applyFont="1" applyFill="1" applyBorder="1" applyAlignment="1">
      <alignment horizontal="right" vertical="center"/>
    </xf>
    <xf numFmtId="171" fontId="45" fillId="40" borderId="0" xfId="0" applyNumberFormat="1" applyFont="1" applyFill="1" applyAlignment="1">
      <alignment horizontal="right" vertical="center"/>
    </xf>
    <xf numFmtId="171" fontId="45" fillId="44" borderId="74" xfId="0" applyNumberFormat="1" applyFont="1" applyFill="1" applyBorder="1" applyAlignment="1">
      <alignment horizontal="right" vertical="center"/>
    </xf>
    <xf numFmtId="171" fontId="45" fillId="45" borderId="74" xfId="0" applyNumberFormat="1" applyFont="1" applyFill="1" applyBorder="1" applyAlignment="1">
      <alignment horizontal="right" vertical="center"/>
    </xf>
    <xf numFmtId="0" fontId="45" fillId="45" borderId="97" xfId="0" applyFont="1" applyFill="1" applyBorder="1" applyAlignment="1">
      <alignment horizontal="right" vertical="center"/>
    </xf>
    <xf numFmtId="171" fontId="45" fillId="46" borderId="74" xfId="0" applyNumberFormat="1" applyFont="1" applyFill="1" applyBorder="1" applyAlignment="1">
      <alignment horizontal="right" vertical="center"/>
    </xf>
    <xf numFmtId="171" fontId="45" fillId="47" borderId="74" xfId="0" applyNumberFormat="1" applyFont="1" applyFill="1" applyBorder="1" applyAlignment="1">
      <alignment horizontal="right" vertical="center"/>
    </xf>
    <xf numFmtId="171" fontId="47" fillId="45" borderId="74" xfId="0" applyNumberFormat="1" applyFont="1" applyFill="1" applyBorder="1" applyAlignment="1">
      <alignment horizontal="right" vertical="center"/>
    </xf>
    <xf numFmtId="171" fontId="47" fillId="45" borderId="71" xfId="0" applyNumberFormat="1" applyFont="1" applyFill="1" applyBorder="1" applyAlignment="1">
      <alignment horizontal="right" vertical="center"/>
    </xf>
    <xf numFmtId="171" fontId="47" fillId="45" borderId="97" xfId="0" applyNumberFormat="1" applyFont="1" applyFill="1" applyBorder="1" applyAlignment="1">
      <alignment horizontal="right" vertical="center"/>
    </xf>
    <xf numFmtId="171" fontId="47" fillId="47" borderId="74" xfId="0" applyNumberFormat="1" applyFont="1" applyFill="1" applyBorder="1" applyAlignment="1">
      <alignment horizontal="right" vertical="center"/>
    </xf>
    <xf numFmtId="171" fontId="47" fillId="47" borderId="71" xfId="0" applyNumberFormat="1" applyFont="1" applyFill="1" applyBorder="1" applyAlignment="1">
      <alignment horizontal="right" vertical="center"/>
    </xf>
    <xf numFmtId="171" fontId="47" fillId="47" borderId="97" xfId="0" applyNumberFormat="1" applyFont="1" applyFill="1" applyBorder="1" applyAlignment="1">
      <alignment horizontal="right" vertical="center"/>
    </xf>
    <xf numFmtId="4" fontId="7" fillId="24" borderId="15" xfId="4" applyNumberFormat="1" applyFont="1" applyFill="1" applyBorder="1" applyAlignment="1">
      <alignment vertical="center" wrapText="1"/>
    </xf>
    <xf numFmtId="4" fontId="4" fillId="25" borderId="15" xfId="4" applyNumberFormat="1" applyFont="1" applyFill="1" applyBorder="1" applyAlignment="1">
      <alignment vertical="center" wrapText="1"/>
    </xf>
    <xf numFmtId="171" fontId="25" fillId="51" borderId="74" xfId="0" applyNumberFormat="1" applyFont="1" applyFill="1" applyBorder="1" applyAlignment="1">
      <alignment horizontal="right" vertical="center"/>
    </xf>
    <xf numFmtId="171" fontId="25" fillId="49" borderId="74" xfId="0" applyNumberFormat="1" applyFont="1" applyFill="1" applyBorder="1" applyAlignment="1">
      <alignment horizontal="right" vertical="center"/>
    </xf>
    <xf numFmtId="171" fontId="25" fillId="50" borderId="74" xfId="0" applyNumberFormat="1" applyFont="1" applyFill="1" applyBorder="1" applyAlignment="1">
      <alignment horizontal="right" vertical="center"/>
    </xf>
    <xf numFmtId="0" fontId="25" fillId="50" borderId="74" xfId="0" applyFont="1" applyFill="1" applyBorder="1" applyAlignment="1">
      <alignment horizontal="right" vertical="center"/>
    </xf>
    <xf numFmtId="171" fontId="23" fillId="50" borderId="74" xfId="0" applyNumberFormat="1" applyFont="1" applyFill="1" applyBorder="1" applyAlignment="1">
      <alignment horizontal="right" vertical="center"/>
    </xf>
    <xf numFmtId="171" fontId="23" fillId="50" borderId="71" xfId="0" applyNumberFormat="1" applyFont="1" applyFill="1" applyBorder="1" applyAlignment="1">
      <alignment horizontal="right" vertical="center"/>
    </xf>
    <xf numFmtId="171" fontId="23" fillId="50" borderId="97" xfId="0" applyNumberFormat="1" applyFont="1" applyFill="1" applyBorder="1" applyAlignment="1">
      <alignment horizontal="right" vertical="center"/>
    </xf>
    <xf numFmtId="171" fontId="6" fillId="0" borderId="97" xfId="0" applyNumberFormat="1" applyFont="1" applyBorder="1" applyAlignment="1">
      <alignment horizontal="right" vertical="center"/>
    </xf>
    <xf numFmtId="171" fontId="25" fillId="52" borderId="74" xfId="0" applyNumberFormat="1" applyFont="1" applyFill="1" applyBorder="1" applyAlignment="1">
      <alignment horizontal="right" vertical="center"/>
    </xf>
    <xf numFmtId="171" fontId="25" fillId="53" borderId="74" xfId="0" applyNumberFormat="1" applyFont="1" applyFill="1" applyBorder="1" applyAlignment="1">
      <alignment horizontal="right" vertical="center"/>
    </xf>
    <xf numFmtId="171" fontId="4" fillId="53" borderId="18" xfId="0" applyNumberFormat="1" applyFont="1" applyFill="1" applyBorder="1" applyAlignment="1">
      <alignment vertical="center"/>
    </xf>
    <xf numFmtId="171" fontId="4" fillId="52" borderId="37" xfId="0" applyNumberFormat="1" applyFont="1" applyFill="1" applyBorder="1" applyAlignment="1">
      <alignment vertical="center"/>
    </xf>
    <xf numFmtId="171" fontId="4" fillId="52" borderId="39" xfId="0" applyNumberFormat="1" applyFont="1" applyFill="1" applyBorder="1" applyAlignment="1">
      <alignment vertical="center"/>
    </xf>
    <xf numFmtId="3" fontId="4" fillId="68" borderId="24" xfId="4" applyNumberFormat="1" applyFont="1" applyFill="1" applyBorder="1" applyAlignment="1">
      <alignment vertical="center" wrapText="1"/>
    </xf>
    <xf numFmtId="171" fontId="4" fillId="4" borderId="18" xfId="0" applyNumberFormat="1" applyFont="1" applyFill="1" applyBorder="1" applyAlignment="1">
      <alignment vertical="center"/>
    </xf>
    <xf numFmtId="171" fontId="4" fillId="0" borderId="21" xfId="0" applyNumberFormat="1" applyFont="1" applyBorder="1" applyAlignment="1">
      <alignment vertical="center"/>
    </xf>
    <xf numFmtId="171" fontId="4" fillId="54" borderId="74" xfId="0" applyNumberFormat="1" applyFont="1" applyFill="1" applyBorder="1" applyAlignment="1">
      <alignment horizontal="right" vertical="center"/>
    </xf>
    <xf numFmtId="171" fontId="4" fillId="54" borderId="0" xfId="0" applyNumberFormat="1" applyFont="1" applyFill="1" applyAlignment="1">
      <alignment horizontal="right" vertical="center"/>
    </xf>
    <xf numFmtId="171" fontId="4" fillId="52" borderId="18" xfId="0" applyNumberFormat="1" applyFont="1" applyFill="1" applyBorder="1" applyAlignment="1">
      <alignment vertical="center"/>
    </xf>
    <xf numFmtId="171" fontId="4" fillId="53" borderId="71" xfId="0" applyNumberFormat="1" applyFont="1" applyFill="1" applyBorder="1" applyAlignment="1">
      <alignment horizontal="right" vertical="center"/>
    </xf>
    <xf numFmtId="171" fontId="4" fillId="53" borderId="97" xfId="0" applyNumberFormat="1" applyFont="1" applyFill="1" applyBorder="1" applyAlignment="1">
      <alignment horizontal="right" vertical="center"/>
    </xf>
    <xf numFmtId="171" fontId="4" fillId="53" borderId="18" xfId="0" applyNumberFormat="1" applyFont="1" applyFill="1" applyBorder="1" applyAlignment="1">
      <alignment horizontal="right" vertical="center"/>
    </xf>
    <xf numFmtId="171" fontId="4" fillId="53" borderId="21" xfId="0" applyNumberFormat="1" applyFont="1" applyFill="1" applyBorder="1" applyAlignment="1">
      <alignment horizontal="right" vertical="center"/>
    </xf>
    <xf numFmtId="171" fontId="4" fillId="52" borderId="18" xfId="0" applyNumberFormat="1" applyFont="1" applyFill="1" applyBorder="1" applyAlignment="1">
      <alignment horizontal="right" vertical="center"/>
    </xf>
    <xf numFmtId="171" fontId="25" fillId="54" borderId="74" xfId="0" applyNumberFormat="1" applyFont="1" applyFill="1" applyBorder="1" applyAlignment="1">
      <alignment horizontal="right" vertical="center"/>
    </xf>
    <xf numFmtId="10" fontId="4" fillId="0" borderId="66" xfId="2" applyNumberFormat="1" applyFont="1" applyFill="1" applyBorder="1" applyAlignment="1">
      <alignment horizontal="right" vertical="center" wrapText="1"/>
    </xf>
    <xf numFmtId="0" fontId="4" fillId="0" borderId="67" xfId="2" applyNumberFormat="1" applyFont="1" applyFill="1" applyBorder="1" applyAlignment="1">
      <alignment horizontal="right" vertical="center" wrapText="1"/>
    </xf>
    <xf numFmtId="10" fontId="4" fillId="4" borderId="66" xfId="2" applyNumberFormat="1" applyFont="1" applyFill="1" applyBorder="1" applyAlignment="1">
      <alignment horizontal="right" vertical="center" wrapText="1"/>
    </xf>
    <xf numFmtId="4" fontId="7" fillId="63" borderId="16" xfId="4" applyNumberFormat="1" applyFont="1" applyFill="1" applyBorder="1" applyAlignment="1">
      <alignment vertical="center" wrapText="1"/>
    </xf>
    <xf numFmtId="3" fontId="7" fillId="24" borderId="16" xfId="4" applyNumberFormat="1" applyFont="1" applyFill="1" applyBorder="1" applyAlignment="1">
      <alignment vertical="center" wrapText="1"/>
    </xf>
    <xf numFmtId="3" fontId="4" fillId="25" borderId="16" xfId="4" applyNumberFormat="1" applyFont="1" applyFill="1" applyBorder="1" applyAlignment="1">
      <alignment vertical="center" wrapText="1"/>
    </xf>
    <xf numFmtId="171" fontId="25" fillId="36" borderId="16" xfId="0" applyNumberFormat="1" applyFont="1" applyFill="1" applyBorder="1" applyAlignment="1">
      <alignment horizontal="right" vertical="center"/>
    </xf>
    <xf numFmtId="172" fontId="25" fillId="36" borderId="16" xfId="0" applyNumberFormat="1" applyFont="1" applyFill="1" applyBorder="1" applyAlignment="1">
      <alignment horizontal="right" vertical="center"/>
    </xf>
    <xf numFmtId="3" fontId="4" fillId="68" borderId="16" xfId="4" applyNumberFormat="1" applyFont="1" applyFill="1" applyBorder="1" applyAlignment="1">
      <alignment vertical="center" wrapText="1"/>
    </xf>
    <xf numFmtId="171" fontId="25" fillId="4" borderId="16" xfId="0" applyNumberFormat="1" applyFont="1" applyFill="1" applyBorder="1" applyAlignment="1">
      <alignment horizontal="right" vertical="center"/>
    </xf>
    <xf numFmtId="171" fontId="25" fillId="0" borderId="16" xfId="0" applyNumberFormat="1" applyFont="1" applyBorder="1" applyAlignment="1">
      <alignment horizontal="right" vertical="center"/>
    </xf>
    <xf numFmtId="4" fontId="7" fillId="67" borderId="16" xfId="4" applyNumberFormat="1" applyFont="1" applyFill="1" applyBorder="1" applyAlignment="1">
      <alignment vertical="center" wrapText="1"/>
    </xf>
    <xf numFmtId="171" fontId="25" fillId="40" borderId="16" xfId="0" applyNumberFormat="1" applyFont="1" applyFill="1" applyBorder="1" applyAlignment="1">
      <alignment horizontal="right" vertical="center"/>
    </xf>
    <xf numFmtId="171" fontId="23" fillId="42" borderId="16" xfId="0" applyNumberFormat="1" applyFont="1" applyFill="1" applyBorder="1" applyAlignment="1">
      <alignment horizontal="right" vertical="center"/>
    </xf>
    <xf numFmtId="0" fontId="25" fillId="42" borderId="16" xfId="0" applyFont="1" applyFill="1" applyBorder="1" applyAlignment="1">
      <alignment horizontal="right" vertical="center"/>
    </xf>
    <xf numFmtId="171" fontId="6" fillId="4" borderId="16" xfId="0" applyNumberFormat="1" applyFont="1" applyFill="1" applyBorder="1" applyAlignment="1">
      <alignment horizontal="right" vertical="center"/>
    </xf>
    <xf numFmtId="171" fontId="45" fillId="42" borderId="16" xfId="0" applyNumberFormat="1" applyFont="1" applyFill="1" applyBorder="1" applyAlignment="1">
      <alignment horizontal="right" vertical="center"/>
    </xf>
    <xf numFmtId="171" fontId="45" fillId="40" borderId="16" xfId="0" applyNumberFormat="1" applyFont="1" applyFill="1" applyBorder="1" applyAlignment="1">
      <alignment horizontal="right" vertical="center"/>
    </xf>
    <xf numFmtId="171" fontId="45" fillId="44" borderId="16" xfId="0" applyNumberFormat="1" applyFont="1" applyFill="1" applyBorder="1" applyAlignment="1">
      <alignment horizontal="right" vertical="center"/>
    </xf>
    <xf numFmtId="171" fontId="45" fillId="45" borderId="16" xfId="0" applyNumberFormat="1" applyFont="1" applyFill="1" applyBorder="1" applyAlignment="1">
      <alignment horizontal="right" vertical="center"/>
    </xf>
    <xf numFmtId="0" fontId="45" fillId="45" borderId="16" xfId="0" applyFont="1" applyFill="1" applyBorder="1" applyAlignment="1">
      <alignment horizontal="right" vertical="center"/>
    </xf>
    <xf numFmtId="171" fontId="45" fillId="46" borderId="16" xfId="0" applyNumberFormat="1" applyFont="1" applyFill="1" applyBorder="1" applyAlignment="1">
      <alignment horizontal="right" vertical="center"/>
    </xf>
    <xf numFmtId="171" fontId="45" fillId="47" borderId="16" xfId="0" applyNumberFormat="1" applyFont="1" applyFill="1" applyBorder="1" applyAlignment="1">
      <alignment horizontal="right" vertical="center"/>
    </xf>
    <xf numFmtId="171" fontId="47" fillId="45" borderId="16" xfId="0" applyNumberFormat="1" applyFont="1" applyFill="1" applyBorder="1" applyAlignment="1">
      <alignment horizontal="right" vertical="center"/>
    </xf>
    <xf numFmtId="171" fontId="47" fillId="47" borderId="16" xfId="0" applyNumberFormat="1" applyFont="1" applyFill="1" applyBorder="1" applyAlignment="1">
      <alignment horizontal="right" vertical="center"/>
    </xf>
    <xf numFmtId="4" fontId="7" fillId="24" borderId="16" xfId="4" applyNumberFormat="1" applyFont="1" applyFill="1" applyBorder="1" applyAlignment="1">
      <alignment vertical="center" wrapText="1"/>
    </xf>
    <xf numFmtId="4" fontId="4" fillId="25" borderId="16" xfId="4" applyNumberFormat="1" applyFont="1" applyFill="1" applyBorder="1" applyAlignment="1">
      <alignment vertical="center" wrapText="1"/>
    </xf>
    <xf numFmtId="171" fontId="45" fillId="49" borderId="16" xfId="0" applyNumberFormat="1" applyFont="1" applyFill="1" applyBorder="1" applyAlignment="1">
      <alignment horizontal="right" vertical="center"/>
    </xf>
    <xf numFmtId="171" fontId="25" fillId="50" borderId="16" xfId="0" applyNumberFormat="1" applyFont="1" applyFill="1" applyBorder="1" applyAlignment="1">
      <alignment horizontal="right" vertical="center"/>
    </xf>
    <xf numFmtId="171" fontId="25" fillId="51" borderId="16" xfId="0" applyNumberFormat="1" applyFont="1" applyFill="1" applyBorder="1" applyAlignment="1">
      <alignment horizontal="right" vertical="center"/>
    </xf>
    <xf numFmtId="171" fontId="25" fillId="49" borderId="16" xfId="0" applyNumberFormat="1" applyFont="1" applyFill="1" applyBorder="1" applyAlignment="1">
      <alignment horizontal="right" vertical="center"/>
    </xf>
    <xf numFmtId="0" fontId="25" fillId="49" borderId="16" xfId="0" applyFont="1" applyFill="1" applyBorder="1" applyAlignment="1">
      <alignment horizontal="right" vertical="center"/>
    </xf>
    <xf numFmtId="171" fontId="6" fillId="0" borderId="16" xfId="0" applyNumberFormat="1" applyFont="1" applyBorder="1" applyAlignment="1">
      <alignment horizontal="right" vertical="center"/>
    </xf>
    <xf numFmtId="0" fontId="25" fillId="50" borderId="16" xfId="0" applyFont="1" applyFill="1" applyBorder="1" applyAlignment="1">
      <alignment horizontal="right" vertical="center"/>
    </xf>
    <xf numFmtId="171" fontId="23" fillId="50" borderId="16" xfId="0" applyNumberFormat="1" applyFont="1" applyFill="1" applyBorder="1" applyAlignment="1">
      <alignment horizontal="right" vertical="center"/>
    </xf>
    <xf numFmtId="171" fontId="25" fillId="52" borderId="16" xfId="0" applyNumberFormat="1" applyFont="1" applyFill="1" applyBorder="1" applyAlignment="1">
      <alignment horizontal="right" vertical="center"/>
    </xf>
    <xf numFmtId="171" fontId="25" fillId="53" borderId="16" xfId="0" applyNumberFormat="1" applyFont="1" applyFill="1" applyBorder="1" applyAlignment="1">
      <alignment horizontal="right" vertical="center"/>
    </xf>
    <xf numFmtId="171" fontId="25" fillId="54" borderId="16" xfId="0" applyNumberFormat="1" applyFont="1" applyFill="1" applyBorder="1" applyAlignment="1">
      <alignment horizontal="right" vertical="center"/>
    </xf>
    <xf numFmtId="171" fontId="4" fillId="53" borderId="16" xfId="0" applyNumberFormat="1" applyFont="1" applyFill="1" applyBorder="1" applyAlignment="1">
      <alignment vertical="center"/>
    </xf>
    <xf numFmtId="171" fontId="4" fillId="52" borderId="16" xfId="0" applyNumberFormat="1" applyFont="1" applyFill="1" applyBorder="1" applyAlignment="1">
      <alignment vertical="center"/>
    </xf>
    <xf numFmtId="171" fontId="4" fillId="4" borderId="16" xfId="0" applyNumberFormat="1" applyFont="1" applyFill="1" applyBorder="1" applyAlignment="1">
      <alignment vertical="center"/>
    </xf>
    <xf numFmtId="171" fontId="4" fillId="0" borderId="16" xfId="0" applyNumberFormat="1" applyFont="1" applyBorder="1" applyAlignment="1">
      <alignment vertical="center"/>
    </xf>
    <xf numFmtId="171" fontId="4" fillId="54" borderId="16" xfId="0" applyNumberFormat="1" applyFont="1" applyFill="1" applyBorder="1" applyAlignment="1">
      <alignment horizontal="right" vertical="center"/>
    </xf>
    <xf numFmtId="171" fontId="4" fillId="53" borderId="16" xfId="0" applyNumberFormat="1" applyFont="1" applyFill="1" applyBorder="1" applyAlignment="1">
      <alignment horizontal="right" vertical="center"/>
    </xf>
    <xf numFmtId="171" fontId="4" fillId="52" borderId="16" xfId="0" applyNumberFormat="1" applyFont="1" applyFill="1" applyBorder="1" applyAlignment="1">
      <alignment horizontal="right" vertical="center"/>
    </xf>
    <xf numFmtId="171" fontId="47" fillId="89" borderId="0" xfId="0" applyNumberFormat="1" applyFont="1" applyFill="1" applyAlignment="1">
      <alignment horizontal="right" vertical="center"/>
    </xf>
    <xf numFmtId="43" fontId="25" fillId="42" borderId="0" xfId="3" applyFont="1" applyFill="1" applyAlignment="1">
      <alignment horizontal="right" vertical="center"/>
    </xf>
    <xf numFmtId="192" fontId="2" fillId="0" borderId="0" xfId="14" applyNumberFormat="1"/>
    <xf numFmtId="43" fontId="0" fillId="23" borderId="0" xfId="3" applyFont="1" applyFill="1"/>
    <xf numFmtId="164" fontId="0" fillId="23" borderId="0" xfId="0" applyNumberFormat="1" applyFill="1"/>
    <xf numFmtId="0" fontId="51" fillId="80" borderId="16" xfId="10" applyFont="1" applyFill="1" applyBorder="1" applyAlignment="1">
      <alignment horizontal="center" vertical="center" wrapText="1"/>
    </xf>
    <xf numFmtId="193" fontId="51" fillId="0" borderId="0" xfId="10" applyNumberFormat="1" applyFont="1" applyAlignment="1">
      <alignment vertical="center"/>
    </xf>
    <xf numFmtId="44" fontId="51" fillId="0" borderId="0" xfId="13" applyFont="1" applyAlignment="1">
      <alignment vertical="center"/>
    </xf>
    <xf numFmtId="0" fontId="63" fillId="0" borderId="0" xfId="0" applyFont="1" applyAlignment="1">
      <alignment horizontal="justify" vertical="center"/>
    </xf>
    <xf numFmtId="0" fontId="63" fillId="0" borderId="0" xfId="0" applyFont="1"/>
    <xf numFmtId="3" fontId="4" fillId="0" borderId="38" xfId="4" applyNumberFormat="1" applyFont="1" applyBorder="1" applyAlignment="1">
      <alignment horizontal="justify" vertical="center" wrapText="1"/>
    </xf>
    <xf numFmtId="0" fontId="5" fillId="6" borderId="14" xfId="0" applyFont="1" applyFill="1" applyBorder="1" applyAlignment="1">
      <alignment horizontal="center" vertical="center" wrapText="1"/>
    </xf>
    <xf numFmtId="0" fontId="5" fillId="6" borderId="15" xfId="0" applyFont="1" applyFill="1" applyBorder="1" applyAlignment="1">
      <alignment horizontal="center" vertical="center" wrapText="1"/>
    </xf>
    <xf numFmtId="0" fontId="5" fillId="6" borderId="7" xfId="0" applyFont="1" applyFill="1" applyBorder="1" applyAlignment="1">
      <alignment horizontal="center" vertical="center" wrapText="1"/>
    </xf>
    <xf numFmtId="0" fontId="7" fillId="0" borderId="0" xfId="4" applyFont="1" applyAlignment="1">
      <alignment horizontal="left" vertical="center" wrapText="1"/>
    </xf>
    <xf numFmtId="0" fontId="4" fillId="0" borderId="0" xfId="4" applyFont="1" applyAlignment="1">
      <alignment horizontal="justify" vertical="center" wrapText="1"/>
    </xf>
    <xf numFmtId="0" fontId="4" fillId="0" borderId="0" xfId="4" applyFont="1" applyAlignment="1">
      <alignment horizontal="left" vertical="center" wrapText="1"/>
    </xf>
    <xf numFmtId="0" fontId="29" fillId="9" borderId="1" xfId="4" applyFont="1" applyFill="1" applyBorder="1" applyAlignment="1">
      <alignment horizontal="center" vertical="center" wrapText="1"/>
    </xf>
    <xf numFmtId="0" fontId="29" fillId="9" borderId="13" xfId="4" applyFont="1" applyFill="1" applyBorder="1" applyAlignment="1">
      <alignment horizontal="center" vertical="center" wrapText="1"/>
    </xf>
    <xf numFmtId="0" fontId="7" fillId="11" borderId="4" xfId="4" applyFont="1" applyFill="1" applyBorder="1" applyAlignment="1">
      <alignment horizontal="center" vertical="center" wrapText="1"/>
    </xf>
    <xf numFmtId="0" fontId="7" fillId="11" borderId="8" xfId="4" applyFont="1" applyFill="1" applyBorder="1" applyAlignment="1">
      <alignment horizontal="center" vertical="center" wrapText="1"/>
    </xf>
    <xf numFmtId="0" fontId="36" fillId="10" borderId="1" xfId="4" applyFont="1" applyFill="1" applyBorder="1" applyAlignment="1">
      <alignment horizontal="center" vertical="center" wrapText="1"/>
    </xf>
    <xf numFmtId="0" fontId="36" fillId="10" borderId="5" xfId="4" applyFont="1" applyFill="1" applyBorder="1" applyAlignment="1">
      <alignment horizontal="center" vertical="center" wrapText="1"/>
    </xf>
    <xf numFmtId="0" fontId="7" fillId="7" borderId="1" xfId="4" applyFont="1" applyFill="1" applyBorder="1" applyAlignment="1">
      <alignment horizontal="center" vertical="center" wrapText="1"/>
    </xf>
    <xf numFmtId="0" fontId="7" fillId="7" borderId="9" xfId="4" applyFont="1" applyFill="1" applyBorder="1" applyAlignment="1">
      <alignment horizontal="center" vertical="center" wrapText="1"/>
    </xf>
    <xf numFmtId="0" fontId="7" fillId="7" borderId="10" xfId="4" applyFont="1" applyFill="1" applyBorder="1" applyAlignment="1">
      <alignment horizontal="center" vertical="center" wrapText="1"/>
    </xf>
    <xf numFmtId="0" fontId="7" fillId="7" borderId="14" xfId="4" applyFont="1" applyFill="1" applyBorder="1" applyAlignment="1">
      <alignment horizontal="center" vertical="center" wrapText="1"/>
    </xf>
    <xf numFmtId="0" fontId="7" fillId="7" borderId="15" xfId="4" applyFont="1" applyFill="1" applyBorder="1" applyAlignment="1">
      <alignment horizontal="center" vertical="center" wrapText="1"/>
    </xf>
    <xf numFmtId="0" fontId="7" fillId="7" borderId="3" xfId="4" applyFont="1" applyFill="1" applyBorder="1" applyAlignment="1">
      <alignment horizontal="center" vertical="center" wrapText="1"/>
    </xf>
    <xf numFmtId="0" fontId="7" fillId="8" borderId="15" xfId="4" applyFont="1" applyFill="1" applyBorder="1" applyAlignment="1">
      <alignment horizontal="center" vertical="center" wrapText="1"/>
    </xf>
    <xf numFmtId="0" fontId="8" fillId="7" borderId="14" xfId="4" applyFont="1" applyFill="1" applyBorder="1" applyAlignment="1">
      <alignment horizontal="center" vertical="center" wrapText="1"/>
    </xf>
    <xf numFmtId="0" fontId="8" fillId="7" borderId="7" xfId="4" applyFont="1" applyFill="1" applyBorder="1" applyAlignment="1">
      <alignment horizontal="center" vertical="center" wrapText="1"/>
    </xf>
    <xf numFmtId="0" fontId="4" fillId="0" borderId="3" xfId="4" applyFont="1" applyBorder="1" applyAlignment="1">
      <alignment horizontal="left" vertical="center" wrapText="1"/>
    </xf>
    <xf numFmtId="0" fontId="7" fillId="0" borderId="0" xfId="4" applyFont="1" applyAlignment="1">
      <alignment horizontal="center" vertical="center" wrapText="1"/>
    </xf>
    <xf numFmtId="0" fontId="7" fillId="9" borderId="15" xfId="4" applyFont="1" applyFill="1" applyBorder="1" applyAlignment="1">
      <alignment horizontal="center" vertical="center" wrapText="1"/>
    </xf>
    <xf numFmtId="0" fontId="7" fillId="9" borderId="7" xfId="4" applyFont="1" applyFill="1" applyBorder="1" applyAlignment="1">
      <alignment horizontal="center" vertical="center" wrapText="1"/>
    </xf>
    <xf numFmtId="0" fontId="7" fillId="9" borderId="14" xfId="4" applyFont="1" applyFill="1" applyBorder="1" applyAlignment="1">
      <alignment horizontal="center" vertical="center" wrapText="1"/>
    </xf>
    <xf numFmtId="0" fontId="7" fillId="9" borderId="1" xfId="4" applyFont="1" applyFill="1" applyBorder="1" applyAlignment="1">
      <alignment horizontal="center" vertical="center" wrapText="1"/>
    </xf>
    <xf numFmtId="0" fontId="7" fillId="9" borderId="13" xfId="4" applyFont="1" applyFill="1" applyBorder="1" applyAlignment="1">
      <alignment horizontal="center" vertical="center" wrapText="1"/>
    </xf>
    <xf numFmtId="0" fontId="7" fillId="7" borderId="5" xfId="4" applyFont="1" applyFill="1" applyBorder="1" applyAlignment="1">
      <alignment horizontal="center" vertical="center" wrapText="1"/>
    </xf>
    <xf numFmtId="0" fontId="7" fillId="7" borderId="13" xfId="4" applyFont="1" applyFill="1" applyBorder="1" applyAlignment="1">
      <alignment horizontal="center" vertical="center" wrapText="1"/>
    </xf>
    <xf numFmtId="0" fontId="7" fillId="11" borderId="1" xfId="4" applyFont="1" applyFill="1" applyBorder="1" applyAlignment="1">
      <alignment horizontal="center" vertical="center" wrapText="1"/>
    </xf>
    <xf numFmtId="0" fontId="7" fillId="11" borderId="13" xfId="4" applyFont="1" applyFill="1" applyBorder="1" applyAlignment="1">
      <alignment horizontal="center" vertical="center" wrapText="1"/>
    </xf>
    <xf numFmtId="0" fontId="7" fillId="12" borderId="1" xfId="4" applyFont="1" applyFill="1" applyBorder="1" applyAlignment="1">
      <alignment horizontal="center" vertical="center" wrapText="1"/>
    </xf>
    <xf numFmtId="0" fontId="7" fillId="12" borderId="13" xfId="4" applyFont="1" applyFill="1" applyBorder="1" applyAlignment="1">
      <alignment horizontal="center" vertical="center" wrapText="1"/>
    </xf>
    <xf numFmtId="0" fontId="36" fillId="10" borderId="4" xfId="4" applyFont="1" applyFill="1" applyBorder="1" applyAlignment="1">
      <alignment horizontal="center" vertical="center" wrapText="1"/>
    </xf>
    <xf numFmtId="0" fontId="36" fillId="10" borderId="6" xfId="4" applyFont="1" applyFill="1" applyBorder="1" applyAlignment="1">
      <alignment horizontal="center" vertical="center" wrapText="1"/>
    </xf>
    <xf numFmtId="0" fontId="7" fillId="11" borderId="15" xfId="4" applyFont="1" applyFill="1" applyBorder="1" applyAlignment="1">
      <alignment horizontal="center" vertical="center" wrapText="1"/>
    </xf>
    <xf numFmtId="0" fontId="7" fillId="11" borderId="7" xfId="4" applyFont="1" applyFill="1" applyBorder="1" applyAlignment="1">
      <alignment horizontal="center" vertical="center" wrapText="1"/>
    </xf>
    <xf numFmtId="0" fontId="6" fillId="36" borderId="90" xfId="0" applyFont="1" applyFill="1" applyBorder="1" applyAlignment="1">
      <alignment horizontal="center" vertical="center" wrapText="1"/>
    </xf>
    <xf numFmtId="0" fontId="35" fillId="4" borderId="89" xfId="0" applyFont="1" applyFill="1" applyBorder="1"/>
    <xf numFmtId="0" fontId="35" fillId="4" borderId="6" xfId="0" applyFont="1" applyFill="1" applyBorder="1"/>
    <xf numFmtId="0" fontId="32" fillId="37" borderId="90" xfId="0" applyFont="1" applyFill="1" applyBorder="1" applyAlignment="1">
      <alignment horizontal="center" vertical="center" wrapText="1"/>
    </xf>
    <xf numFmtId="0" fontId="29" fillId="26" borderId="36" xfId="4" applyFont="1" applyFill="1" applyBorder="1" applyAlignment="1">
      <alignment horizontal="center" vertical="center" wrapText="1"/>
    </xf>
    <xf numFmtId="0" fontId="29" fillId="26" borderId="38" xfId="4" applyFont="1" applyFill="1" applyBorder="1" applyAlignment="1">
      <alignment horizontal="center" vertical="center" wrapText="1"/>
    </xf>
    <xf numFmtId="0" fontId="29" fillId="26" borderId="40" xfId="4" applyFont="1" applyFill="1" applyBorder="1" applyAlignment="1">
      <alignment horizontal="center" vertical="center" wrapText="1"/>
    </xf>
    <xf numFmtId="0" fontId="4" fillId="5" borderId="14" xfId="4" applyFont="1" applyFill="1" applyBorder="1" applyAlignment="1">
      <alignment horizontal="center" vertical="center" wrapText="1"/>
    </xf>
    <xf numFmtId="0" fontId="4" fillId="5" borderId="15" xfId="4" applyFont="1" applyFill="1" applyBorder="1" applyAlignment="1">
      <alignment horizontal="center" vertical="center" wrapText="1"/>
    </xf>
    <xf numFmtId="0" fontId="4" fillId="5" borderId="7" xfId="4" applyFont="1" applyFill="1" applyBorder="1" applyAlignment="1">
      <alignment horizontal="center" vertical="center" wrapText="1"/>
    </xf>
    <xf numFmtId="0" fontId="7" fillId="10" borderId="1" xfId="4" applyFont="1" applyFill="1" applyBorder="1" applyAlignment="1">
      <alignment horizontal="center" vertical="center" wrapText="1"/>
    </xf>
    <xf numFmtId="0" fontId="7" fillId="10" borderId="13" xfId="4" applyFont="1" applyFill="1" applyBorder="1" applyAlignment="1">
      <alignment horizontal="center" vertical="center" wrapText="1"/>
    </xf>
    <xf numFmtId="0" fontId="7" fillId="10" borderId="5" xfId="4" applyFont="1" applyFill="1" applyBorder="1" applyAlignment="1">
      <alignment horizontal="center" vertical="center" wrapText="1"/>
    </xf>
    <xf numFmtId="0" fontId="7" fillId="10" borderId="2" xfId="4" applyFont="1" applyFill="1" applyBorder="1" applyAlignment="1">
      <alignment horizontal="center" vertical="center" wrapText="1"/>
    </xf>
    <xf numFmtId="0" fontId="7" fillId="10" borderId="10" xfId="4" applyFont="1" applyFill="1" applyBorder="1" applyAlignment="1">
      <alignment horizontal="center" vertical="center" wrapText="1"/>
    </xf>
    <xf numFmtId="0" fontId="26" fillId="19" borderId="60" xfId="0" applyFont="1" applyFill="1" applyBorder="1" applyAlignment="1" applyProtection="1">
      <alignment horizontal="center" vertical="center" wrapText="1"/>
      <protection locked="0"/>
    </xf>
    <xf numFmtId="0" fontId="26" fillId="19" borderId="58" xfId="0" applyFont="1" applyFill="1" applyBorder="1" applyAlignment="1" applyProtection="1">
      <alignment horizontal="center" vertical="center" wrapText="1"/>
      <protection locked="0"/>
    </xf>
    <xf numFmtId="0" fontId="26" fillId="19" borderId="62" xfId="0" applyFont="1" applyFill="1" applyBorder="1" applyAlignment="1" applyProtection="1">
      <alignment horizontal="center" vertical="center" wrapText="1"/>
      <protection locked="0"/>
    </xf>
    <xf numFmtId="0" fontId="26" fillId="19" borderId="61" xfId="0" applyFont="1" applyFill="1" applyBorder="1" applyAlignment="1" applyProtection="1">
      <alignment horizontal="center" vertical="center" wrapText="1"/>
      <protection locked="0"/>
    </xf>
    <xf numFmtId="0" fontId="26" fillId="19" borderId="59" xfId="0" applyFont="1" applyFill="1" applyBorder="1" applyAlignment="1" applyProtection="1">
      <alignment horizontal="center" vertical="center" wrapText="1"/>
      <protection locked="0"/>
    </xf>
    <xf numFmtId="0" fontId="26" fillId="19" borderId="63" xfId="0" applyFont="1" applyFill="1" applyBorder="1" applyAlignment="1" applyProtection="1">
      <alignment horizontal="center" vertical="center" wrapText="1"/>
      <protection locked="0"/>
    </xf>
    <xf numFmtId="0" fontId="26" fillId="19" borderId="64" xfId="0" applyFont="1" applyFill="1" applyBorder="1" applyAlignment="1" applyProtection="1">
      <alignment horizontal="center" vertical="center" wrapText="1"/>
      <protection locked="0"/>
    </xf>
    <xf numFmtId="0" fontId="26" fillId="19" borderId="25" xfId="0" applyFont="1" applyFill="1" applyBorder="1" applyAlignment="1" applyProtection="1">
      <alignment horizontal="center" vertical="center" wrapText="1"/>
      <protection locked="0"/>
    </xf>
    <xf numFmtId="0" fontId="26" fillId="19" borderId="65" xfId="0" applyFont="1" applyFill="1" applyBorder="1" applyAlignment="1" applyProtection="1">
      <alignment horizontal="center" vertical="center" wrapText="1"/>
      <protection locked="0"/>
    </xf>
    <xf numFmtId="0" fontId="7" fillId="6" borderId="2" xfId="4" applyFont="1" applyFill="1" applyBorder="1" applyAlignment="1">
      <alignment horizontal="center" vertical="center" wrapText="1"/>
    </xf>
    <xf numFmtId="0" fontId="7" fillId="6" borderId="3" xfId="4" applyFont="1" applyFill="1" applyBorder="1" applyAlignment="1">
      <alignment horizontal="center" vertical="center" wrapText="1"/>
    </xf>
    <xf numFmtId="0" fontId="7" fillId="6" borderId="4" xfId="4" applyFont="1" applyFill="1" applyBorder="1" applyAlignment="1">
      <alignment horizontal="center" vertical="center" wrapText="1"/>
    </xf>
    <xf numFmtId="0" fontId="7" fillId="6" borderId="10" xfId="4" applyFont="1" applyFill="1" applyBorder="1" applyAlignment="1">
      <alignment horizontal="center" vertical="center" wrapText="1"/>
    </xf>
    <xf numFmtId="0" fontId="7" fillId="6" borderId="11" xfId="4" applyFont="1" applyFill="1" applyBorder="1" applyAlignment="1">
      <alignment horizontal="center" vertical="center" wrapText="1"/>
    </xf>
    <xf numFmtId="0" fontId="7" fillId="6" borderId="8" xfId="4" applyFont="1" applyFill="1" applyBorder="1" applyAlignment="1">
      <alignment horizontal="center" vertical="center" wrapText="1"/>
    </xf>
    <xf numFmtId="0" fontId="32" fillId="46" borderId="90" xfId="0" applyFont="1" applyFill="1" applyBorder="1" applyAlignment="1">
      <alignment horizontal="center" vertical="center" wrapText="1"/>
    </xf>
    <xf numFmtId="0" fontId="32" fillId="45" borderId="90" xfId="0" applyFont="1" applyFill="1" applyBorder="1" applyAlignment="1">
      <alignment horizontal="center" vertical="center" wrapText="1"/>
    </xf>
    <xf numFmtId="0" fontId="32" fillId="36" borderId="90" xfId="0" applyFont="1" applyFill="1" applyBorder="1" applyAlignment="1">
      <alignment horizontal="center" vertical="center" wrapText="1"/>
    </xf>
    <xf numFmtId="0" fontId="6" fillId="37" borderId="90" xfId="0" applyFont="1" applyFill="1" applyBorder="1" applyAlignment="1">
      <alignment horizontal="center" vertical="center" wrapText="1"/>
    </xf>
    <xf numFmtId="0" fontId="6" fillId="38" borderId="6" xfId="0" applyFont="1" applyFill="1" applyBorder="1" applyAlignment="1">
      <alignment horizontal="center" vertical="center" wrapText="1"/>
    </xf>
    <xf numFmtId="0" fontId="6" fillId="38" borderId="90" xfId="0" applyFont="1" applyFill="1" applyBorder="1" applyAlignment="1">
      <alignment horizontal="center" vertical="center" wrapText="1"/>
    </xf>
    <xf numFmtId="0" fontId="32" fillId="47" borderId="90" xfId="0" applyFont="1" applyFill="1" applyBorder="1" applyAlignment="1">
      <alignment horizontal="center" vertical="center" wrapText="1"/>
    </xf>
    <xf numFmtId="0" fontId="32" fillId="44" borderId="90" xfId="0" applyFont="1" applyFill="1" applyBorder="1" applyAlignment="1">
      <alignment horizontal="center" vertical="center" wrapText="1"/>
    </xf>
    <xf numFmtId="0" fontId="32" fillId="40" borderId="90" xfId="0" applyFont="1" applyFill="1" applyBorder="1" applyAlignment="1">
      <alignment horizontal="center" vertical="center" wrapText="1"/>
    </xf>
    <xf numFmtId="0" fontId="32" fillId="53" borderId="90" xfId="0" applyFont="1" applyFill="1" applyBorder="1" applyAlignment="1">
      <alignment horizontal="center" vertical="center" wrapText="1"/>
    </xf>
    <xf numFmtId="0" fontId="32" fillId="52" borderId="90" xfId="0" applyFont="1" applyFill="1" applyBorder="1" applyAlignment="1">
      <alignment horizontal="center" vertical="center" wrapText="1"/>
    </xf>
    <xf numFmtId="0" fontId="6" fillId="53" borderId="90" xfId="0" applyFont="1" applyFill="1" applyBorder="1" applyAlignment="1">
      <alignment horizontal="center" vertical="center" wrapText="1"/>
    </xf>
    <xf numFmtId="0" fontId="32" fillId="50" borderId="90" xfId="0" applyFont="1" applyFill="1" applyBorder="1" applyAlignment="1">
      <alignment horizontal="center" vertical="center" wrapText="1"/>
    </xf>
    <xf numFmtId="0" fontId="32" fillId="42" borderId="90" xfId="0" applyFont="1" applyFill="1" applyBorder="1" applyAlignment="1">
      <alignment horizontal="center" vertical="center" wrapText="1"/>
    </xf>
    <xf numFmtId="0" fontId="9" fillId="5" borderId="11" xfId="4" applyFont="1" applyFill="1" applyBorder="1" applyAlignment="1">
      <alignment horizontal="center" vertical="center"/>
    </xf>
    <xf numFmtId="0" fontId="9" fillId="7" borderId="2" xfId="4" applyFont="1" applyFill="1" applyBorder="1" applyAlignment="1">
      <alignment horizontal="center" vertical="center" wrapText="1"/>
    </xf>
    <xf numFmtId="0" fontId="9" fillId="7" borderId="44" xfId="4" applyFont="1" applyFill="1" applyBorder="1" applyAlignment="1">
      <alignment horizontal="center" vertical="center" wrapText="1"/>
    </xf>
    <xf numFmtId="0" fontId="9" fillId="7" borderId="14" xfId="4" applyFont="1" applyFill="1" applyBorder="1" applyAlignment="1">
      <alignment horizontal="center" vertical="center" wrapText="1"/>
    </xf>
    <xf numFmtId="0" fontId="9" fillId="7" borderId="7" xfId="4" applyFont="1" applyFill="1" applyBorder="1" applyAlignment="1">
      <alignment horizontal="center" vertical="center" wrapText="1"/>
    </xf>
    <xf numFmtId="0" fontId="6" fillId="5" borderId="14" xfId="4" applyFill="1" applyBorder="1" applyAlignment="1">
      <alignment horizontal="center"/>
    </xf>
    <xf numFmtId="0" fontId="6" fillId="5" borderId="15" xfId="4" applyFill="1" applyBorder="1" applyAlignment="1">
      <alignment horizontal="center"/>
    </xf>
    <xf numFmtId="0" fontId="2" fillId="5" borderId="15" xfId="4" applyFont="1" applyFill="1" applyBorder="1" applyAlignment="1">
      <alignment horizontal="center"/>
    </xf>
    <xf numFmtId="0" fontId="6" fillId="5" borderId="7" xfId="4" applyFill="1" applyBorder="1" applyAlignment="1">
      <alignment horizontal="center"/>
    </xf>
    <xf numFmtId="0" fontId="49" fillId="0" borderId="2" xfId="4" applyFont="1" applyBorder="1" applyAlignment="1">
      <alignment horizontal="center"/>
    </xf>
    <xf numFmtId="0" fontId="49" fillId="0" borderId="3" xfId="4" applyFont="1" applyBorder="1" applyAlignment="1">
      <alignment horizontal="center"/>
    </xf>
    <xf numFmtId="0" fontId="6" fillId="0" borderId="3" xfId="4" applyBorder="1" applyAlignment="1">
      <alignment horizontal="center"/>
    </xf>
    <xf numFmtId="0" fontId="49" fillId="0" borderId="4" xfId="4" applyFont="1" applyBorder="1" applyAlignment="1">
      <alignment horizontal="center"/>
    </xf>
    <xf numFmtId="0" fontId="49" fillId="0" borderId="9" xfId="4" applyFont="1" applyBorder="1" applyAlignment="1">
      <alignment horizontal="center"/>
    </xf>
    <xf numFmtId="0" fontId="49" fillId="0" borderId="0" xfId="4" applyFont="1" applyAlignment="1">
      <alignment horizontal="center"/>
    </xf>
    <xf numFmtId="0" fontId="6" fillId="0" borderId="0" xfId="4" applyAlignment="1">
      <alignment horizontal="center"/>
    </xf>
    <xf numFmtId="0" fontId="49" fillId="0" borderId="6" xfId="4" applyFont="1" applyBorder="1" applyAlignment="1">
      <alignment horizontal="center"/>
    </xf>
    <xf numFmtId="0" fontId="49" fillId="0" borderId="10" xfId="4" applyFont="1" applyBorder="1" applyAlignment="1">
      <alignment horizontal="center"/>
    </xf>
    <xf numFmtId="0" fontId="49" fillId="0" borderId="11" xfId="4" applyFont="1" applyBorder="1" applyAlignment="1">
      <alignment horizontal="center"/>
    </xf>
    <xf numFmtId="0" fontId="6" fillId="0" borderId="11" xfId="4" applyBorder="1" applyAlignment="1">
      <alignment horizontal="center"/>
    </xf>
    <xf numFmtId="0" fontId="49" fillId="0" borderId="8" xfId="4" applyFont="1" applyBorder="1" applyAlignment="1">
      <alignment horizontal="center"/>
    </xf>
    <xf numFmtId="49" fontId="14" fillId="0" borderId="47" xfId="4" applyNumberFormat="1" applyFont="1" applyBorder="1" applyAlignment="1">
      <alignment horizontal="center" vertical="center" wrapText="1"/>
    </xf>
    <xf numFmtId="49" fontId="14" fillId="0" borderId="50" xfId="4" applyNumberFormat="1" applyFont="1" applyBorder="1" applyAlignment="1">
      <alignment horizontal="center" vertical="center" wrapText="1"/>
    </xf>
    <xf numFmtId="49" fontId="15" fillId="0" borderId="47" xfId="4" applyNumberFormat="1" applyFont="1" applyBorder="1" applyAlignment="1">
      <alignment horizontal="center" vertical="center" wrapText="1"/>
    </xf>
    <xf numFmtId="49" fontId="14" fillId="0" borderId="48" xfId="4" applyNumberFormat="1" applyFont="1" applyBorder="1" applyAlignment="1">
      <alignment horizontal="center" vertical="center" wrapText="1"/>
    </xf>
    <xf numFmtId="49" fontId="14" fillId="0" borderId="45" xfId="4" applyNumberFormat="1" applyFont="1" applyBorder="1" applyAlignment="1">
      <alignment horizontal="center" vertical="center" wrapText="1"/>
    </xf>
    <xf numFmtId="49" fontId="14" fillId="0" borderId="46" xfId="4" applyNumberFormat="1" applyFont="1" applyBorder="1" applyAlignment="1">
      <alignment horizontal="center" vertical="center" wrapText="1"/>
    </xf>
    <xf numFmtId="49" fontId="14" fillId="4" borderId="49" xfId="4" applyNumberFormat="1" applyFont="1" applyFill="1" applyBorder="1" applyAlignment="1">
      <alignment horizontal="center" vertical="center" wrapText="1"/>
    </xf>
    <xf numFmtId="49" fontId="14" fillId="4" borderId="47" xfId="4" applyNumberFormat="1" applyFont="1" applyFill="1" applyBorder="1" applyAlignment="1">
      <alignment horizontal="center" vertical="center" wrapText="1"/>
    </xf>
    <xf numFmtId="49" fontId="14" fillId="0" borderId="50" xfId="4" applyNumberFormat="1" applyFont="1" applyBorder="1" applyAlignment="1">
      <alignment horizontal="center" vertical="center"/>
    </xf>
    <xf numFmtId="0" fontId="14" fillId="0" borderId="50" xfId="4" applyFont="1" applyBorder="1" applyAlignment="1">
      <alignment horizontal="center" vertical="center" wrapText="1"/>
    </xf>
    <xf numFmtId="0" fontId="13" fillId="0" borderId="45" xfId="0" applyFont="1" applyBorder="1" applyAlignment="1">
      <alignment horizontal="center" vertical="center" wrapText="1"/>
    </xf>
    <xf numFmtId="0" fontId="13" fillId="0" borderId="45" xfId="0" applyFont="1" applyBorder="1" applyAlignment="1">
      <alignment horizontal="center" vertical="center"/>
    </xf>
    <xf numFmtId="0" fontId="13" fillId="0" borderId="46" xfId="0" applyFont="1" applyBorder="1" applyAlignment="1">
      <alignment horizontal="center" vertical="center"/>
    </xf>
    <xf numFmtId="49" fontId="14" fillId="0" borderId="49" xfId="4" applyNumberFormat="1" applyFont="1" applyBorder="1" applyAlignment="1">
      <alignment horizontal="center" vertical="center" wrapText="1"/>
    </xf>
    <xf numFmtId="0" fontId="7" fillId="9" borderId="2" xfId="4" applyFont="1" applyFill="1" applyBorder="1" applyAlignment="1">
      <alignment horizontal="center" vertical="center" wrapText="1"/>
    </xf>
    <xf numFmtId="0" fontId="7" fillId="9" borderId="3" xfId="4" applyFont="1" applyFill="1" applyBorder="1" applyAlignment="1">
      <alignment horizontal="center" vertical="center" wrapText="1"/>
    </xf>
    <xf numFmtId="0" fontId="7" fillId="9" borderId="4" xfId="4" applyFont="1" applyFill="1" applyBorder="1" applyAlignment="1">
      <alignment horizontal="center" vertical="center" wrapText="1"/>
    </xf>
    <xf numFmtId="0" fontId="7" fillId="11" borderId="2" xfId="4" applyFont="1" applyFill="1" applyBorder="1" applyAlignment="1">
      <alignment horizontal="center" vertical="center" wrapText="1"/>
    </xf>
    <xf numFmtId="0" fontId="7" fillId="11" borderId="3" xfId="4" applyFont="1" applyFill="1" applyBorder="1" applyAlignment="1">
      <alignment horizontal="center" vertical="center" wrapText="1"/>
    </xf>
    <xf numFmtId="0" fontId="32" fillId="52" borderId="97" xfId="0" applyFont="1" applyFill="1" applyBorder="1" applyAlignment="1">
      <alignment horizontal="center" vertical="center" wrapText="1"/>
    </xf>
    <xf numFmtId="0" fontId="35" fillId="4" borderId="0" xfId="0" applyFont="1" applyFill="1"/>
    <xf numFmtId="0" fontId="35" fillId="4" borderId="74" xfId="0" applyFont="1" applyFill="1" applyBorder="1"/>
    <xf numFmtId="0" fontId="6" fillId="53" borderId="97" xfId="0" applyFont="1" applyFill="1" applyBorder="1" applyAlignment="1">
      <alignment horizontal="center" vertical="center" wrapText="1"/>
    </xf>
    <xf numFmtId="0" fontId="32" fillId="53" borderId="97" xfId="0" applyFont="1" applyFill="1" applyBorder="1" applyAlignment="1">
      <alignment horizontal="center" vertical="center" wrapText="1"/>
    </xf>
    <xf numFmtId="0" fontId="8" fillId="24" borderId="14" xfId="4" applyFont="1" applyFill="1" applyBorder="1" applyAlignment="1">
      <alignment horizontal="center" vertical="center" wrapText="1"/>
    </xf>
    <xf numFmtId="0" fontId="8" fillId="24" borderId="7" xfId="4" applyFont="1" applyFill="1" applyBorder="1" applyAlignment="1">
      <alignment horizontal="center" vertical="center" wrapText="1"/>
    </xf>
    <xf numFmtId="0" fontId="32" fillId="47" borderId="97" xfId="0" applyFont="1" applyFill="1" applyBorder="1" applyAlignment="1">
      <alignment horizontal="center" vertical="center" wrapText="1"/>
    </xf>
    <xf numFmtId="0" fontId="32" fillId="44" borderId="0" xfId="0" applyFont="1" applyFill="1" applyAlignment="1">
      <alignment horizontal="center" vertical="center" wrapText="1"/>
    </xf>
    <xf numFmtId="0" fontId="32" fillId="50" borderId="0" xfId="0" applyFont="1" applyFill="1" applyAlignment="1">
      <alignment horizontal="center" vertical="center" wrapText="1"/>
    </xf>
    <xf numFmtId="0" fontId="32" fillId="50" borderId="97" xfId="0" applyFont="1" applyFill="1" applyBorder="1" applyAlignment="1">
      <alignment horizontal="center" vertical="center" wrapText="1"/>
    </xf>
    <xf numFmtId="0" fontId="32" fillId="42" borderId="0" xfId="0" applyFont="1" applyFill="1" applyAlignment="1">
      <alignment horizontal="center" vertical="center" wrapText="1"/>
    </xf>
    <xf numFmtId="0" fontId="32" fillId="45" borderId="97" xfId="0" applyFont="1" applyFill="1" applyBorder="1" applyAlignment="1">
      <alignment horizontal="center" vertical="center" wrapText="1"/>
    </xf>
    <xf numFmtId="0" fontId="32" fillId="46" borderId="0" xfId="0" applyFont="1" applyFill="1" applyAlignment="1">
      <alignment horizontal="center" vertical="center" wrapText="1"/>
    </xf>
    <xf numFmtId="0" fontId="32" fillId="45" borderId="0" xfId="0" applyFont="1" applyFill="1" applyAlignment="1">
      <alignment horizontal="center" vertical="center" wrapText="1"/>
    </xf>
    <xf numFmtId="0" fontId="32" fillId="47" borderId="0" xfId="0" applyFont="1" applyFill="1" applyAlignment="1">
      <alignment horizontal="center" vertical="center" wrapText="1"/>
    </xf>
    <xf numFmtId="0" fontId="6" fillId="38" borderId="97" xfId="0" applyFont="1" applyFill="1" applyBorder="1" applyAlignment="1">
      <alignment horizontal="center" vertical="center" wrapText="1"/>
    </xf>
    <xf numFmtId="0" fontId="32" fillId="37" borderId="97" xfId="0" applyFont="1" applyFill="1" applyBorder="1" applyAlignment="1">
      <alignment horizontal="center" vertical="center" wrapText="1"/>
    </xf>
    <xf numFmtId="0" fontId="32" fillId="36" borderId="97" xfId="0" applyFont="1" applyFill="1" applyBorder="1" applyAlignment="1">
      <alignment horizontal="center" vertical="center" wrapText="1"/>
    </xf>
    <xf numFmtId="0" fontId="6" fillId="42" borderId="9" xfId="0" applyFont="1" applyFill="1" applyBorder="1" applyAlignment="1">
      <alignment horizontal="center" vertical="center" wrapText="1"/>
    </xf>
    <xf numFmtId="0" fontId="32" fillId="40" borderId="102" xfId="0" applyFont="1" applyFill="1" applyBorder="1" applyAlignment="1">
      <alignment horizontal="center" vertical="center" wrapText="1"/>
    </xf>
    <xf numFmtId="0" fontId="32" fillId="40" borderId="103" xfId="0" applyFont="1" applyFill="1" applyBorder="1" applyAlignment="1">
      <alignment horizontal="center" vertical="center" wrapText="1"/>
    </xf>
    <xf numFmtId="0" fontId="32" fillId="40" borderId="97" xfId="0" applyFont="1" applyFill="1" applyBorder="1" applyAlignment="1">
      <alignment horizontal="center" vertical="center" wrapText="1"/>
    </xf>
    <xf numFmtId="0" fontId="6" fillId="36" borderId="97" xfId="0" applyFont="1" applyFill="1" applyBorder="1" applyAlignment="1">
      <alignment horizontal="center" vertical="center" wrapText="1"/>
    </xf>
    <xf numFmtId="0" fontId="32" fillId="37" borderId="0" xfId="0" applyFont="1" applyFill="1" applyAlignment="1">
      <alignment horizontal="center" vertical="center" wrapText="1"/>
    </xf>
    <xf numFmtId="0" fontId="32" fillId="36" borderId="0" xfId="0" applyFont="1" applyFill="1" applyAlignment="1">
      <alignment horizontal="center" vertical="center" wrapText="1"/>
    </xf>
    <xf numFmtId="0" fontId="6" fillId="37" borderId="0" xfId="0" applyFont="1" applyFill="1" applyAlignment="1">
      <alignment horizontal="center" vertical="center" wrapText="1"/>
    </xf>
    <xf numFmtId="0" fontId="6" fillId="38" borderId="0" xfId="0" applyFont="1" applyFill="1" applyAlignment="1">
      <alignment horizontal="center" vertical="center" wrapText="1"/>
    </xf>
    <xf numFmtId="0" fontId="7" fillId="2" borderId="1" xfId="4" applyFont="1" applyFill="1" applyBorder="1" applyAlignment="1">
      <alignment horizontal="center" vertical="center" wrapText="1"/>
    </xf>
    <xf numFmtId="0" fontId="7" fillId="2" borderId="13" xfId="4" applyFont="1" applyFill="1" applyBorder="1" applyAlignment="1">
      <alignment horizontal="center" vertical="center" wrapText="1"/>
    </xf>
    <xf numFmtId="0" fontId="6" fillId="36" borderId="0" xfId="0" applyFont="1" applyFill="1" applyAlignment="1">
      <alignment horizontal="center" vertical="center" wrapText="1"/>
    </xf>
    <xf numFmtId="0" fontId="24" fillId="26" borderId="36" xfId="4" applyFont="1" applyFill="1" applyBorder="1" applyAlignment="1">
      <alignment horizontal="center" vertical="center" wrapText="1"/>
    </xf>
    <xf numFmtId="0" fontId="24" fillId="26" borderId="38" xfId="4" applyFont="1" applyFill="1" applyBorder="1" applyAlignment="1">
      <alignment horizontal="center" vertical="center" wrapText="1"/>
    </xf>
    <xf numFmtId="0" fontId="24" fillId="26" borderId="40" xfId="4" applyFont="1" applyFill="1" applyBorder="1" applyAlignment="1">
      <alignment horizontal="center" vertical="center" wrapText="1"/>
    </xf>
    <xf numFmtId="0" fontId="29" fillId="9" borderId="4" xfId="4" applyFont="1" applyFill="1" applyBorder="1" applyAlignment="1">
      <alignment horizontal="center" vertical="center" wrapText="1"/>
    </xf>
    <xf numFmtId="0" fontId="29" fillId="9" borderId="8" xfId="4" applyFont="1" applyFill="1" applyBorder="1" applyAlignment="1">
      <alignment horizontal="center" vertical="center" wrapText="1"/>
    </xf>
    <xf numFmtId="0" fontId="7" fillId="19" borderId="64" xfId="0" applyFont="1" applyFill="1" applyBorder="1" applyAlignment="1" applyProtection="1">
      <alignment horizontal="center" vertical="center" wrapText="1"/>
      <protection locked="0"/>
    </xf>
    <xf numFmtId="0" fontId="7" fillId="19" borderId="25" xfId="0" applyFont="1" applyFill="1" applyBorder="1" applyAlignment="1" applyProtection="1">
      <alignment horizontal="center" vertical="center" wrapText="1"/>
      <protection locked="0"/>
    </xf>
    <xf numFmtId="0" fontId="7" fillId="19" borderId="65" xfId="0" applyFont="1" applyFill="1" applyBorder="1" applyAlignment="1" applyProtection="1">
      <alignment horizontal="center" vertical="center" wrapText="1"/>
      <protection locked="0"/>
    </xf>
    <xf numFmtId="49" fontId="14" fillId="2" borderId="51" xfId="10" applyNumberFormat="1" applyFont="1" applyFill="1" applyBorder="1" applyAlignment="1">
      <alignment horizontal="center" vertical="center" wrapText="1"/>
    </xf>
    <xf numFmtId="49" fontId="14" fillId="2" borderId="47" xfId="10" applyNumberFormat="1" applyFont="1" applyFill="1" applyBorder="1" applyAlignment="1">
      <alignment horizontal="center" vertical="center" wrapText="1"/>
    </xf>
    <xf numFmtId="49" fontId="14" fillId="4" borderId="51" xfId="10" applyNumberFormat="1" applyFont="1" applyFill="1" applyBorder="1" applyAlignment="1">
      <alignment horizontal="center" vertical="center" wrapText="1"/>
    </xf>
    <xf numFmtId="49" fontId="14" fillId="4" borderId="47" xfId="10" applyNumberFormat="1" applyFont="1" applyFill="1" applyBorder="1" applyAlignment="1">
      <alignment horizontal="center" vertical="center" wrapText="1"/>
    </xf>
    <xf numFmtId="0" fontId="6" fillId="5" borderId="14" xfId="10" applyFill="1" applyBorder="1" applyAlignment="1">
      <alignment horizontal="center"/>
    </xf>
    <xf numFmtId="0" fontId="6" fillId="5" borderId="15" xfId="10" applyFill="1" applyBorder="1" applyAlignment="1">
      <alignment horizontal="center"/>
    </xf>
    <xf numFmtId="0" fontId="2" fillId="5" borderId="15" xfId="10" applyFont="1" applyFill="1" applyBorder="1" applyAlignment="1">
      <alignment horizontal="center"/>
    </xf>
    <xf numFmtId="0" fontId="6" fillId="0" borderId="2" xfId="10" applyBorder="1" applyAlignment="1">
      <alignment horizontal="center"/>
    </xf>
    <xf numFmtId="0" fontId="6" fillId="0" borderId="3" xfId="10" applyBorder="1" applyAlignment="1">
      <alignment horizontal="center"/>
    </xf>
    <xf numFmtId="0" fontId="6" fillId="0" borderId="9" xfId="10" applyBorder="1" applyAlignment="1">
      <alignment horizontal="center"/>
    </xf>
    <xf numFmtId="0" fontId="6" fillId="0" borderId="0" xfId="10" applyAlignment="1">
      <alignment horizontal="center"/>
    </xf>
    <xf numFmtId="0" fontId="6" fillId="0" borderId="10" xfId="10" applyBorder="1" applyAlignment="1">
      <alignment horizontal="center"/>
    </xf>
    <xf numFmtId="0" fontId="6" fillId="0" borderId="11" xfId="10" applyBorder="1" applyAlignment="1">
      <alignment horizontal="center"/>
    </xf>
    <xf numFmtId="0" fontId="13" fillId="0" borderId="45" xfId="14" applyFont="1" applyBorder="1" applyAlignment="1">
      <alignment horizontal="center" vertical="center" wrapText="1"/>
    </xf>
    <xf numFmtId="0" fontId="13" fillId="0" borderId="45" xfId="14" applyFont="1" applyBorder="1" applyAlignment="1">
      <alignment horizontal="center" vertical="center"/>
    </xf>
    <xf numFmtId="0" fontId="13" fillId="0" borderId="46" xfId="14" applyFont="1" applyBorder="1" applyAlignment="1">
      <alignment horizontal="center" vertical="center"/>
    </xf>
    <xf numFmtId="49" fontId="14" fillId="0" borderId="47" xfId="10" applyNumberFormat="1" applyFont="1" applyBorder="1" applyAlignment="1">
      <alignment horizontal="center" vertical="center" wrapText="1"/>
    </xf>
    <xf numFmtId="49" fontId="14" fillId="0" borderId="50" xfId="10" applyNumberFormat="1" applyFont="1" applyBorder="1" applyAlignment="1">
      <alignment horizontal="center" vertical="center" wrapText="1"/>
    </xf>
    <xf numFmtId="49" fontId="14" fillId="0" borderId="115" xfId="10" applyNumberFormat="1" applyFont="1" applyBorder="1" applyAlignment="1">
      <alignment horizontal="center" vertical="center" wrapText="1"/>
    </xf>
    <xf numFmtId="49" fontId="15" fillId="0" borderId="47" xfId="10" applyNumberFormat="1" applyFont="1" applyBorder="1" applyAlignment="1">
      <alignment horizontal="center" vertical="center" wrapText="1"/>
    </xf>
    <xf numFmtId="49" fontId="14" fillId="0" borderId="48" xfId="10" applyNumberFormat="1" applyFont="1" applyBorder="1" applyAlignment="1">
      <alignment horizontal="center" vertical="center" wrapText="1"/>
    </xf>
    <xf numFmtId="49" fontId="14" fillId="0" borderId="45" xfId="10" applyNumberFormat="1" applyFont="1" applyBorder="1" applyAlignment="1">
      <alignment horizontal="center" vertical="center" wrapText="1"/>
    </xf>
    <xf numFmtId="49" fontId="14" fillId="0" borderId="46" xfId="10" applyNumberFormat="1" applyFont="1" applyBorder="1" applyAlignment="1">
      <alignment horizontal="center" vertical="center" wrapText="1"/>
    </xf>
    <xf numFmtId="0" fontId="7" fillId="5" borderId="11" xfId="4" applyFont="1" applyFill="1" applyBorder="1" applyAlignment="1">
      <alignment horizontal="center" vertical="center"/>
    </xf>
    <xf numFmtId="0" fontId="7" fillId="7" borderId="2" xfId="4" applyFont="1" applyFill="1" applyBorder="1" applyAlignment="1">
      <alignment horizontal="center" vertical="center" wrapText="1"/>
    </xf>
    <xf numFmtId="0" fontId="7" fillId="7" borderId="4" xfId="4" applyFont="1" applyFill="1" applyBorder="1" applyAlignment="1">
      <alignment horizontal="center" vertical="center" wrapText="1"/>
    </xf>
    <xf numFmtId="0" fontId="7" fillId="7" borderId="7" xfId="4" applyFont="1" applyFill="1" applyBorder="1" applyAlignment="1">
      <alignment horizontal="center" vertical="center" wrapText="1"/>
    </xf>
    <xf numFmtId="49" fontId="17" fillId="0" borderId="52" xfId="0" quotePrefix="1" applyNumberFormat="1" applyFont="1" applyBorder="1" applyAlignment="1">
      <alignment horizontal="center" vertical="center" wrapText="1"/>
    </xf>
    <xf numFmtId="0" fontId="18" fillId="0" borderId="53" xfId="0" applyFont="1" applyBorder="1"/>
    <xf numFmtId="0" fontId="18" fillId="0" borderId="54" xfId="0" applyFont="1" applyBorder="1"/>
    <xf numFmtId="49" fontId="17" fillId="15" borderId="55" xfId="0" quotePrefix="1" applyNumberFormat="1" applyFont="1" applyFill="1" applyBorder="1" applyAlignment="1">
      <alignment horizontal="center" vertical="center" wrapText="1"/>
    </xf>
    <xf numFmtId="49" fontId="17" fillId="15" borderId="57" xfId="0" quotePrefix="1" applyNumberFormat="1" applyFont="1" applyFill="1" applyBorder="1" applyAlignment="1">
      <alignment horizontal="center" vertical="center" wrapText="1"/>
    </xf>
    <xf numFmtId="49" fontId="17" fillId="15" borderId="55" xfId="0" applyNumberFormat="1" applyFont="1" applyFill="1" applyBorder="1" applyAlignment="1">
      <alignment horizontal="center" vertical="center" wrapText="1"/>
    </xf>
    <xf numFmtId="49" fontId="17" fillId="15" borderId="57" xfId="0" applyNumberFormat="1" applyFont="1" applyFill="1" applyBorder="1" applyAlignment="1">
      <alignment horizontal="center" vertical="center" wrapText="1"/>
    </xf>
    <xf numFmtId="0" fontId="51" fillId="2" borderId="17" xfId="10" applyFont="1" applyFill="1" applyBorder="1" applyAlignment="1">
      <alignment horizontal="center" vertical="center" wrapText="1"/>
    </xf>
    <xf numFmtId="0" fontId="51" fillId="2" borderId="18" xfId="10" applyFont="1" applyFill="1" applyBorder="1" applyAlignment="1">
      <alignment horizontal="center" vertical="center" wrapText="1"/>
    </xf>
    <xf numFmtId="0" fontId="51" fillId="2" borderId="19" xfId="10" applyFont="1" applyFill="1" applyBorder="1" applyAlignment="1">
      <alignment horizontal="center" vertical="center" wrapText="1"/>
    </xf>
    <xf numFmtId="0" fontId="5" fillId="0" borderId="16" xfId="10" applyFont="1" applyBorder="1" applyAlignment="1">
      <alignment horizontal="center" vertical="center" wrapText="1"/>
    </xf>
    <xf numFmtId="0" fontId="51" fillId="0" borderId="0" xfId="10" applyFont="1" applyAlignment="1">
      <alignment horizontal="center" vertical="center"/>
    </xf>
    <xf numFmtId="0" fontId="51" fillId="2" borderId="16" xfId="10" applyFont="1" applyFill="1" applyBorder="1" applyAlignment="1">
      <alignment horizontal="center" vertical="center" wrapText="1"/>
    </xf>
    <xf numFmtId="0" fontId="51" fillId="2" borderId="20" xfId="10" applyFont="1" applyFill="1" applyBorder="1" applyAlignment="1">
      <alignment horizontal="center" vertical="center" wrapText="1"/>
    </xf>
    <xf numFmtId="0" fontId="51" fillId="2" borderId="21" xfId="10" applyFont="1" applyFill="1" applyBorder="1" applyAlignment="1">
      <alignment horizontal="center" vertical="center" wrapText="1"/>
    </xf>
    <xf numFmtId="0" fontId="51" fillId="2" borderId="22" xfId="10" applyFont="1" applyFill="1" applyBorder="1" applyAlignment="1">
      <alignment horizontal="center" vertical="center" wrapText="1"/>
    </xf>
    <xf numFmtId="0" fontId="51" fillId="0" borderId="23" xfId="10" applyFont="1" applyBorder="1" applyAlignment="1">
      <alignment horizontal="center" vertical="center"/>
    </xf>
    <xf numFmtId="0" fontId="51" fillId="0" borderId="24" xfId="10" applyFont="1" applyBorder="1" applyAlignment="1">
      <alignment horizontal="center" vertical="center"/>
    </xf>
    <xf numFmtId="0" fontId="7" fillId="7" borderId="2" xfId="4" quotePrefix="1" applyFont="1" applyFill="1" applyBorder="1" applyAlignment="1">
      <alignment horizontal="center" vertical="center" wrapText="1"/>
    </xf>
    <xf numFmtId="1" fontId="4" fillId="0" borderId="38" xfId="4" applyNumberFormat="1" applyFont="1" applyFill="1" applyBorder="1" applyAlignment="1">
      <alignment horizontal="center" vertical="center" wrapText="1"/>
    </xf>
    <xf numFmtId="1" fontId="4" fillId="0" borderId="18" xfId="4" applyNumberFormat="1" applyFont="1" applyFill="1" applyBorder="1" applyAlignment="1">
      <alignment horizontal="center" vertical="center" wrapText="1"/>
    </xf>
    <xf numFmtId="1" fontId="4" fillId="0" borderId="37" xfId="4" applyNumberFormat="1" applyFont="1" applyFill="1" applyBorder="1" applyAlignment="1">
      <alignment horizontal="center" vertical="center" wrapText="1"/>
    </xf>
    <xf numFmtId="165" fontId="4" fillId="0" borderId="38" xfId="4" applyNumberFormat="1" applyFont="1" applyFill="1" applyBorder="1" applyAlignment="1">
      <alignment horizontal="center" vertical="center" wrapText="1"/>
    </xf>
    <xf numFmtId="2" fontId="4" fillId="0" borderId="37" xfId="4" applyNumberFormat="1" applyFont="1" applyFill="1" applyBorder="1" applyAlignment="1">
      <alignment horizontal="center" vertical="center" wrapText="1"/>
    </xf>
    <xf numFmtId="0" fontId="39" fillId="0" borderId="5" xfId="0" applyFont="1" applyFill="1" applyBorder="1" applyAlignment="1">
      <alignment horizontal="center" vertical="center"/>
    </xf>
    <xf numFmtId="0" fontId="39" fillId="0" borderId="81" xfId="0" applyFont="1" applyFill="1" applyBorder="1" applyAlignment="1">
      <alignment horizontal="center" vertical="center"/>
    </xf>
    <xf numFmtId="0" fontId="39" fillId="0" borderId="76" xfId="0" applyFont="1" applyFill="1" applyBorder="1" applyAlignment="1">
      <alignment horizontal="center" vertical="center"/>
    </xf>
    <xf numFmtId="1" fontId="4" fillId="0" borderId="39" xfId="4" applyNumberFormat="1" applyFont="1" applyFill="1" applyBorder="1" applyAlignment="1">
      <alignment horizontal="center" vertical="center" wrapText="1"/>
    </xf>
    <xf numFmtId="165" fontId="4" fillId="0" borderId="37" xfId="4" applyNumberFormat="1" applyFont="1" applyFill="1" applyBorder="1" applyAlignment="1">
      <alignment horizontal="center" vertical="center" wrapText="1"/>
    </xf>
    <xf numFmtId="9" fontId="39" fillId="0" borderId="89" xfId="0" applyNumberFormat="1" applyFont="1" applyFill="1" applyBorder="1" applyAlignment="1">
      <alignment horizontal="center" vertical="center" wrapText="1"/>
    </xf>
    <xf numFmtId="3" fontId="4" fillId="0" borderId="40" xfId="4" applyNumberFormat="1" applyFont="1" applyBorder="1" applyAlignment="1">
      <alignment horizontal="justify" vertical="center" wrapText="1"/>
    </xf>
    <xf numFmtId="171" fontId="25" fillId="53" borderId="0" xfId="0" applyNumberFormat="1" applyFont="1" applyFill="1" applyBorder="1" applyAlignment="1">
      <alignment horizontal="right" vertical="center"/>
    </xf>
    <xf numFmtId="10" fontId="4" fillId="4" borderId="66" xfId="2" applyNumberFormat="1" applyFont="1" applyFill="1" applyBorder="1" applyAlignment="1">
      <alignment vertical="center" wrapText="1"/>
    </xf>
    <xf numFmtId="10" fontId="4" fillId="4" borderId="6" xfId="2" applyNumberFormat="1" applyFont="1" applyFill="1" applyBorder="1" applyAlignment="1">
      <alignment vertical="center" wrapText="1"/>
    </xf>
    <xf numFmtId="3" fontId="7" fillId="24" borderId="8" xfId="4" applyNumberFormat="1" applyFont="1" applyFill="1" applyBorder="1" applyAlignment="1">
      <alignment vertical="center" wrapText="1"/>
    </xf>
    <xf numFmtId="0" fontId="64" fillId="0" borderId="3" xfId="4" applyFont="1" applyBorder="1" applyAlignment="1">
      <alignment horizontal="left" vertical="center" wrapText="1"/>
    </xf>
    <xf numFmtId="0" fontId="64" fillId="0" borderId="0" xfId="4" applyFont="1" applyAlignment="1">
      <alignment horizontal="left" vertical="center" wrapText="1"/>
    </xf>
    <xf numFmtId="0" fontId="64" fillId="0" borderId="0" xfId="4" applyFont="1" applyAlignment="1">
      <alignment vertical="center" wrapText="1"/>
    </xf>
    <xf numFmtId="0" fontId="64" fillId="0" borderId="0" xfId="4" applyFont="1" applyAlignment="1">
      <alignment horizontal="center" vertical="center" wrapText="1"/>
    </xf>
    <xf numFmtId="172" fontId="64" fillId="0" borderId="0" xfId="4" applyNumberFormat="1" applyFont="1" applyAlignment="1">
      <alignment vertical="center" wrapText="1"/>
    </xf>
    <xf numFmtId="43" fontId="64" fillId="0" borderId="0" xfId="3" applyFont="1" applyAlignment="1">
      <alignment vertical="center" wrapText="1"/>
    </xf>
    <xf numFmtId="0" fontId="64" fillId="0" borderId="0" xfId="4" applyFont="1" applyAlignment="1">
      <alignment horizontal="right" vertical="center" wrapText="1"/>
    </xf>
    <xf numFmtId="43" fontId="64" fillId="0" borderId="0" xfId="3" applyFont="1" applyAlignment="1">
      <alignment horizontal="right" vertical="center" wrapText="1"/>
    </xf>
    <xf numFmtId="0" fontId="59" fillId="0" borderId="0" xfId="4" applyFont="1" applyAlignment="1">
      <alignment horizontal="right" vertical="center"/>
    </xf>
    <xf numFmtId="0" fontId="59" fillId="0" borderId="0" xfId="4" applyFont="1" applyAlignment="1">
      <alignment vertical="center" wrapText="1"/>
    </xf>
    <xf numFmtId="0" fontId="59" fillId="0" borderId="0" xfId="4" applyFont="1" applyAlignment="1">
      <alignment horizontal="center" vertical="center" wrapText="1"/>
    </xf>
    <xf numFmtId="192" fontId="59" fillId="0" borderId="0" xfId="4" applyNumberFormat="1" applyFont="1" applyAlignment="1">
      <alignment vertical="center" wrapText="1"/>
    </xf>
    <xf numFmtId="172" fontId="59" fillId="0" borderId="0" xfId="4" applyNumberFormat="1" applyFont="1" applyAlignment="1">
      <alignment vertical="center" wrapText="1"/>
    </xf>
    <xf numFmtId="0" fontId="59" fillId="0" borderId="0" xfId="4" applyFont="1" applyAlignment="1">
      <alignment horizontal="center" vertical="center" wrapText="1"/>
    </xf>
    <xf numFmtId="0" fontId="59" fillId="0" borderId="0" xfId="4" applyFont="1" applyAlignment="1">
      <alignment horizontal="left" vertical="center" wrapText="1"/>
    </xf>
    <xf numFmtId="0" fontId="59" fillId="0" borderId="0" xfId="4" applyFont="1" applyAlignment="1">
      <alignment horizontal="left" vertical="center" wrapText="1"/>
    </xf>
    <xf numFmtId="0" fontId="64" fillId="0" borderId="0" xfId="4" applyFont="1" applyAlignment="1">
      <alignment horizontal="justify" vertical="center" wrapText="1"/>
    </xf>
    <xf numFmtId="10" fontId="4" fillId="0" borderId="66" xfId="2" applyNumberFormat="1" applyFont="1" applyFill="1" applyBorder="1" applyAlignment="1">
      <alignment vertical="center" wrapText="1"/>
    </xf>
    <xf numFmtId="171" fontId="25" fillId="54" borderId="26" xfId="0" applyNumberFormat="1" applyFont="1" applyFill="1" applyBorder="1" applyAlignment="1">
      <alignment horizontal="right" vertical="center"/>
    </xf>
    <xf numFmtId="171" fontId="25" fillId="54" borderId="23" xfId="0" applyNumberFormat="1" applyFont="1" applyFill="1" applyBorder="1" applyAlignment="1">
      <alignment horizontal="right" vertical="center"/>
    </xf>
    <xf numFmtId="171" fontId="25" fillId="54" borderId="17" xfId="0" applyNumberFormat="1" applyFont="1" applyFill="1" applyBorder="1" applyAlignment="1">
      <alignment horizontal="right" vertical="center"/>
    </xf>
    <xf numFmtId="10" fontId="4" fillId="25" borderId="66" xfId="2" applyNumberFormat="1" applyFont="1" applyFill="1" applyBorder="1" applyAlignment="1">
      <alignment vertical="center" wrapText="1"/>
    </xf>
    <xf numFmtId="171" fontId="23" fillId="53" borderId="76" xfId="0" applyNumberFormat="1" applyFont="1" applyFill="1" applyBorder="1" applyAlignment="1">
      <alignment horizontal="right" vertical="center"/>
    </xf>
    <xf numFmtId="3" fontId="4" fillId="25" borderId="30" xfId="4" applyNumberFormat="1" applyFont="1" applyFill="1" applyBorder="1" applyAlignment="1">
      <alignment vertical="center" wrapText="1"/>
    </xf>
    <xf numFmtId="3" fontId="4" fillId="25" borderId="19" xfId="4" applyNumberFormat="1" applyFont="1" applyFill="1" applyBorder="1" applyAlignment="1">
      <alignment vertical="center" wrapText="1"/>
    </xf>
    <xf numFmtId="171" fontId="23" fillId="53" borderId="22" xfId="0" applyNumberFormat="1" applyFont="1" applyFill="1" applyBorder="1" applyAlignment="1">
      <alignment horizontal="right" vertical="center"/>
    </xf>
    <xf numFmtId="0" fontId="4" fillId="25" borderId="28" xfId="4" applyFont="1" applyFill="1" applyBorder="1" applyAlignment="1">
      <alignment horizontal="center" vertical="center" wrapText="1"/>
    </xf>
    <xf numFmtId="9" fontId="39" fillId="53" borderId="118" xfId="0" applyNumberFormat="1" applyFont="1" applyFill="1" applyBorder="1" applyAlignment="1">
      <alignment horizontal="center" vertical="center"/>
    </xf>
    <xf numFmtId="0" fontId="4" fillId="25" borderId="117" xfId="4" applyFont="1" applyFill="1" applyBorder="1" applyAlignment="1">
      <alignment horizontal="center" vertical="center" wrapText="1"/>
    </xf>
    <xf numFmtId="9" fontId="39" fillId="53" borderId="110" xfId="0" applyNumberFormat="1" applyFont="1" applyFill="1" applyBorder="1" applyAlignment="1">
      <alignment horizontal="center" vertical="center"/>
    </xf>
    <xf numFmtId="3" fontId="4" fillId="25" borderId="119" xfId="4" applyNumberFormat="1" applyFont="1" applyFill="1" applyBorder="1" applyAlignment="1">
      <alignment vertical="center" wrapText="1"/>
    </xf>
    <xf numFmtId="171" fontId="25" fillId="53" borderId="19" xfId="0" applyNumberFormat="1" applyFont="1" applyFill="1" applyBorder="1" applyAlignment="1">
      <alignment horizontal="right" vertical="center"/>
    </xf>
    <xf numFmtId="3" fontId="4" fillId="25" borderId="120" xfId="4" applyNumberFormat="1" applyFont="1" applyFill="1" applyBorder="1" applyAlignment="1">
      <alignment vertical="center" wrapText="1"/>
    </xf>
    <xf numFmtId="171" fontId="25" fillId="53" borderId="121" xfId="0" applyNumberFormat="1" applyFont="1" applyFill="1" applyBorder="1" applyAlignment="1">
      <alignment horizontal="right" vertical="center"/>
    </xf>
    <xf numFmtId="3" fontId="4" fillId="25" borderId="26" xfId="4" applyNumberFormat="1" applyFont="1" applyFill="1" applyBorder="1" applyAlignment="1">
      <alignment vertical="center" wrapText="1"/>
    </xf>
    <xf numFmtId="171" fontId="25" fillId="52" borderId="0" xfId="0" applyNumberFormat="1" applyFont="1" applyFill="1" applyBorder="1" applyAlignment="1">
      <alignment horizontal="right" vertical="center"/>
    </xf>
    <xf numFmtId="10" fontId="4" fillId="4" borderId="68" xfId="2" applyNumberFormat="1" applyFont="1" applyFill="1" applyBorder="1" applyAlignment="1">
      <alignment horizontal="center" vertical="center" wrapText="1"/>
    </xf>
    <xf numFmtId="10" fontId="4" fillId="25" borderId="68" xfId="2" applyNumberFormat="1" applyFont="1" applyFill="1" applyBorder="1" applyAlignment="1">
      <alignment horizontal="center" vertical="center" wrapText="1"/>
    </xf>
  </cellXfs>
  <cellStyles count="18">
    <cellStyle name="Hipervínculo" xfId="1" builtinId="8"/>
    <cellStyle name="Millares" xfId="3" builtinId="3"/>
    <cellStyle name="Millares [0] 2" xfId="5" xr:uid="{0B24FA14-4563-42A8-BCA7-6157206FEBE3}"/>
    <cellStyle name="Millares [0] 2 2" xfId="8" xr:uid="{0F24B8BB-0613-4952-8BBA-7420549ECBDF}"/>
    <cellStyle name="Millares 2" xfId="6" xr:uid="{98373B5D-15F6-47E6-AF78-F4B537F18C73}"/>
    <cellStyle name="Millares 2 2" xfId="9" xr:uid="{ABE0C250-1B43-44E3-99B8-4613B9E8B2F4}"/>
    <cellStyle name="Millares 2 3" xfId="17" xr:uid="{607FDAFC-960E-4FF7-AA99-4081BC447F34}"/>
    <cellStyle name="Millares 3" xfId="7" xr:uid="{2E415149-E9FC-4734-9FF0-D8B987130372}"/>
    <cellStyle name="Millares 4" xfId="15" xr:uid="{EA781872-3EB0-4D65-B500-F7AA7D2A8F86}"/>
    <cellStyle name="Moneda" xfId="13" builtinId="4"/>
    <cellStyle name="Moneda 2" xfId="12" xr:uid="{DCA360F3-C066-4EEB-8C0E-587C9BC0638C}"/>
    <cellStyle name="Normal" xfId="0" builtinId="0"/>
    <cellStyle name="Normal 2" xfId="4" xr:uid="{00000000-0005-0000-0000-000004000000}"/>
    <cellStyle name="Normal 2 2" xfId="10" xr:uid="{E7D01DA3-B7F3-48BA-AAC5-26E1EDF3F638}"/>
    <cellStyle name="Normal 4" xfId="11" xr:uid="{669998D0-C953-41B5-BB28-95DF75E16FA7}"/>
    <cellStyle name="Normal 7" xfId="14" xr:uid="{2B2F7FE1-4232-4459-8BB4-5DD9C2E7D9CD}"/>
    <cellStyle name="Porcentaje" xfId="2" builtinId="5"/>
    <cellStyle name="Porcentaje 3" xfId="16" xr:uid="{A2D7AE6A-2FA5-4513-A025-C44F28482498}"/>
  </cellStyles>
  <dxfs count="0"/>
  <tableStyles count="0" defaultTableStyle="TableStyleMedium2" defaultPivotStyle="PivotStyleLight16"/>
  <colors>
    <mruColors>
      <color rgb="FF66FF66"/>
      <color rgb="FFCCFFCC"/>
      <color rgb="FFE1FFE1"/>
      <color rgb="FFFF3399"/>
      <color rgb="FF99FF99"/>
      <color rgb="FFA8D08D"/>
      <color rgb="FFB4D79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0</xdr:col>
      <xdr:colOff>2</xdr:colOff>
      <xdr:row>0</xdr:row>
      <xdr:rowOff>0</xdr:rowOff>
    </xdr:from>
    <xdr:to>
      <xdr:col>6</xdr:col>
      <xdr:colOff>0</xdr:colOff>
      <xdr:row>1</xdr:row>
      <xdr:rowOff>0</xdr:rowOff>
    </xdr:to>
    <xdr:grpSp>
      <xdr:nvGrpSpPr>
        <xdr:cNvPr id="10" name="1 Grupo">
          <a:extLst>
            <a:ext uri="{FF2B5EF4-FFF2-40B4-BE49-F238E27FC236}">
              <a16:creationId xmlns:a16="http://schemas.microsoft.com/office/drawing/2014/main" id="{00000000-0008-0000-0000-00000A000000}"/>
            </a:ext>
          </a:extLst>
        </xdr:cNvPr>
        <xdr:cNvGrpSpPr>
          <a:grpSpLocks/>
        </xdr:cNvGrpSpPr>
      </xdr:nvGrpSpPr>
      <xdr:grpSpPr bwMode="auto">
        <a:xfrm>
          <a:off x="2" y="0"/>
          <a:ext cx="10048873" cy="1657350"/>
          <a:chOff x="57151" y="47625"/>
          <a:chExt cx="6181724" cy="1581150"/>
        </a:xfrm>
      </xdr:grpSpPr>
      <xdr:pic>
        <xdr:nvPicPr>
          <xdr:cNvPr id="11" name="1 Imagen" descr="ESCUDO-transp-lema-blanco.png">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57151" y="47625"/>
            <a:ext cx="850209" cy="1581150"/>
          </a:xfrm>
          <a:prstGeom prst="rect">
            <a:avLst/>
          </a:prstGeom>
          <a:noFill/>
          <a:ln w="9525">
            <a:noFill/>
            <a:miter lim="800000"/>
            <a:headEnd/>
            <a:tailEnd/>
          </a:ln>
        </xdr:spPr>
      </xdr:pic>
      <xdr:sp macro="" textlink="">
        <xdr:nvSpPr>
          <xdr:cNvPr id="12" name="3 CuadroTexto">
            <a:extLst>
              <a:ext uri="{FF2B5EF4-FFF2-40B4-BE49-F238E27FC236}">
                <a16:creationId xmlns:a16="http://schemas.microsoft.com/office/drawing/2014/main" id="{00000000-0008-0000-0000-00000C000000}"/>
              </a:ext>
            </a:extLst>
          </xdr:cNvPr>
          <xdr:cNvSpPr txBox="1"/>
        </xdr:nvSpPr>
        <xdr:spPr>
          <a:xfrm>
            <a:off x="1426640" y="495300"/>
            <a:ext cx="4812235"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de Ordenamiento Ambiental Territorial y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58616</xdr:rowOff>
    </xdr:from>
    <xdr:to>
      <xdr:col>19</xdr:col>
      <xdr:colOff>696056</xdr:colOff>
      <xdr:row>0</xdr:row>
      <xdr:rowOff>945520</xdr:rowOff>
    </xdr:to>
    <xdr:grpSp>
      <xdr:nvGrpSpPr>
        <xdr:cNvPr id="2" name="1 Grupo">
          <a:extLst>
            <a:ext uri="{FF2B5EF4-FFF2-40B4-BE49-F238E27FC236}">
              <a16:creationId xmlns:a16="http://schemas.microsoft.com/office/drawing/2014/main" id="{00000000-0008-0000-0100-000002000000}"/>
            </a:ext>
          </a:extLst>
        </xdr:cNvPr>
        <xdr:cNvGrpSpPr>
          <a:grpSpLocks/>
        </xdr:cNvGrpSpPr>
      </xdr:nvGrpSpPr>
      <xdr:grpSpPr bwMode="auto">
        <a:xfrm>
          <a:off x="0" y="58616"/>
          <a:ext cx="26808163" cy="886904"/>
          <a:chOff x="57150" y="170793"/>
          <a:chExt cx="8104898" cy="1863624"/>
        </a:xfrm>
      </xdr:grpSpPr>
      <xdr:pic>
        <xdr:nvPicPr>
          <xdr:cNvPr id="3" name="1 Imagen" descr="ESCUDO-transp-lema-blanco.png">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57150" y="170793"/>
            <a:ext cx="239804" cy="1863624"/>
          </a:xfrm>
          <a:prstGeom prst="rect">
            <a:avLst/>
          </a:prstGeom>
          <a:noFill/>
          <a:ln w="9525">
            <a:noFill/>
            <a:miter lim="800000"/>
            <a:headEnd/>
            <a:tailEnd/>
          </a:ln>
        </xdr:spPr>
      </xdr:pic>
      <xdr:sp macro="" textlink="">
        <xdr:nvSpPr>
          <xdr:cNvPr id="4" name="3 CuadroTexto">
            <a:extLst>
              <a:ext uri="{FF2B5EF4-FFF2-40B4-BE49-F238E27FC236}">
                <a16:creationId xmlns:a16="http://schemas.microsoft.com/office/drawing/2014/main" id="{00000000-0008-0000-0100-000004000000}"/>
              </a:ext>
            </a:extLst>
          </xdr:cNvPr>
          <xdr:cNvSpPr txBox="1"/>
        </xdr:nvSpPr>
        <xdr:spPr>
          <a:xfrm>
            <a:off x="311869" y="310548"/>
            <a:ext cx="7850179" cy="15537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de Ordenamiento Ambiental Territorial y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1209675</xdr:colOff>
      <xdr:row>0</xdr:row>
      <xdr:rowOff>1581150</xdr:rowOff>
    </xdr:to>
    <xdr:pic>
      <xdr:nvPicPr>
        <xdr:cNvPr id="2" name="1 Imagen" descr="ESCUDO-transp-lema-blanco.png">
          <a:extLst>
            <a:ext uri="{FF2B5EF4-FFF2-40B4-BE49-F238E27FC236}">
              <a16:creationId xmlns:a16="http://schemas.microsoft.com/office/drawing/2014/main" id="{CC3454E8-27FB-4C34-8274-7862C422C61A}"/>
            </a:ext>
          </a:extLst>
        </xdr:cNvPr>
        <xdr:cNvPicPr>
          <a:picLocks noChangeAspect="1"/>
        </xdr:cNvPicPr>
      </xdr:nvPicPr>
      <xdr:blipFill>
        <a:blip xmlns:r="http://schemas.openxmlformats.org/officeDocument/2006/relationships" r:embed="rId1" cstate="print"/>
        <a:srcRect/>
        <a:stretch>
          <a:fillRect/>
        </a:stretch>
      </xdr:blipFill>
      <xdr:spPr bwMode="auto">
        <a:xfrm>
          <a:off x="0" y="0"/>
          <a:ext cx="762000" cy="190500"/>
        </a:xfrm>
        <a:prstGeom prst="rect">
          <a:avLst/>
        </a:prstGeom>
        <a:noFill/>
        <a:ln w="9525">
          <a:noFill/>
          <a:miter lim="800000"/>
          <a:headEnd/>
          <a:tailEnd/>
        </a:ln>
      </xdr:spPr>
    </xdr:pic>
    <xdr:clientData/>
  </xdr:twoCellAnchor>
  <xdr:twoCellAnchor>
    <xdr:from>
      <xdr:col>0</xdr:col>
      <xdr:colOff>1266825</xdr:colOff>
      <xdr:row>0</xdr:row>
      <xdr:rowOff>428625</xdr:rowOff>
    </xdr:from>
    <xdr:to>
      <xdr:col>1</xdr:col>
      <xdr:colOff>2924175</xdr:colOff>
      <xdr:row>0</xdr:row>
      <xdr:rowOff>1200150</xdr:rowOff>
    </xdr:to>
    <xdr:sp macro="" textlink="">
      <xdr:nvSpPr>
        <xdr:cNvPr id="3" name="3 CuadroTexto">
          <a:extLst>
            <a:ext uri="{FF2B5EF4-FFF2-40B4-BE49-F238E27FC236}">
              <a16:creationId xmlns:a16="http://schemas.microsoft.com/office/drawing/2014/main" id="{DAC75E31-9F83-4903-ACF3-9E2B41611884}"/>
            </a:ext>
          </a:extLst>
        </xdr:cNvPr>
        <xdr:cNvSpPr txBox="1"/>
      </xdr:nvSpPr>
      <xdr:spPr bwMode="auto">
        <a:xfrm>
          <a:off x="762000" y="190500"/>
          <a:ext cx="76200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de Ordenamiento Ambiental Territorial y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clientData/>
  </xdr:twoCellAnchor>
  <xdr:twoCellAnchor>
    <xdr:from>
      <xdr:col>0</xdr:col>
      <xdr:colOff>0</xdr:colOff>
      <xdr:row>0</xdr:row>
      <xdr:rowOff>0</xdr:rowOff>
    </xdr:from>
    <xdr:to>
      <xdr:col>0</xdr:col>
      <xdr:colOff>1209675</xdr:colOff>
      <xdr:row>0</xdr:row>
      <xdr:rowOff>1581150</xdr:rowOff>
    </xdr:to>
    <xdr:pic>
      <xdr:nvPicPr>
        <xdr:cNvPr id="4" name="1 Imagen" descr="ESCUDO-transp-lema-blanco.png">
          <a:extLst>
            <a:ext uri="{FF2B5EF4-FFF2-40B4-BE49-F238E27FC236}">
              <a16:creationId xmlns:a16="http://schemas.microsoft.com/office/drawing/2014/main" id="{1FA4DF99-198A-43DC-8DAD-6F4702F0167E}"/>
            </a:ext>
          </a:extLst>
        </xdr:cNvPr>
        <xdr:cNvPicPr>
          <a:picLocks noChangeAspect="1"/>
        </xdr:cNvPicPr>
      </xdr:nvPicPr>
      <xdr:blipFill>
        <a:blip xmlns:r="http://schemas.openxmlformats.org/officeDocument/2006/relationships" r:embed="rId1" cstate="print"/>
        <a:srcRect/>
        <a:stretch>
          <a:fillRect/>
        </a:stretch>
      </xdr:blipFill>
      <xdr:spPr bwMode="auto">
        <a:xfrm>
          <a:off x="0" y="0"/>
          <a:ext cx="762000" cy="190500"/>
        </a:xfrm>
        <a:prstGeom prst="rect">
          <a:avLst/>
        </a:prstGeom>
        <a:noFill/>
        <a:ln w="9525">
          <a:noFill/>
          <a:miter lim="800000"/>
          <a:headEnd/>
          <a:tailEnd/>
        </a:ln>
      </xdr:spPr>
    </xdr:pic>
    <xdr:clientData/>
  </xdr:twoCellAnchor>
  <xdr:twoCellAnchor>
    <xdr:from>
      <xdr:col>0</xdr:col>
      <xdr:colOff>1266825</xdr:colOff>
      <xdr:row>0</xdr:row>
      <xdr:rowOff>428625</xdr:rowOff>
    </xdr:from>
    <xdr:to>
      <xdr:col>1</xdr:col>
      <xdr:colOff>2924175</xdr:colOff>
      <xdr:row>0</xdr:row>
      <xdr:rowOff>1200150</xdr:rowOff>
    </xdr:to>
    <xdr:sp macro="" textlink="">
      <xdr:nvSpPr>
        <xdr:cNvPr id="5" name="3 CuadroTexto">
          <a:extLst>
            <a:ext uri="{FF2B5EF4-FFF2-40B4-BE49-F238E27FC236}">
              <a16:creationId xmlns:a16="http://schemas.microsoft.com/office/drawing/2014/main" id="{C57F1A09-4EF7-4C1D-A634-14C8208115D7}"/>
            </a:ext>
          </a:extLst>
        </xdr:cNvPr>
        <xdr:cNvSpPr txBox="1"/>
      </xdr:nvSpPr>
      <xdr:spPr bwMode="auto">
        <a:xfrm>
          <a:off x="762000" y="190500"/>
          <a:ext cx="76200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de Ordenamiento Ambiental Territorial y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119063</xdr:colOff>
      <xdr:row>0</xdr:row>
      <xdr:rowOff>107157</xdr:rowOff>
    </xdr:from>
    <xdr:to>
      <xdr:col>1</xdr:col>
      <xdr:colOff>571501</xdr:colOff>
      <xdr:row>0</xdr:row>
      <xdr:rowOff>1750220</xdr:rowOff>
    </xdr:to>
    <xdr:pic>
      <xdr:nvPicPr>
        <xdr:cNvPr id="2" name="1 Imagen" descr="ESCUDO-transp-lema-blanco.png">
          <a:extLst>
            <a:ext uri="{FF2B5EF4-FFF2-40B4-BE49-F238E27FC236}">
              <a16:creationId xmlns:a16="http://schemas.microsoft.com/office/drawing/2014/main" id="{F1D47FA6-BEA6-46A2-947D-085741ED2E5F}"/>
            </a:ext>
          </a:extLst>
        </xdr:cNvPr>
        <xdr:cNvPicPr>
          <a:picLocks noChangeAspect="1"/>
        </xdr:cNvPicPr>
      </xdr:nvPicPr>
      <xdr:blipFill>
        <a:blip xmlns:r="http://schemas.openxmlformats.org/officeDocument/2006/relationships" r:embed="rId1" cstate="print"/>
        <a:srcRect/>
        <a:stretch>
          <a:fillRect/>
        </a:stretch>
      </xdr:blipFill>
      <xdr:spPr bwMode="auto">
        <a:xfrm>
          <a:off x="119063" y="107157"/>
          <a:ext cx="1119188" cy="1281113"/>
        </a:xfrm>
        <a:prstGeom prst="rect">
          <a:avLst/>
        </a:prstGeom>
        <a:noFill/>
        <a:ln w="9525">
          <a:noFill/>
          <a:miter lim="800000"/>
          <a:headEnd/>
          <a:tailEnd/>
        </a:ln>
      </xdr:spPr>
    </xdr:pic>
    <xdr:clientData/>
  </xdr:twoCellAnchor>
  <xdr:twoCellAnchor>
    <xdr:from>
      <xdr:col>1</xdr:col>
      <xdr:colOff>647700</xdr:colOff>
      <xdr:row>0</xdr:row>
      <xdr:rowOff>381000</xdr:rowOff>
    </xdr:from>
    <xdr:to>
      <xdr:col>4</xdr:col>
      <xdr:colOff>59531</xdr:colOff>
      <xdr:row>0</xdr:row>
      <xdr:rowOff>1440656</xdr:rowOff>
    </xdr:to>
    <xdr:sp macro="" textlink="">
      <xdr:nvSpPr>
        <xdr:cNvPr id="3" name="5 CuadroTexto">
          <a:extLst>
            <a:ext uri="{FF2B5EF4-FFF2-40B4-BE49-F238E27FC236}">
              <a16:creationId xmlns:a16="http://schemas.microsoft.com/office/drawing/2014/main" id="{5B7071D5-7FEB-49AA-8FAE-14C487844102}"/>
            </a:ext>
          </a:extLst>
        </xdr:cNvPr>
        <xdr:cNvSpPr txBox="1"/>
      </xdr:nvSpPr>
      <xdr:spPr bwMode="auto">
        <a:xfrm>
          <a:off x="1314450" y="381000"/>
          <a:ext cx="2412206" cy="10120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de Ordenamiento Ambiental Territorial y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clientData/>
  </xdr:twoCellAnchor>
  <xdr:twoCellAnchor>
    <xdr:from>
      <xdr:col>0</xdr:col>
      <xdr:colOff>119063</xdr:colOff>
      <xdr:row>0</xdr:row>
      <xdr:rowOff>107157</xdr:rowOff>
    </xdr:from>
    <xdr:to>
      <xdr:col>1</xdr:col>
      <xdr:colOff>571501</xdr:colOff>
      <xdr:row>0</xdr:row>
      <xdr:rowOff>1750220</xdr:rowOff>
    </xdr:to>
    <xdr:pic>
      <xdr:nvPicPr>
        <xdr:cNvPr id="4" name="1 Imagen" descr="ESCUDO-transp-lema-blanco.png">
          <a:extLst>
            <a:ext uri="{FF2B5EF4-FFF2-40B4-BE49-F238E27FC236}">
              <a16:creationId xmlns:a16="http://schemas.microsoft.com/office/drawing/2014/main" id="{BCB7150D-2DAE-4FBB-8946-EF28B542AC09}"/>
            </a:ext>
          </a:extLst>
        </xdr:cNvPr>
        <xdr:cNvPicPr>
          <a:picLocks noChangeAspect="1"/>
        </xdr:cNvPicPr>
      </xdr:nvPicPr>
      <xdr:blipFill>
        <a:blip xmlns:r="http://schemas.openxmlformats.org/officeDocument/2006/relationships" r:embed="rId1" cstate="print"/>
        <a:srcRect/>
        <a:stretch>
          <a:fillRect/>
        </a:stretch>
      </xdr:blipFill>
      <xdr:spPr bwMode="auto">
        <a:xfrm>
          <a:off x="119063" y="107157"/>
          <a:ext cx="1119188" cy="1281113"/>
        </a:xfrm>
        <a:prstGeom prst="rect">
          <a:avLst/>
        </a:prstGeom>
        <a:noFill/>
        <a:ln w="9525">
          <a:noFill/>
          <a:miter lim="800000"/>
          <a:headEnd/>
          <a:tailEnd/>
        </a:ln>
      </xdr:spPr>
    </xdr:pic>
    <xdr:clientData/>
  </xdr:twoCellAnchor>
  <xdr:twoCellAnchor>
    <xdr:from>
      <xdr:col>1</xdr:col>
      <xdr:colOff>647700</xdr:colOff>
      <xdr:row>0</xdr:row>
      <xdr:rowOff>381000</xdr:rowOff>
    </xdr:from>
    <xdr:to>
      <xdr:col>4</xdr:col>
      <xdr:colOff>59531</xdr:colOff>
      <xdr:row>0</xdr:row>
      <xdr:rowOff>1440656</xdr:rowOff>
    </xdr:to>
    <xdr:sp macro="" textlink="">
      <xdr:nvSpPr>
        <xdr:cNvPr id="5" name="5 CuadroTexto">
          <a:extLst>
            <a:ext uri="{FF2B5EF4-FFF2-40B4-BE49-F238E27FC236}">
              <a16:creationId xmlns:a16="http://schemas.microsoft.com/office/drawing/2014/main" id="{7B92FD40-48FF-4E4F-956F-EB9C1F9B4E47}"/>
            </a:ext>
          </a:extLst>
        </xdr:cNvPr>
        <xdr:cNvSpPr txBox="1"/>
      </xdr:nvSpPr>
      <xdr:spPr bwMode="auto">
        <a:xfrm>
          <a:off x="1314450" y="381000"/>
          <a:ext cx="2412206" cy="10120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de Ordenamiento Ambiental Territorial y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clientData/>
  </xdr:twoCellAnchor>
  <xdr:twoCellAnchor>
    <xdr:from>
      <xdr:col>0</xdr:col>
      <xdr:colOff>119063</xdr:colOff>
      <xdr:row>0</xdr:row>
      <xdr:rowOff>107157</xdr:rowOff>
    </xdr:from>
    <xdr:to>
      <xdr:col>1</xdr:col>
      <xdr:colOff>571501</xdr:colOff>
      <xdr:row>0</xdr:row>
      <xdr:rowOff>1750220</xdr:rowOff>
    </xdr:to>
    <xdr:pic>
      <xdr:nvPicPr>
        <xdr:cNvPr id="6" name="1 Imagen" descr="ESCUDO-transp-lema-blanco.png">
          <a:extLst>
            <a:ext uri="{FF2B5EF4-FFF2-40B4-BE49-F238E27FC236}">
              <a16:creationId xmlns:a16="http://schemas.microsoft.com/office/drawing/2014/main" id="{0B7EB9C9-1417-41DF-85EA-90342BEE1C4A}"/>
            </a:ext>
          </a:extLst>
        </xdr:cNvPr>
        <xdr:cNvPicPr>
          <a:picLocks noChangeAspect="1"/>
        </xdr:cNvPicPr>
      </xdr:nvPicPr>
      <xdr:blipFill>
        <a:blip xmlns:r="http://schemas.openxmlformats.org/officeDocument/2006/relationships" r:embed="rId1" cstate="print"/>
        <a:srcRect/>
        <a:stretch>
          <a:fillRect/>
        </a:stretch>
      </xdr:blipFill>
      <xdr:spPr bwMode="auto">
        <a:xfrm>
          <a:off x="119063" y="107157"/>
          <a:ext cx="1119188" cy="1281113"/>
        </a:xfrm>
        <a:prstGeom prst="rect">
          <a:avLst/>
        </a:prstGeom>
        <a:noFill/>
        <a:ln w="9525">
          <a:noFill/>
          <a:miter lim="800000"/>
          <a:headEnd/>
          <a:tailEnd/>
        </a:ln>
      </xdr:spPr>
    </xdr:pic>
    <xdr:clientData/>
  </xdr:twoCellAnchor>
  <xdr:twoCellAnchor>
    <xdr:from>
      <xdr:col>1</xdr:col>
      <xdr:colOff>647700</xdr:colOff>
      <xdr:row>0</xdr:row>
      <xdr:rowOff>381000</xdr:rowOff>
    </xdr:from>
    <xdr:to>
      <xdr:col>4</xdr:col>
      <xdr:colOff>59531</xdr:colOff>
      <xdr:row>0</xdr:row>
      <xdr:rowOff>1440656</xdr:rowOff>
    </xdr:to>
    <xdr:sp macro="" textlink="">
      <xdr:nvSpPr>
        <xdr:cNvPr id="7" name="5 CuadroTexto">
          <a:extLst>
            <a:ext uri="{FF2B5EF4-FFF2-40B4-BE49-F238E27FC236}">
              <a16:creationId xmlns:a16="http://schemas.microsoft.com/office/drawing/2014/main" id="{9DF5A698-AC2F-4ECF-AD3B-D0502FD6D9FA}"/>
            </a:ext>
          </a:extLst>
        </xdr:cNvPr>
        <xdr:cNvSpPr txBox="1"/>
      </xdr:nvSpPr>
      <xdr:spPr bwMode="auto">
        <a:xfrm>
          <a:off x="1314450" y="381000"/>
          <a:ext cx="2412206" cy="10120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de Ordenamiento Ambiental Territorial y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clientData/>
  </xdr:twoCellAnchor>
  <xdr:twoCellAnchor>
    <xdr:from>
      <xdr:col>0</xdr:col>
      <xdr:colOff>119063</xdr:colOff>
      <xdr:row>0</xdr:row>
      <xdr:rowOff>107157</xdr:rowOff>
    </xdr:from>
    <xdr:to>
      <xdr:col>1</xdr:col>
      <xdr:colOff>571501</xdr:colOff>
      <xdr:row>0</xdr:row>
      <xdr:rowOff>1750220</xdr:rowOff>
    </xdr:to>
    <xdr:pic>
      <xdr:nvPicPr>
        <xdr:cNvPr id="8" name="1 Imagen" descr="ESCUDO-transp-lema-blanco.png">
          <a:extLst>
            <a:ext uri="{FF2B5EF4-FFF2-40B4-BE49-F238E27FC236}">
              <a16:creationId xmlns:a16="http://schemas.microsoft.com/office/drawing/2014/main" id="{AC6972F4-BC5B-48E0-804E-A0E0D2117FF7}"/>
            </a:ext>
          </a:extLst>
        </xdr:cNvPr>
        <xdr:cNvPicPr>
          <a:picLocks noChangeAspect="1"/>
        </xdr:cNvPicPr>
      </xdr:nvPicPr>
      <xdr:blipFill>
        <a:blip xmlns:r="http://schemas.openxmlformats.org/officeDocument/2006/relationships" r:embed="rId1" cstate="print"/>
        <a:srcRect/>
        <a:stretch>
          <a:fillRect/>
        </a:stretch>
      </xdr:blipFill>
      <xdr:spPr bwMode="auto">
        <a:xfrm>
          <a:off x="119063" y="107157"/>
          <a:ext cx="1119188" cy="1281113"/>
        </a:xfrm>
        <a:prstGeom prst="rect">
          <a:avLst/>
        </a:prstGeom>
        <a:noFill/>
        <a:ln w="9525">
          <a:noFill/>
          <a:miter lim="800000"/>
          <a:headEnd/>
          <a:tailEnd/>
        </a:ln>
      </xdr:spPr>
    </xdr:pic>
    <xdr:clientData/>
  </xdr:twoCellAnchor>
  <xdr:twoCellAnchor>
    <xdr:from>
      <xdr:col>1</xdr:col>
      <xdr:colOff>647700</xdr:colOff>
      <xdr:row>0</xdr:row>
      <xdr:rowOff>381000</xdr:rowOff>
    </xdr:from>
    <xdr:to>
      <xdr:col>4</xdr:col>
      <xdr:colOff>59531</xdr:colOff>
      <xdr:row>0</xdr:row>
      <xdr:rowOff>1440656</xdr:rowOff>
    </xdr:to>
    <xdr:sp macro="" textlink="">
      <xdr:nvSpPr>
        <xdr:cNvPr id="9" name="5 CuadroTexto">
          <a:extLst>
            <a:ext uri="{FF2B5EF4-FFF2-40B4-BE49-F238E27FC236}">
              <a16:creationId xmlns:a16="http://schemas.microsoft.com/office/drawing/2014/main" id="{1DDAA3F4-7BDC-462D-B24B-50981AA19F87}"/>
            </a:ext>
          </a:extLst>
        </xdr:cNvPr>
        <xdr:cNvSpPr txBox="1"/>
      </xdr:nvSpPr>
      <xdr:spPr bwMode="auto">
        <a:xfrm>
          <a:off x="1314450" y="381000"/>
          <a:ext cx="2412206" cy="10120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de Ordenamiento Ambiental Territorial y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clientData/>
  </xdr:twoCellAnchor>
  <xdr:twoCellAnchor>
    <xdr:from>
      <xdr:col>0</xdr:col>
      <xdr:colOff>0</xdr:colOff>
      <xdr:row>0</xdr:row>
      <xdr:rowOff>0</xdr:rowOff>
    </xdr:from>
    <xdr:to>
      <xdr:col>9</xdr:col>
      <xdr:colOff>1122716</xdr:colOff>
      <xdr:row>0</xdr:row>
      <xdr:rowOff>1281113</xdr:rowOff>
    </xdr:to>
    <xdr:pic>
      <xdr:nvPicPr>
        <xdr:cNvPr id="10" name="1 Imagen" descr="ESCUDO-transp-lema-blanco.png">
          <a:extLst>
            <a:ext uri="{FF2B5EF4-FFF2-40B4-BE49-F238E27FC236}">
              <a16:creationId xmlns:a16="http://schemas.microsoft.com/office/drawing/2014/main" id="{98DCDEE5-8780-4C4F-BFF1-E362E4452140}"/>
            </a:ext>
          </a:extLst>
        </xdr:cNvPr>
        <xdr:cNvPicPr>
          <a:picLocks noChangeAspect="1"/>
        </xdr:cNvPicPr>
      </xdr:nvPicPr>
      <xdr:blipFill>
        <a:blip xmlns:r="http://schemas.openxmlformats.org/officeDocument/2006/relationships" r:embed="rId1" cstate="print"/>
        <a:srcRect/>
        <a:stretch>
          <a:fillRect/>
        </a:stretch>
      </xdr:blipFill>
      <xdr:spPr bwMode="auto">
        <a:xfrm>
          <a:off x="0" y="0"/>
          <a:ext cx="1122716" cy="1281113"/>
        </a:xfrm>
        <a:prstGeom prst="rect">
          <a:avLst/>
        </a:prstGeom>
        <a:noFill/>
        <a:ln w="9525">
          <a:noFill/>
          <a:miter lim="800000"/>
          <a:headEnd/>
          <a:tailEnd/>
        </a:ln>
      </xdr:spPr>
    </xdr:pic>
    <xdr:clientData/>
  </xdr:twoCellAnchor>
  <xdr:twoCellAnchor>
    <xdr:from>
      <xdr:col>9</xdr:col>
      <xdr:colOff>1202531</xdr:colOff>
      <xdr:row>0</xdr:row>
      <xdr:rowOff>285750</xdr:rowOff>
    </xdr:from>
    <xdr:to>
      <xdr:col>9</xdr:col>
      <xdr:colOff>3612973</xdr:colOff>
      <xdr:row>0</xdr:row>
      <xdr:rowOff>1297781</xdr:rowOff>
    </xdr:to>
    <xdr:sp macro="" textlink="">
      <xdr:nvSpPr>
        <xdr:cNvPr id="11" name="5 CuadroTexto">
          <a:extLst>
            <a:ext uri="{FF2B5EF4-FFF2-40B4-BE49-F238E27FC236}">
              <a16:creationId xmlns:a16="http://schemas.microsoft.com/office/drawing/2014/main" id="{FD03F554-5048-4321-9C3F-4583F99864EA}"/>
            </a:ext>
          </a:extLst>
        </xdr:cNvPr>
        <xdr:cNvSpPr txBox="1"/>
      </xdr:nvSpPr>
      <xdr:spPr bwMode="auto">
        <a:xfrm>
          <a:off x="1202531" y="285750"/>
          <a:ext cx="2410442" cy="10120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de Ordenamiento Ambiental Territorial y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58616</xdr:rowOff>
    </xdr:from>
    <xdr:to>
      <xdr:col>24</xdr:col>
      <xdr:colOff>696056</xdr:colOff>
      <xdr:row>0</xdr:row>
      <xdr:rowOff>945520</xdr:rowOff>
    </xdr:to>
    <xdr:grpSp>
      <xdr:nvGrpSpPr>
        <xdr:cNvPr id="2" name="1 Grupo">
          <a:extLst>
            <a:ext uri="{FF2B5EF4-FFF2-40B4-BE49-F238E27FC236}">
              <a16:creationId xmlns:a16="http://schemas.microsoft.com/office/drawing/2014/main" id="{03C0311B-2178-48E7-9037-9A52B482A0BF}"/>
            </a:ext>
          </a:extLst>
        </xdr:cNvPr>
        <xdr:cNvGrpSpPr>
          <a:grpSpLocks/>
        </xdr:cNvGrpSpPr>
      </xdr:nvGrpSpPr>
      <xdr:grpSpPr bwMode="auto">
        <a:xfrm>
          <a:off x="0" y="0"/>
          <a:ext cx="28937681" cy="0"/>
          <a:chOff x="57150" y="170793"/>
          <a:chExt cx="8104898" cy="1863624"/>
        </a:xfrm>
      </xdr:grpSpPr>
      <xdr:pic>
        <xdr:nvPicPr>
          <xdr:cNvPr id="3" name="1 Imagen" descr="ESCUDO-transp-lema-blanco.png">
            <a:extLst>
              <a:ext uri="{FF2B5EF4-FFF2-40B4-BE49-F238E27FC236}">
                <a16:creationId xmlns:a16="http://schemas.microsoft.com/office/drawing/2014/main" id="{BDD03DE2-1466-7AA9-31F1-5C1B6BCD21B1}"/>
              </a:ext>
            </a:extLst>
          </xdr:cNvPr>
          <xdr:cNvPicPr>
            <a:picLocks noChangeAspect="1"/>
          </xdr:cNvPicPr>
        </xdr:nvPicPr>
        <xdr:blipFill>
          <a:blip xmlns:r="http://schemas.openxmlformats.org/officeDocument/2006/relationships" r:embed="rId1" cstate="print"/>
          <a:srcRect/>
          <a:stretch>
            <a:fillRect/>
          </a:stretch>
        </xdr:blipFill>
        <xdr:spPr bwMode="auto">
          <a:xfrm>
            <a:off x="57150" y="170793"/>
            <a:ext cx="239804" cy="1863624"/>
          </a:xfrm>
          <a:prstGeom prst="rect">
            <a:avLst/>
          </a:prstGeom>
          <a:noFill/>
          <a:ln w="9525">
            <a:noFill/>
            <a:miter lim="800000"/>
            <a:headEnd/>
            <a:tailEnd/>
          </a:ln>
        </xdr:spPr>
      </xdr:pic>
      <xdr:sp macro="" textlink="">
        <xdr:nvSpPr>
          <xdr:cNvPr id="4" name="3 CuadroTexto">
            <a:extLst>
              <a:ext uri="{FF2B5EF4-FFF2-40B4-BE49-F238E27FC236}">
                <a16:creationId xmlns:a16="http://schemas.microsoft.com/office/drawing/2014/main" id="{EFDFD81C-321E-9DD3-FDC8-89E15D56DB7C}"/>
              </a:ext>
            </a:extLst>
          </xdr:cNvPr>
          <xdr:cNvSpPr txBox="1"/>
        </xdr:nvSpPr>
        <xdr:spPr>
          <a:xfrm>
            <a:off x="311869" y="310548"/>
            <a:ext cx="7850179" cy="15537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de Ordenamiento Ambiental Territorial y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119063</xdr:colOff>
      <xdr:row>0</xdr:row>
      <xdr:rowOff>107157</xdr:rowOff>
    </xdr:from>
    <xdr:to>
      <xdr:col>1</xdr:col>
      <xdr:colOff>571501</xdr:colOff>
      <xdr:row>0</xdr:row>
      <xdr:rowOff>1750220</xdr:rowOff>
    </xdr:to>
    <xdr:pic>
      <xdr:nvPicPr>
        <xdr:cNvPr id="2" name="1 Imagen" descr="ESCUDO-transp-lema-blanco.png">
          <a:extLst>
            <a:ext uri="{FF2B5EF4-FFF2-40B4-BE49-F238E27FC236}">
              <a16:creationId xmlns:a16="http://schemas.microsoft.com/office/drawing/2014/main" id="{F8759600-A8ED-4AAA-99F5-F3D966ECCBCF}"/>
            </a:ext>
          </a:extLst>
        </xdr:cNvPr>
        <xdr:cNvPicPr>
          <a:picLocks noChangeAspect="1"/>
        </xdr:cNvPicPr>
      </xdr:nvPicPr>
      <xdr:blipFill>
        <a:blip xmlns:r="http://schemas.openxmlformats.org/officeDocument/2006/relationships" r:embed="rId1" cstate="print"/>
        <a:srcRect/>
        <a:stretch>
          <a:fillRect/>
        </a:stretch>
      </xdr:blipFill>
      <xdr:spPr bwMode="auto">
        <a:xfrm>
          <a:off x="119063" y="107157"/>
          <a:ext cx="1252538" cy="1281113"/>
        </a:xfrm>
        <a:prstGeom prst="rect">
          <a:avLst/>
        </a:prstGeom>
        <a:noFill/>
        <a:ln w="9525">
          <a:noFill/>
          <a:miter lim="800000"/>
          <a:headEnd/>
          <a:tailEnd/>
        </a:ln>
      </xdr:spPr>
    </xdr:pic>
    <xdr:clientData/>
  </xdr:twoCellAnchor>
  <xdr:twoCellAnchor>
    <xdr:from>
      <xdr:col>1</xdr:col>
      <xdr:colOff>647700</xdr:colOff>
      <xdr:row>0</xdr:row>
      <xdr:rowOff>381000</xdr:rowOff>
    </xdr:from>
    <xdr:to>
      <xdr:col>4</xdr:col>
      <xdr:colOff>59531</xdr:colOff>
      <xdr:row>0</xdr:row>
      <xdr:rowOff>1440656</xdr:rowOff>
    </xdr:to>
    <xdr:sp macro="" textlink="">
      <xdr:nvSpPr>
        <xdr:cNvPr id="3" name="5 CuadroTexto">
          <a:extLst>
            <a:ext uri="{FF2B5EF4-FFF2-40B4-BE49-F238E27FC236}">
              <a16:creationId xmlns:a16="http://schemas.microsoft.com/office/drawing/2014/main" id="{C4E983CA-6A02-4CEE-B774-2D03809AC576}"/>
            </a:ext>
          </a:extLst>
        </xdr:cNvPr>
        <xdr:cNvSpPr txBox="1"/>
      </xdr:nvSpPr>
      <xdr:spPr bwMode="auto">
        <a:xfrm>
          <a:off x="1447800" y="381000"/>
          <a:ext cx="1812131" cy="10120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de Ordenamiento Ambiental Territorial y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clientData/>
  </xdr:twoCellAnchor>
  <xdr:twoCellAnchor>
    <xdr:from>
      <xdr:col>0</xdr:col>
      <xdr:colOff>119063</xdr:colOff>
      <xdr:row>0</xdr:row>
      <xdr:rowOff>107157</xdr:rowOff>
    </xdr:from>
    <xdr:to>
      <xdr:col>1</xdr:col>
      <xdr:colOff>571501</xdr:colOff>
      <xdr:row>0</xdr:row>
      <xdr:rowOff>1750220</xdr:rowOff>
    </xdr:to>
    <xdr:pic>
      <xdr:nvPicPr>
        <xdr:cNvPr id="4" name="1 Imagen" descr="ESCUDO-transp-lema-blanco.png">
          <a:extLst>
            <a:ext uri="{FF2B5EF4-FFF2-40B4-BE49-F238E27FC236}">
              <a16:creationId xmlns:a16="http://schemas.microsoft.com/office/drawing/2014/main" id="{F3706238-1E65-4986-8191-55D5E307222A}"/>
            </a:ext>
          </a:extLst>
        </xdr:cNvPr>
        <xdr:cNvPicPr>
          <a:picLocks noChangeAspect="1"/>
        </xdr:cNvPicPr>
      </xdr:nvPicPr>
      <xdr:blipFill>
        <a:blip xmlns:r="http://schemas.openxmlformats.org/officeDocument/2006/relationships" r:embed="rId1" cstate="print"/>
        <a:srcRect/>
        <a:stretch>
          <a:fillRect/>
        </a:stretch>
      </xdr:blipFill>
      <xdr:spPr bwMode="auto">
        <a:xfrm>
          <a:off x="119063" y="107157"/>
          <a:ext cx="1252538" cy="1281113"/>
        </a:xfrm>
        <a:prstGeom prst="rect">
          <a:avLst/>
        </a:prstGeom>
        <a:noFill/>
        <a:ln w="9525">
          <a:noFill/>
          <a:miter lim="800000"/>
          <a:headEnd/>
          <a:tailEnd/>
        </a:ln>
      </xdr:spPr>
    </xdr:pic>
    <xdr:clientData/>
  </xdr:twoCellAnchor>
  <xdr:twoCellAnchor>
    <xdr:from>
      <xdr:col>1</xdr:col>
      <xdr:colOff>647700</xdr:colOff>
      <xdr:row>0</xdr:row>
      <xdr:rowOff>381000</xdr:rowOff>
    </xdr:from>
    <xdr:to>
      <xdr:col>4</xdr:col>
      <xdr:colOff>59531</xdr:colOff>
      <xdr:row>0</xdr:row>
      <xdr:rowOff>1440656</xdr:rowOff>
    </xdr:to>
    <xdr:sp macro="" textlink="">
      <xdr:nvSpPr>
        <xdr:cNvPr id="5" name="5 CuadroTexto">
          <a:extLst>
            <a:ext uri="{FF2B5EF4-FFF2-40B4-BE49-F238E27FC236}">
              <a16:creationId xmlns:a16="http://schemas.microsoft.com/office/drawing/2014/main" id="{18F831B8-A665-4850-BB75-77FCC9D3A5D9}"/>
            </a:ext>
          </a:extLst>
        </xdr:cNvPr>
        <xdr:cNvSpPr txBox="1"/>
      </xdr:nvSpPr>
      <xdr:spPr bwMode="auto">
        <a:xfrm>
          <a:off x="1447800" y="381000"/>
          <a:ext cx="1812131" cy="10120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de Ordenamiento Ambiental Territorial y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clientData/>
  </xdr:twoCellAnchor>
  <xdr:twoCellAnchor>
    <xdr:from>
      <xdr:col>0</xdr:col>
      <xdr:colOff>119063</xdr:colOff>
      <xdr:row>0</xdr:row>
      <xdr:rowOff>107157</xdr:rowOff>
    </xdr:from>
    <xdr:to>
      <xdr:col>1</xdr:col>
      <xdr:colOff>571501</xdr:colOff>
      <xdr:row>0</xdr:row>
      <xdr:rowOff>1750220</xdr:rowOff>
    </xdr:to>
    <xdr:pic>
      <xdr:nvPicPr>
        <xdr:cNvPr id="6" name="1 Imagen" descr="ESCUDO-transp-lema-blanco.png">
          <a:extLst>
            <a:ext uri="{FF2B5EF4-FFF2-40B4-BE49-F238E27FC236}">
              <a16:creationId xmlns:a16="http://schemas.microsoft.com/office/drawing/2014/main" id="{7C42682A-D2AA-465E-8652-A140FA7C2D56}"/>
            </a:ext>
          </a:extLst>
        </xdr:cNvPr>
        <xdr:cNvPicPr>
          <a:picLocks noChangeAspect="1"/>
        </xdr:cNvPicPr>
      </xdr:nvPicPr>
      <xdr:blipFill>
        <a:blip xmlns:r="http://schemas.openxmlformats.org/officeDocument/2006/relationships" r:embed="rId1" cstate="print"/>
        <a:srcRect/>
        <a:stretch>
          <a:fillRect/>
        </a:stretch>
      </xdr:blipFill>
      <xdr:spPr bwMode="auto">
        <a:xfrm>
          <a:off x="119063" y="107157"/>
          <a:ext cx="1252538" cy="1281113"/>
        </a:xfrm>
        <a:prstGeom prst="rect">
          <a:avLst/>
        </a:prstGeom>
        <a:noFill/>
        <a:ln w="9525">
          <a:noFill/>
          <a:miter lim="800000"/>
          <a:headEnd/>
          <a:tailEnd/>
        </a:ln>
      </xdr:spPr>
    </xdr:pic>
    <xdr:clientData/>
  </xdr:twoCellAnchor>
  <xdr:twoCellAnchor>
    <xdr:from>
      <xdr:col>1</xdr:col>
      <xdr:colOff>647700</xdr:colOff>
      <xdr:row>0</xdr:row>
      <xdr:rowOff>381000</xdr:rowOff>
    </xdr:from>
    <xdr:to>
      <xdr:col>4</xdr:col>
      <xdr:colOff>59531</xdr:colOff>
      <xdr:row>0</xdr:row>
      <xdr:rowOff>1440656</xdr:rowOff>
    </xdr:to>
    <xdr:sp macro="" textlink="">
      <xdr:nvSpPr>
        <xdr:cNvPr id="7" name="5 CuadroTexto">
          <a:extLst>
            <a:ext uri="{FF2B5EF4-FFF2-40B4-BE49-F238E27FC236}">
              <a16:creationId xmlns:a16="http://schemas.microsoft.com/office/drawing/2014/main" id="{C14ABDDB-2AEC-43AA-BE2F-E25346E03726}"/>
            </a:ext>
          </a:extLst>
        </xdr:cNvPr>
        <xdr:cNvSpPr txBox="1"/>
      </xdr:nvSpPr>
      <xdr:spPr bwMode="auto">
        <a:xfrm>
          <a:off x="1447800" y="381000"/>
          <a:ext cx="1812131" cy="10120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de Ordenamiento Ambiental Territorial y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clientData/>
  </xdr:twoCellAnchor>
  <xdr:twoCellAnchor>
    <xdr:from>
      <xdr:col>0</xdr:col>
      <xdr:colOff>119063</xdr:colOff>
      <xdr:row>0</xdr:row>
      <xdr:rowOff>107157</xdr:rowOff>
    </xdr:from>
    <xdr:to>
      <xdr:col>1</xdr:col>
      <xdr:colOff>571501</xdr:colOff>
      <xdr:row>0</xdr:row>
      <xdr:rowOff>1750220</xdr:rowOff>
    </xdr:to>
    <xdr:pic>
      <xdr:nvPicPr>
        <xdr:cNvPr id="8" name="1 Imagen" descr="ESCUDO-transp-lema-blanco.png">
          <a:extLst>
            <a:ext uri="{FF2B5EF4-FFF2-40B4-BE49-F238E27FC236}">
              <a16:creationId xmlns:a16="http://schemas.microsoft.com/office/drawing/2014/main" id="{501C66EB-A106-4CF9-9328-A18671001D08}"/>
            </a:ext>
          </a:extLst>
        </xdr:cNvPr>
        <xdr:cNvPicPr>
          <a:picLocks noChangeAspect="1"/>
        </xdr:cNvPicPr>
      </xdr:nvPicPr>
      <xdr:blipFill>
        <a:blip xmlns:r="http://schemas.openxmlformats.org/officeDocument/2006/relationships" r:embed="rId1" cstate="print"/>
        <a:srcRect/>
        <a:stretch>
          <a:fillRect/>
        </a:stretch>
      </xdr:blipFill>
      <xdr:spPr bwMode="auto">
        <a:xfrm>
          <a:off x="119063" y="107157"/>
          <a:ext cx="1252538" cy="1281113"/>
        </a:xfrm>
        <a:prstGeom prst="rect">
          <a:avLst/>
        </a:prstGeom>
        <a:noFill/>
        <a:ln w="9525">
          <a:noFill/>
          <a:miter lim="800000"/>
          <a:headEnd/>
          <a:tailEnd/>
        </a:ln>
      </xdr:spPr>
    </xdr:pic>
    <xdr:clientData/>
  </xdr:twoCellAnchor>
  <xdr:twoCellAnchor>
    <xdr:from>
      <xdr:col>1</xdr:col>
      <xdr:colOff>647700</xdr:colOff>
      <xdr:row>0</xdr:row>
      <xdr:rowOff>381000</xdr:rowOff>
    </xdr:from>
    <xdr:to>
      <xdr:col>4</xdr:col>
      <xdr:colOff>59531</xdr:colOff>
      <xdr:row>0</xdr:row>
      <xdr:rowOff>1440656</xdr:rowOff>
    </xdr:to>
    <xdr:sp macro="" textlink="">
      <xdr:nvSpPr>
        <xdr:cNvPr id="9" name="5 CuadroTexto">
          <a:extLst>
            <a:ext uri="{FF2B5EF4-FFF2-40B4-BE49-F238E27FC236}">
              <a16:creationId xmlns:a16="http://schemas.microsoft.com/office/drawing/2014/main" id="{21B18568-A172-4207-A13A-AB8058E22DE8}"/>
            </a:ext>
          </a:extLst>
        </xdr:cNvPr>
        <xdr:cNvSpPr txBox="1"/>
      </xdr:nvSpPr>
      <xdr:spPr bwMode="auto">
        <a:xfrm>
          <a:off x="1447800" y="381000"/>
          <a:ext cx="1812131" cy="10120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de Ordenamiento Ambiental Territorial y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1209675</xdr:colOff>
      <xdr:row>0</xdr:row>
      <xdr:rowOff>1581150</xdr:rowOff>
    </xdr:to>
    <xdr:pic>
      <xdr:nvPicPr>
        <xdr:cNvPr id="2" name="1 Imagen" descr="ESCUDO-transp-lema-blanco.png">
          <a:extLst>
            <a:ext uri="{FF2B5EF4-FFF2-40B4-BE49-F238E27FC236}">
              <a16:creationId xmlns:a16="http://schemas.microsoft.com/office/drawing/2014/main" id="{A2343081-5546-4134-888F-693B2D34427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09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1266825</xdr:colOff>
      <xdr:row>0</xdr:row>
      <xdr:rowOff>428625</xdr:rowOff>
    </xdr:from>
    <xdr:to>
      <xdr:col>1</xdr:col>
      <xdr:colOff>3609975</xdr:colOff>
      <xdr:row>1</xdr:row>
      <xdr:rowOff>0</xdr:rowOff>
    </xdr:to>
    <xdr:sp macro="" textlink="">
      <xdr:nvSpPr>
        <xdr:cNvPr id="3" name="3 CuadroTexto">
          <a:extLst>
            <a:ext uri="{FF2B5EF4-FFF2-40B4-BE49-F238E27FC236}">
              <a16:creationId xmlns:a16="http://schemas.microsoft.com/office/drawing/2014/main" id="{7B139FA6-E275-4815-A8E6-E5457E3EC7F1}"/>
            </a:ext>
          </a:extLst>
        </xdr:cNvPr>
        <xdr:cNvSpPr txBox="1"/>
      </xdr:nvSpPr>
      <xdr:spPr bwMode="auto">
        <a:xfrm>
          <a:off x="1266825" y="171450"/>
          <a:ext cx="461962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General de Ordenamiento Ambiental Territorial y Coordinación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58616</xdr:rowOff>
    </xdr:from>
    <xdr:to>
      <xdr:col>19</xdr:col>
      <xdr:colOff>696056</xdr:colOff>
      <xdr:row>1</xdr:row>
      <xdr:rowOff>2545</xdr:rowOff>
    </xdr:to>
    <xdr:grpSp>
      <xdr:nvGrpSpPr>
        <xdr:cNvPr id="2" name="1 Grupo">
          <a:extLst>
            <a:ext uri="{FF2B5EF4-FFF2-40B4-BE49-F238E27FC236}">
              <a16:creationId xmlns:a16="http://schemas.microsoft.com/office/drawing/2014/main" id="{D41237F2-3856-4112-8461-D97E24A21D2E}"/>
            </a:ext>
          </a:extLst>
        </xdr:cNvPr>
        <xdr:cNvGrpSpPr>
          <a:grpSpLocks/>
        </xdr:cNvGrpSpPr>
      </xdr:nvGrpSpPr>
      <xdr:grpSpPr bwMode="auto">
        <a:xfrm>
          <a:off x="0" y="58616"/>
          <a:ext cx="20003231" cy="982154"/>
          <a:chOff x="57150" y="170793"/>
          <a:chExt cx="8104898" cy="1863624"/>
        </a:xfrm>
      </xdr:grpSpPr>
      <xdr:pic>
        <xdr:nvPicPr>
          <xdr:cNvPr id="3" name="1 Imagen" descr="ESCUDO-transp-lema-blanco.png">
            <a:extLst>
              <a:ext uri="{FF2B5EF4-FFF2-40B4-BE49-F238E27FC236}">
                <a16:creationId xmlns:a16="http://schemas.microsoft.com/office/drawing/2014/main" id="{D6C009EB-9589-4DC8-8DF4-64661F6444F6}"/>
              </a:ext>
            </a:extLst>
          </xdr:cNvPr>
          <xdr:cNvPicPr>
            <a:picLocks noChangeAspect="1"/>
          </xdr:cNvPicPr>
        </xdr:nvPicPr>
        <xdr:blipFill>
          <a:blip xmlns:r="http://schemas.openxmlformats.org/officeDocument/2006/relationships" r:embed="rId1" cstate="print"/>
          <a:srcRect/>
          <a:stretch>
            <a:fillRect/>
          </a:stretch>
        </xdr:blipFill>
        <xdr:spPr bwMode="auto">
          <a:xfrm>
            <a:off x="57150" y="170793"/>
            <a:ext cx="239804" cy="1863624"/>
          </a:xfrm>
          <a:prstGeom prst="rect">
            <a:avLst/>
          </a:prstGeom>
          <a:noFill/>
          <a:ln w="9525">
            <a:noFill/>
            <a:miter lim="800000"/>
            <a:headEnd/>
            <a:tailEnd/>
          </a:ln>
        </xdr:spPr>
      </xdr:pic>
      <xdr:sp macro="" textlink="">
        <xdr:nvSpPr>
          <xdr:cNvPr id="4" name="3 CuadroTexto">
            <a:extLst>
              <a:ext uri="{FF2B5EF4-FFF2-40B4-BE49-F238E27FC236}">
                <a16:creationId xmlns:a16="http://schemas.microsoft.com/office/drawing/2014/main" id="{7E61DFCF-BEC4-4108-8337-7B076F2E4EC6}"/>
              </a:ext>
            </a:extLst>
          </xdr:cNvPr>
          <xdr:cNvSpPr txBox="1"/>
        </xdr:nvSpPr>
        <xdr:spPr>
          <a:xfrm>
            <a:off x="311869" y="310548"/>
            <a:ext cx="7850179" cy="15537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de Ordenamiento Ambiental Territorial y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1209675</xdr:colOff>
      <xdr:row>0</xdr:row>
      <xdr:rowOff>1581150</xdr:rowOff>
    </xdr:to>
    <xdr:pic>
      <xdr:nvPicPr>
        <xdr:cNvPr id="2" name="1 Imagen" descr="ESCUDO-transp-lema-blanco.png">
          <a:extLst>
            <a:ext uri="{FF2B5EF4-FFF2-40B4-BE49-F238E27FC236}">
              <a16:creationId xmlns:a16="http://schemas.microsoft.com/office/drawing/2014/main" id="{B8DBD9D2-3886-41CE-8B50-60FE9441D9B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096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1266825</xdr:colOff>
      <xdr:row>0</xdr:row>
      <xdr:rowOff>428625</xdr:rowOff>
    </xdr:from>
    <xdr:to>
      <xdr:col>1</xdr:col>
      <xdr:colOff>3609975</xdr:colOff>
      <xdr:row>1</xdr:row>
      <xdr:rowOff>0</xdr:rowOff>
    </xdr:to>
    <xdr:sp macro="" textlink="">
      <xdr:nvSpPr>
        <xdr:cNvPr id="3" name="3 CuadroTexto">
          <a:extLst>
            <a:ext uri="{FF2B5EF4-FFF2-40B4-BE49-F238E27FC236}">
              <a16:creationId xmlns:a16="http://schemas.microsoft.com/office/drawing/2014/main" id="{F60A2689-A6BE-40A0-8FEC-CD4C9EFBCA86}"/>
            </a:ext>
          </a:extLst>
        </xdr:cNvPr>
        <xdr:cNvSpPr txBox="1"/>
      </xdr:nvSpPr>
      <xdr:spPr bwMode="auto">
        <a:xfrm>
          <a:off x="1266825" y="200025"/>
          <a:ext cx="569595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General de Ordenamiento Ambiental Territorial y Coordinación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rchivos\Documentos\MADS\2022\INFORMES%20DE%20GESTI&#211;N%202021\2_CRA\Revisiones\Ajustes_20042022\3.%20Formatos%20SINA%20-%20PAI%202021_CRA_20042022_en%20rev%20-Rafael%20V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rchivos\Documentos\MADS\2022\INFORMES%20DE%20GESTI&#211;N%202021\1_CRA\VERSI&#211;N%20FINAL%20CRA\2.%20Formatos%20SINA%20-%20PAI%202021-%20CRA_13052022_OK.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rchivos\Descargas\9_feb_Formatos%20SINA%20-%20PAI%2020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rchivos\Documentos\MADS\2022\INFORMES%20DE%20GESTI&#211;N%202021\2_CRA\Formatos%20SINA%20-%20PAI%202021_CRA_Anexo%205.2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archivos\Documentos\MADS\FORMATOS\INFORMES%20DE%20GESTI&#211;N%202021\Formatos%20SINA_PAI%20202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rchivos\Documentos\MADS\FORMATOS\INFORMES%20DE%20GESTI&#211;N%202021\Formatos%20SINA%20-%20PAI%202021_En%20construccion.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rchivos\Documentos\MADS\CARS\1_CRA\INFORMES%20GESTION\GESTION%202020\Matriz%20seguimiento_CRA%20AJUSTES%20MADS_2604202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archivos\Descargas\CRA%20Sem%20II-202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aliri/OneDrive/Escritorio/CRA/informe%20de%20gestion/2022/SINA%20FINAL%20122021_REZAGOS_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Generales"/>
      <sheetName val="Anexo 1 Matriz Inf Gestión-GD"/>
      <sheetName val="Hoja1"/>
      <sheetName val="Anexo2 Protocolo Inf Gestión GD"/>
      <sheetName val="Anexo 5.1 INGRESOS (2)"/>
      <sheetName val="PROTOCOLO INGRESOS (2)"/>
      <sheetName val="Anexo 5.2. informe Gastos"/>
      <sheetName val="Anexo 5.2-A. Gastos"/>
      <sheetName val="Protocolo Gastos"/>
      <sheetName val="Anexo 3 Matriz IMG"/>
      <sheetName val="1POMCAS"/>
      <sheetName val="2PORH"/>
      <sheetName val="3PSMV"/>
      <sheetName val="4UsoAguas"/>
      <sheetName val="5PUEAA"/>
      <sheetName val="6POMCASejec"/>
      <sheetName val="7Clima"/>
      <sheetName val="8Suelo"/>
      <sheetName val="9RUNAP"/>
      <sheetName val="10Paramos"/>
      <sheetName val="11Forest"/>
      <sheetName val="12PlanesAP"/>
      <sheetName val="13Amenaz"/>
      <sheetName val="14Invasor"/>
      <sheetName val="15Restaura"/>
      <sheetName val="16MIZC"/>
      <sheetName val="17PGIRS"/>
      <sheetName val="18Sector"/>
      <sheetName val="19GAU"/>
      <sheetName val="20Negoc"/>
      <sheetName val="21TiempoT"/>
      <sheetName val="22Autor"/>
      <sheetName val="23Sanc"/>
      <sheetName val="24POT"/>
      <sheetName val="25Redes"/>
      <sheetName val="26SIAC"/>
      <sheetName val="27Educa"/>
      <sheetName val="Observa"/>
      <sheetName val="Formulas"/>
    </sheetNames>
    <sheetDataSet>
      <sheetData sheetId="0">
        <row r="5">
          <cell r="H5" t="str">
            <v>Corporación Autónoma Regional del Alto Magdalena - CAM</v>
          </cell>
        </row>
        <row r="6">
          <cell r="H6" t="str">
            <v>Corporación Autónoma Regional de Cundinamarca – CAR</v>
          </cell>
        </row>
        <row r="7">
          <cell r="H7" t="str">
            <v>Corporación Autónoma Regional del Canal del Dique – CARDIQUE</v>
          </cell>
        </row>
        <row r="8">
          <cell r="H8" t="str">
            <v>Corporación Autónoma Regional de Sucre – CARSUCRE</v>
          </cell>
        </row>
        <row r="9">
          <cell r="H9" t="str">
            <v>Corporación Autónoma Regional de Santander – CAS</v>
          </cell>
        </row>
        <row r="10">
          <cell r="H10" t="str">
            <v>Corporación para el Desarrollo Sostenible del Norte y el Oriente Amazónico – CDA</v>
          </cell>
        </row>
        <row r="11">
          <cell r="H11" t="str">
            <v>Corporación Autónoma Regional para la Defensa de la Meseta de Bucaramanga – CDMB</v>
          </cell>
        </row>
        <row r="12">
          <cell r="H12" t="str">
            <v>Corporación Autónoma Regional para el Desarrollo Sostenible del Chocó – CODECHOCÓ</v>
          </cell>
        </row>
        <row r="13">
          <cell r="H13" t="str">
            <v>Corporación para el Desarrollo Sostenible del Archipiélago de San Andrés, Providencia y Santa Catalina – CORALINA</v>
          </cell>
        </row>
        <row r="14">
          <cell r="H14" t="str">
            <v>Corporación Autónoma Regional del Centro de Antioquia – CORANTIOQUIA</v>
          </cell>
        </row>
        <row r="15">
          <cell r="H15" t="str">
            <v>Corporación para el Desarrollo Sostenible del Área de Manejo Especial de La Macarena – CORMACARENA</v>
          </cell>
        </row>
        <row r="16">
          <cell r="H16" t="str">
            <v>Corporación Autónoma Regional de las Cuencas de los Ríos Negro y Nare – CORNARE</v>
          </cell>
        </row>
        <row r="17">
          <cell r="H17" t="str">
            <v>Corporación Autónoma Regional del Magdalena – CORPAMAG</v>
          </cell>
        </row>
        <row r="18">
          <cell r="H18" t="str">
            <v>Corporación para el Desarrollo Sostenible del Sur de la Amazonia – CORPOAMAZONIA</v>
          </cell>
        </row>
        <row r="19">
          <cell r="H19" t="str">
            <v>Corporación Autónoma Regional de Boyacá – CORPOBOYACÁ</v>
          </cell>
        </row>
        <row r="20">
          <cell r="H20" t="str">
            <v>Corporación Autónoma Regional de Caldas – CORPOCALDAS</v>
          </cell>
        </row>
        <row r="21">
          <cell r="H21" t="str">
            <v>Corporación Autónoma Regional del Cesar – CORPOCESAR</v>
          </cell>
        </row>
        <row r="22">
          <cell r="H22" t="str">
            <v>Corporación Autónoma Regional de Chivor – CORPOCHIVOR</v>
          </cell>
        </row>
        <row r="23">
          <cell r="H23" t="str">
            <v>Corporación Autónoma Regional de La Guajira – CORPOGUAJIRA</v>
          </cell>
        </row>
        <row r="24">
          <cell r="H24" t="str">
            <v>Corporación Autónoma Regional del Guavio – CORPOGUAVIO</v>
          </cell>
        </row>
        <row r="25">
          <cell r="H25" t="str">
            <v>Corporación para el Desarrollo Sostenible de La Mojana y El San Jorge – CORPOMOJANA</v>
          </cell>
        </row>
        <row r="26">
          <cell r="H26" t="str">
            <v>Corporación Autónoma Regional de Nariño – CORPONARIÑO</v>
          </cell>
        </row>
        <row r="27">
          <cell r="H27" t="str">
            <v>Corporación Autónoma Regional de la Frontera Nororiental – CORPONOR</v>
          </cell>
        </row>
        <row r="28">
          <cell r="H28" t="str">
            <v>Corporación Autónoma Regional de Risaralda – CARDER</v>
          </cell>
        </row>
        <row r="29">
          <cell r="H29" t="str">
            <v>Corporación Autónoma Regional de la Orinoquia – CORPORINOQUIA</v>
          </cell>
        </row>
        <row r="30">
          <cell r="H30" t="str">
            <v>Corporación para el Desarrollo Sostenible del Urabá – CORPOURABA</v>
          </cell>
        </row>
        <row r="31">
          <cell r="H31" t="str">
            <v>Corporación Autónoma Regional del Tolima – CORTOLIMA</v>
          </cell>
        </row>
        <row r="32">
          <cell r="H32" t="str">
            <v>Corporación Autónoma Regional del Atlántico – CRA</v>
          </cell>
        </row>
        <row r="33">
          <cell r="H33" t="str">
            <v>Corporación Autónoma Regional del Cauca – CRC</v>
          </cell>
        </row>
        <row r="34">
          <cell r="H34" t="str">
            <v>Corporación Autónoma Regional del Quindío – CRQ</v>
          </cell>
        </row>
        <row r="35">
          <cell r="H35" t="str">
            <v>Corporación Autónoma Regional del Sur de Bolívar – CSB</v>
          </cell>
        </row>
        <row r="36">
          <cell r="H36" t="str">
            <v>Corporación Autónoma Regional del Valle del Cauca – CVC</v>
          </cell>
        </row>
        <row r="37">
          <cell r="H37" t="str">
            <v>Corporación Autónoma Regional de los Valles del Sinú y del San Jorge – CVS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33">
          <cell r="D33" t="str">
            <v>SI APLICA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Generales"/>
      <sheetName val="Anexo 1 - Inf Gest- Cons. Direc"/>
      <sheetName val="Anexo 1- Inf Gest- CARdinal"/>
      <sheetName val="Hoja1"/>
      <sheetName val="Anexo2 Protocolo Inf Gestión GD"/>
      <sheetName val="PROTOCOLO INGRESOS (2)"/>
      <sheetName val="Anexo 5.1 INGRESOS (2)"/>
      <sheetName val="Anexo 5.2. informe Gastos"/>
      <sheetName val="Anexo 5.2-A. Gastos (2)"/>
      <sheetName val="Protocolo Gastos"/>
    </sheetNames>
    <sheetDataSet>
      <sheetData sheetId="0">
        <row r="5">
          <cell r="C5" t="str">
            <v>Corporación Autónoma Regional del Atlántico – CRA</v>
          </cell>
          <cell r="H5" t="str">
            <v>Corporación Autónoma Regional del Alto Magdalena - CAM</v>
          </cell>
        </row>
        <row r="6">
          <cell r="C6" t="str">
            <v>2021-II</v>
          </cell>
          <cell r="H6" t="str">
            <v>Corporación Autónoma Regional de Cundinamarca – CAR</v>
          </cell>
        </row>
        <row r="7">
          <cell r="H7" t="str">
            <v>Corporación Autónoma Regional del Canal del Dique – CARDIQUE</v>
          </cell>
        </row>
        <row r="8">
          <cell r="H8" t="str">
            <v>Corporación Autónoma Regional de Sucre – CARSUCRE</v>
          </cell>
        </row>
        <row r="9">
          <cell r="H9" t="str">
            <v>Corporación Autónoma Regional de Santander – CAS</v>
          </cell>
        </row>
        <row r="10">
          <cell r="H10" t="str">
            <v>Corporación para el Desarrollo Sostenible del Norte y el Oriente Amazónico – CDA</v>
          </cell>
        </row>
        <row r="11">
          <cell r="H11" t="str">
            <v>Corporación Autónoma Regional para la Defensa de la Meseta de Bucaramanga – CDMB</v>
          </cell>
        </row>
        <row r="12">
          <cell r="H12" t="str">
            <v>Corporación Autónoma Regional para el Desarrollo Sostenible del Chocó – CODECHOCÓ</v>
          </cell>
        </row>
        <row r="13">
          <cell r="H13" t="str">
            <v>Corporación para el Desarrollo Sostenible del Archipiélago de San Andrés, Providencia y Santa Catalina – CORALINA</v>
          </cell>
        </row>
        <row r="14">
          <cell r="H14" t="str">
            <v>Corporación Autónoma Regional del Centro de Antioquia – CORANTIOQUIA</v>
          </cell>
        </row>
        <row r="15">
          <cell r="H15" t="str">
            <v>Corporación para el Desarrollo Sostenible del Área de Manejo Especial de La Macarena – CORMACARENA</v>
          </cell>
        </row>
        <row r="16">
          <cell r="H16" t="str">
            <v>Corporación Autónoma Regional de las Cuencas de los Ríos Negro y Nare – CORNARE</v>
          </cell>
        </row>
        <row r="17">
          <cell r="H17" t="str">
            <v>Corporación Autónoma Regional del Magdalena – CORPAMAG</v>
          </cell>
        </row>
        <row r="18">
          <cell r="H18" t="str">
            <v>Corporación para el Desarrollo Sostenible del Sur de la Amazonia – CORPOAMAZONIA</v>
          </cell>
        </row>
        <row r="19">
          <cell r="H19" t="str">
            <v>Corporación Autónoma Regional de Boyacá – CORPOBOYACÁ</v>
          </cell>
        </row>
        <row r="20">
          <cell r="H20" t="str">
            <v>Corporación Autónoma Regional de Caldas – CORPOCALDAS</v>
          </cell>
        </row>
        <row r="21">
          <cell r="H21" t="str">
            <v>Corporación Autónoma Regional del Cesar – CORPOCESAR</v>
          </cell>
        </row>
        <row r="22">
          <cell r="H22" t="str">
            <v>Corporación Autónoma Regional de Chivor – CORPOCHIVOR</v>
          </cell>
        </row>
        <row r="23">
          <cell r="H23" t="str">
            <v>Corporación Autónoma Regional de La Guajira – CORPOGUAJIRA</v>
          </cell>
        </row>
        <row r="24">
          <cell r="H24" t="str">
            <v>Corporación Autónoma Regional del Guavio – CORPOGUAVIO</v>
          </cell>
        </row>
        <row r="25">
          <cell r="H25" t="str">
            <v>Corporación para el Desarrollo Sostenible de La Mojana y El San Jorge – CORPOMOJANA</v>
          </cell>
        </row>
        <row r="26">
          <cell r="H26" t="str">
            <v>Corporación Autónoma Regional de Nariño – CORPONARIÑO</v>
          </cell>
        </row>
        <row r="27">
          <cell r="H27" t="str">
            <v>Corporación Autónoma Regional de la Frontera Nororiental – CORPONOR</v>
          </cell>
        </row>
        <row r="28">
          <cell r="H28" t="str">
            <v>Corporación Autónoma Regional de Risaralda – CARDER</v>
          </cell>
        </row>
        <row r="29">
          <cell r="H29" t="str">
            <v>Corporación Autónoma Regional de la Orinoquia – CORPORINOQUIA</v>
          </cell>
        </row>
        <row r="30">
          <cell r="H30" t="str">
            <v>Corporación para el Desarrollo Sostenible del Urabá – CORPOURABA</v>
          </cell>
        </row>
        <row r="31">
          <cell r="H31" t="str">
            <v>Corporación Autónoma Regional del Tolima – CORTOLIMA</v>
          </cell>
        </row>
        <row r="32">
          <cell r="H32" t="str">
            <v>Corporación Autónoma Regional del Atlántico – CRA</v>
          </cell>
        </row>
        <row r="33">
          <cell r="H33" t="str">
            <v>Corporación Autónoma Regional del Cauca – CRC</v>
          </cell>
        </row>
        <row r="34">
          <cell r="H34" t="str">
            <v>Corporación Autónoma Regional del Quindío – CRQ</v>
          </cell>
        </row>
        <row r="35">
          <cell r="H35" t="str">
            <v>Corporación Autónoma Regional del Sur de Bolívar – CSB</v>
          </cell>
        </row>
        <row r="36">
          <cell r="H36" t="str">
            <v>Corporación Autónoma Regional del Valle del Cauca – CVC</v>
          </cell>
        </row>
        <row r="37">
          <cell r="H37" t="str">
            <v>Corporación Autónoma Regional de los Valles del Sinú y del San Jorge – CVS</v>
          </cell>
        </row>
      </sheetData>
      <sheetData sheetId="1" refreshError="1"/>
      <sheetData sheetId="2">
        <row r="8">
          <cell r="A8" t="str">
            <v>LÍNEA ESTRATÉGICA No. 1. SOSTENIBILIDAD DEL RECURSO HÍDRICO</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Generales"/>
      <sheetName val="Anexo 1 Matriz Inf Gestión"/>
      <sheetName val="Hoja1"/>
      <sheetName val="Anexo 2 Protocolo Inf Gestión"/>
      <sheetName val="Informe Ingresos"/>
      <sheetName val="PROTOCOLO INGRESOS"/>
      <sheetName val="INGRESOS (2)"/>
      <sheetName val="INGRESOS"/>
      <sheetName val="Hoja3"/>
      <sheetName val="informe Gastos"/>
      <sheetName val="Hoja2"/>
      <sheetName val="Anexo 3 Matriz IMG"/>
      <sheetName val="1POMCAS"/>
      <sheetName val="2PORH"/>
      <sheetName val="3PSMV"/>
      <sheetName val="4UsoAguas"/>
      <sheetName val="5PUEAA"/>
      <sheetName val="6POMCASejec"/>
      <sheetName val="7Clima"/>
      <sheetName val="8Suelo"/>
      <sheetName val="9RUNAP"/>
      <sheetName val="10Paramos"/>
      <sheetName val="11Forest"/>
      <sheetName val="12PlanesAP"/>
      <sheetName val="13Amenaz"/>
      <sheetName val="14Invasor"/>
      <sheetName val="15Restaura"/>
      <sheetName val="16MIZC"/>
      <sheetName val="17PGIRS"/>
      <sheetName val="18Sector"/>
      <sheetName val="19GAU"/>
      <sheetName val="20Negoc"/>
      <sheetName val="21TiempoT"/>
      <sheetName val="22Autor"/>
      <sheetName val="23Sanc"/>
      <sheetName val="24POT"/>
      <sheetName val="25Redes"/>
      <sheetName val="26SIAC"/>
      <sheetName val="27Educa"/>
      <sheetName val="Observa"/>
      <sheetName val="Formulas"/>
    </sheetNames>
    <sheetDataSet>
      <sheetData sheetId="0">
        <row r="5">
          <cell r="H5" t="str">
            <v>Corporación Autónoma Regional del Alto Magdalena - CAM</v>
          </cell>
        </row>
        <row r="6">
          <cell r="H6" t="str">
            <v>Corporación Autónoma Regional de Cundinamarca – CAR</v>
          </cell>
        </row>
        <row r="7">
          <cell r="H7" t="str">
            <v>Corporación Autónoma Regional del Canal del Dique – CARDIQUE</v>
          </cell>
        </row>
        <row r="8">
          <cell r="H8" t="str">
            <v>Corporación Autónoma Regional de Sucre – CARSUCRE</v>
          </cell>
        </row>
        <row r="9">
          <cell r="H9" t="str">
            <v>Corporación Autónoma Regional de Santander – CAS</v>
          </cell>
        </row>
        <row r="10">
          <cell r="H10" t="str">
            <v>Corporación para el Desarrollo Sostenible del Norte y el Oriente Amazónico – CDA</v>
          </cell>
        </row>
        <row r="11">
          <cell r="H11" t="str">
            <v>Corporación Autónoma Regional para la Defensa de la Meseta de Bucaramanga – CDMB</v>
          </cell>
        </row>
        <row r="12">
          <cell r="H12" t="str">
            <v>Corporación Autónoma Regional para el Desarrollo Sostenible del Chocó – CODECHOCÓ</v>
          </cell>
        </row>
        <row r="13">
          <cell r="H13" t="str">
            <v>Corporación para el Desarrollo Sostenible del Archipiélago de San Andrés, Providencia y Santa Catalina – CORALINA</v>
          </cell>
        </row>
        <row r="14">
          <cell r="H14" t="str">
            <v>Corporación Autónoma Regional del Centro de Antioquia – CORANTIOQUIA</v>
          </cell>
        </row>
        <row r="15">
          <cell r="H15" t="str">
            <v>Corporación para el Desarrollo Sostenible del Área de Manejo Especial de La Macarena – CORMACARENA</v>
          </cell>
        </row>
        <row r="16">
          <cell r="H16" t="str">
            <v>Corporación Autónoma Regional de las Cuencas de los Ríos Negro y Nare – CORNARE</v>
          </cell>
        </row>
        <row r="17">
          <cell r="H17" t="str">
            <v>Corporación Autónoma Regional del Magdalena – CORPAMAG</v>
          </cell>
        </row>
        <row r="18">
          <cell r="H18" t="str">
            <v>Corporación para el Desarrollo Sostenible del Sur de la Amazonia – CORPOAMAZONIA</v>
          </cell>
        </row>
        <row r="19">
          <cell r="H19" t="str">
            <v>Corporación Autónoma Regional de Boyacá – CORPOBOYACÁ</v>
          </cell>
        </row>
        <row r="20">
          <cell r="H20" t="str">
            <v>Corporación Autónoma Regional de Caldas – CORPOCALDAS</v>
          </cell>
        </row>
        <row r="21">
          <cell r="H21" t="str">
            <v>Corporación Autónoma Regional del Cesar – CORPOCESAR</v>
          </cell>
        </row>
        <row r="22">
          <cell r="H22" t="str">
            <v>Corporación Autónoma Regional de Chivor – CORPOCHIVOR</v>
          </cell>
        </row>
        <row r="23">
          <cell r="H23" t="str">
            <v>Corporación Autónoma Regional de La Guajira – CORPOGUAJIRA</v>
          </cell>
        </row>
        <row r="24">
          <cell r="H24" t="str">
            <v>Corporación Autónoma Regional del Guavio – CORPOGUAVIO</v>
          </cell>
        </row>
        <row r="25">
          <cell r="H25" t="str">
            <v>Corporación para el Desarrollo Sostenible de La Mojana y El San Jorge – CORPOMOJANA</v>
          </cell>
        </row>
        <row r="26">
          <cell r="H26" t="str">
            <v>Corporación Autónoma Regional de Nariño – CORPONARIÑO</v>
          </cell>
        </row>
        <row r="27">
          <cell r="H27" t="str">
            <v>Corporación Autónoma Regional de la Frontera Nororiental – CORPONOR</v>
          </cell>
        </row>
        <row r="28">
          <cell r="H28" t="str">
            <v>Corporación Autónoma Regional de Risaralda – CARDER</v>
          </cell>
        </row>
        <row r="29">
          <cell r="H29" t="str">
            <v>Corporación Autónoma Regional de la Orinoquia – CORPORINOQUIA</v>
          </cell>
        </row>
        <row r="30">
          <cell r="H30" t="str">
            <v>Corporación para el Desarrollo Sostenible del Urabá – CORPOURABA</v>
          </cell>
        </row>
        <row r="31">
          <cell r="H31" t="str">
            <v>Corporación Autónoma Regional del Tolima – CORTOLIMA</v>
          </cell>
        </row>
        <row r="32">
          <cell r="H32" t="str">
            <v>Corporación Autónoma Regional del Atlántico – CRA</v>
          </cell>
        </row>
        <row r="33">
          <cell r="H33" t="str">
            <v>Corporación Autónoma Regional del Cauca – CRC</v>
          </cell>
        </row>
        <row r="34">
          <cell r="H34" t="str">
            <v>Corporación Autónoma Regional del Quindío – CRQ</v>
          </cell>
        </row>
        <row r="35">
          <cell r="H35" t="str">
            <v>Corporación Autónoma Regional del Sur de Bolívar – CSB</v>
          </cell>
        </row>
        <row r="36">
          <cell r="H36" t="str">
            <v>Corporación Autónoma Regional del Valle del Cauca – CVC</v>
          </cell>
        </row>
        <row r="37">
          <cell r="H37" t="str">
            <v>Corporación Autónoma Regional de los Valles del Sinú y del San Jorge – CVS</v>
          </cell>
        </row>
      </sheetData>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33">
          <cell r="D33" t="str">
            <v>SI APLICA</v>
          </cell>
          <cell r="F33" t="str">
            <v>SI SE REPORTA</v>
          </cell>
        </row>
        <row r="34">
          <cell r="D34" t="str">
            <v>NO APLICA</v>
          </cell>
          <cell r="F34" t="str">
            <v>NO SE REPORTA</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Generales"/>
      <sheetName val="Anexo 1 Matriz Inf Gestión-GD"/>
      <sheetName val="Hoja1"/>
      <sheetName val="Anexo2 Protocolo Inf Gestión GD"/>
      <sheetName val="Anexo 5.1 INGRESOS (2)"/>
      <sheetName val="PROTOCOLO INGRESOS (2)"/>
      <sheetName val="Anexo 5.2. informe Gastos"/>
      <sheetName val="Anexo 5.2-A. Gastos"/>
      <sheetName val="Protocolo Gastos"/>
      <sheetName val="Anexo 3 Matriz IMG"/>
      <sheetName val="1POMCAS"/>
      <sheetName val="2PORH"/>
      <sheetName val="3PSMV"/>
      <sheetName val="4UsoAguas"/>
      <sheetName val="5PUEAA"/>
      <sheetName val="6POMCASejec"/>
      <sheetName val="7Clima"/>
      <sheetName val="8Suelo"/>
      <sheetName val="9RUNAP"/>
      <sheetName val="10Paramos"/>
      <sheetName val="11Forest"/>
      <sheetName val="12PlanesAP"/>
      <sheetName val="13Amenaz"/>
      <sheetName val="14Invasor"/>
      <sheetName val="15Restaura"/>
      <sheetName val="16MIZC"/>
      <sheetName val="17PGIRS"/>
      <sheetName val="18Sector"/>
      <sheetName val="19GAU"/>
      <sheetName val="20Negoc"/>
      <sheetName val="21TiempoT"/>
      <sheetName val="22Autor"/>
      <sheetName val="23Sanc"/>
      <sheetName val="24POT"/>
      <sheetName val="25Redes"/>
      <sheetName val="26SIAC"/>
      <sheetName val="27Educa"/>
      <sheetName val="Observa"/>
      <sheetName val="Formulas"/>
    </sheetNames>
    <sheetDataSet>
      <sheetData sheetId="0">
        <row r="5">
          <cell r="H5" t="str">
            <v>Corporación Autónoma Regional del Alto Magdalena - CAM</v>
          </cell>
        </row>
        <row r="6">
          <cell r="H6" t="str">
            <v>Corporación Autónoma Regional de Cundinamarca – CAR</v>
          </cell>
        </row>
        <row r="7">
          <cell r="H7" t="str">
            <v>Corporación Autónoma Regional del Canal del Dique – CARDIQUE</v>
          </cell>
        </row>
        <row r="8">
          <cell r="H8" t="str">
            <v>Corporación Autónoma Regional de Sucre – CARSUCRE</v>
          </cell>
        </row>
        <row r="9">
          <cell r="H9" t="str">
            <v>Corporación Autónoma Regional de Santander – CAS</v>
          </cell>
        </row>
        <row r="10">
          <cell r="H10" t="str">
            <v>Corporación para el Desarrollo Sostenible del Norte y el Oriente Amazónico – CDA</v>
          </cell>
        </row>
        <row r="11">
          <cell r="H11" t="str">
            <v>Corporación Autónoma Regional para la Defensa de la Meseta de Bucaramanga – CDMB</v>
          </cell>
        </row>
        <row r="12">
          <cell r="H12" t="str">
            <v>Corporación Autónoma Regional para el Desarrollo Sostenible del Chocó – CODECHOCÓ</v>
          </cell>
        </row>
        <row r="13">
          <cell r="H13" t="str">
            <v>Corporación para el Desarrollo Sostenible del Archipiélago de San Andrés, Providencia y Santa Catalina – CORALINA</v>
          </cell>
        </row>
        <row r="14">
          <cell r="H14" t="str">
            <v>Corporación Autónoma Regional del Centro de Antioquia – CORANTIOQUIA</v>
          </cell>
        </row>
        <row r="15">
          <cell r="H15" t="str">
            <v>Corporación para el Desarrollo Sostenible del Área de Manejo Especial de La Macarena – CORMACARENA</v>
          </cell>
        </row>
        <row r="16">
          <cell r="H16" t="str">
            <v>Corporación Autónoma Regional de las Cuencas de los Ríos Negro y Nare – CORNARE</v>
          </cell>
        </row>
        <row r="17">
          <cell r="H17" t="str">
            <v>Corporación Autónoma Regional del Magdalena – CORPAMAG</v>
          </cell>
        </row>
        <row r="18">
          <cell r="H18" t="str">
            <v>Corporación para el Desarrollo Sostenible del Sur de la Amazonia – CORPOAMAZONIA</v>
          </cell>
        </row>
        <row r="19">
          <cell r="H19" t="str">
            <v>Corporación Autónoma Regional de Boyacá – CORPOBOYACÁ</v>
          </cell>
        </row>
        <row r="20">
          <cell r="H20" t="str">
            <v>Corporación Autónoma Regional de Caldas – CORPOCALDAS</v>
          </cell>
        </row>
        <row r="21">
          <cell r="H21" t="str">
            <v>Corporación Autónoma Regional del Cesar – CORPOCESAR</v>
          </cell>
        </row>
        <row r="22">
          <cell r="H22" t="str">
            <v>Corporación Autónoma Regional de Chivor – CORPOCHIVOR</v>
          </cell>
        </row>
        <row r="23">
          <cell r="H23" t="str">
            <v>Corporación Autónoma Regional de La Guajira – CORPOGUAJIRA</v>
          </cell>
        </row>
        <row r="24">
          <cell r="H24" t="str">
            <v>Corporación Autónoma Regional del Guavio – CORPOGUAVIO</v>
          </cell>
        </row>
        <row r="25">
          <cell r="H25" t="str">
            <v>Corporación para el Desarrollo Sostenible de La Mojana y El San Jorge – CORPOMOJANA</v>
          </cell>
        </row>
        <row r="26">
          <cell r="H26" t="str">
            <v>Corporación Autónoma Regional de Nariño – CORPONARIÑO</v>
          </cell>
        </row>
        <row r="27">
          <cell r="H27" t="str">
            <v>Corporación Autónoma Regional de la Frontera Nororiental – CORPONOR</v>
          </cell>
        </row>
        <row r="28">
          <cell r="H28" t="str">
            <v>Corporación Autónoma Regional de Risaralda – CARDER</v>
          </cell>
        </row>
        <row r="29">
          <cell r="H29" t="str">
            <v>Corporación Autónoma Regional de la Orinoquia – CORPORINOQUIA</v>
          </cell>
        </row>
        <row r="30">
          <cell r="H30" t="str">
            <v>Corporación para el Desarrollo Sostenible del Urabá – CORPOURABA</v>
          </cell>
        </row>
        <row r="31">
          <cell r="H31" t="str">
            <v>Corporación Autónoma Regional del Tolima – CORTOLIMA</v>
          </cell>
        </row>
        <row r="32">
          <cell r="H32" t="str">
            <v>Corporación Autónoma Regional del Atlántico – CRA</v>
          </cell>
        </row>
        <row r="33">
          <cell r="H33" t="str">
            <v>Corporación Autónoma Regional del Cauca – CRC</v>
          </cell>
        </row>
        <row r="34">
          <cell r="H34" t="str">
            <v>Corporación Autónoma Regional del Quindío – CRQ</v>
          </cell>
        </row>
        <row r="35">
          <cell r="H35" t="str">
            <v>Corporación Autónoma Regional del Sur de Bolívar – CSB</v>
          </cell>
        </row>
        <row r="36">
          <cell r="H36" t="str">
            <v>Corporación Autónoma Regional del Valle del Cauca – CVC</v>
          </cell>
        </row>
        <row r="37">
          <cell r="H37" t="str">
            <v>Corporación Autónoma Regional de los Valles del Sinú y del San Jorge – CVS</v>
          </cell>
        </row>
      </sheetData>
      <sheetData sheetId="1">
        <row r="8">
          <cell r="A8" t="str">
            <v>LÍNEA ESTRATÉGICA No. 1. SOSTENIBILIDAD DEL RECURSO HÍDRICO</v>
          </cell>
        </row>
      </sheetData>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33">
          <cell r="D33" t="str">
            <v>SI APLICA</v>
          </cell>
          <cell r="F33" t="str">
            <v>SI SE REPORTA</v>
          </cell>
        </row>
        <row r="34">
          <cell r="D34" t="str">
            <v>NO APLICA</v>
          </cell>
          <cell r="F34" t="str">
            <v>NO SE REPORTA</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Generales"/>
      <sheetName val="Anexo 1 Matriz Inf Gestión"/>
      <sheetName val="Hoja1"/>
      <sheetName val="Informe Ingresos"/>
      <sheetName val="PROTOCOLO INGRESOS"/>
      <sheetName val="informe Gastos"/>
      <sheetName val="PROTOCOLO GASTOS"/>
      <sheetName val="Anexo 3 Matriz IMG"/>
      <sheetName val="1POMCAS"/>
      <sheetName val="2PORH"/>
      <sheetName val="3PSMV"/>
      <sheetName val="4UsoAguas"/>
      <sheetName val="5PUEAA"/>
      <sheetName val="6POMCASejec"/>
      <sheetName val="7Clima"/>
      <sheetName val="8Suelo"/>
      <sheetName val="9RUNAP"/>
      <sheetName val="10Paramos"/>
      <sheetName val="11Forest"/>
      <sheetName val="12PlanesAP"/>
      <sheetName val="13Amenaz"/>
      <sheetName val="14Invasor"/>
      <sheetName val="15Restaura"/>
      <sheetName val="16MIZC"/>
      <sheetName val="17PGIRS"/>
      <sheetName val="18Sector"/>
      <sheetName val="19GAU"/>
      <sheetName val="20Negoc"/>
      <sheetName val="21TiempoT"/>
      <sheetName val="22Autor"/>
      <sheetName val="23Sanc"/>
      <sheetName val="24POT"/>
      <sheetName val="25Redes"/>
      <sheetName val="26SIAC"/>
      <sheetName val="27Educa"/>
      <sheetName val="Observa"/>
      <sheetName val="Formulas"/>
      <sheetName val="Anexo 2 Protocolo Inf Gestión"/>
    </sheetNames>
    <sheetDataSet>
      <sheetData sheetId="0">
        <row r="5">
          <cell r="H5" t="str">
            <v>Corporación Autónoma Regional del Alto Magdalena - CAM</v>
          </cell>
        </row>
        <row r="6">
          <cell r="H6" t="str">
            <v>Corporación Autónoma Regional de Cundinamarca – CAR</v>
          </cell>
        </row>
        <row r="7">
          <cell r="H7" t="str">
            <v>Corporación Autónoma Regional del Canal del Dique – CARDIQUE</v>
          </cell>
        </row>
        <row r="8">
          <cell r="H8" t="str">
            <v>Corporación Autónoma Regional de Sucre – CARSUCRE</v>
          </cell>
        </row>
        <row r="9">
          <cell r="H9" t="str">
            <v>Corporación Autónoma Regional de Santander – CAS</v>
          </cell>
        </row>
        <row r="10">
          <cell r="H10" t="str">
            <v>Corporación para el Desarrollo Sostenible del Norte y el Oriente Amazónico – CDA</v>
          </cell>
        </row>
        <row r="11">
          <cell r="H11" t="str">
            <v>Corporación Autónoma Regional para la Defensa de la Meseta de Bucaramanga – CDMB</v>
          </cell>
        </row>
        <row r="12">
          <cell r="H12" t="str">
            <v>Corporación Autónoma Regional para el Desarrollo Sostenible del Chocó – CODECHOCÓ</v>
          </cell>
        </row>
        <row r="13">
          <cell r="H13" t="str">
            <v>Corporación para el Desarrollo Sostenible del Archipiélago de San Andrés, Providencia y Santa Catalina – CORALINA</v>
          </cell>
        </row>
        <row r="14">
          <cell r="H14" t="str">
            <v>Corporación Autónoma Regional del Centro de Antioquia – CORANTIOQUIA</v>
          </cell>
        </row>
        <row r="15">
          <cell r="H15" t="str">
            <v>Corporación para el Desarrollo Sostenible del Área de Manejo Especial de La Macarena – CORMACARENA</v>
          </cell>
        </row>
        <row r="16">
          <cell r="H16" t="str">
            <v>Corporación Autónoma Regional de las Cuencas de los Ríos Negro y Nare – CORNARE</v>
          </cell>
        </row>
        <row r="17">
          <cell r="H17" t="str">
            <v>Corporación Autónoma Regional del Magdalena – CORPAMAG</v>
          </cell>
        </row>
        <row r="18">
          <cell r="H18" t="str">
            <v>Corporación para el Desarrollo Sostenible del Sur de la Amazonia – CORPOAMAZONIA</v>
          </cell>
        </row>
        <row r="19">
          <cell r="H19" t="str">
            <v>Corporación Autónoma Regional de Boyacá – CORPOBOYACÁ</v>
          </cell>
        </row>
        <row r="20">
          <cell r="H20" t="str">
            <v>Corporación Autónoma Regional de Caldas – CORPOCALDAS</v>
          </cell>
        </row>
        <row r="21">
          <cell r="H21" t="str">
            <v>Corporación Autónoma Regional del Cesar – CORPOCESAR</v>
          </cell>
        </row>
        <row r="22">
          <cell r="H22" t="str">
            <v>Corporación Autónoma Regional de Chivor – CORPOCHIVOR</v>
          </cell>
        </row>
        <row r="23">
          <cell r="H23" t="str">
            <v>Corporación Autónoma Regional de La Guajira – CORPOGUAJIRA</v>
          </cell>
        </row>
        <row r="24">
          <cell r="H24" t="str">
            <v>Corporación Autónoma Regional del Guavio – CORPOGUAVIO</v>
          </cell>
        </row>
        <row r="25">
          <cell r="H25" t="str">
            <v>Corporación para el Desarrollo Sostenible de La Mojana y El San Jorge – CORPOMOJANA</v>
          </cell>
        </row>
        <row r="26">
          <cell r="H26" t="str">
            <v>Corporación Autónoma Regional de Nariño – CORPONARIÑO</v>
          </cell>
        </row>
        <row r="27">
          <cell r="H27" t="str">
            <v>Corporación Autónoma Regional de la Frontera Nororiental – CORPONOR</v>
          </cell>
        </row>
        <row r="28">
          <cell r="H28" t="str">
            <v>Corporación Autónoma Regional de la Orinoquia – CORPORINOQUIA</v>
          </cell>
        </row>
        <row r="29">
          <cell r="H29" t="str">
            <v>Corporación para el Desarrollo Sostenible del Urabá – CORPOURABA</v>
          </cell>
        </row>
        <row r="30">
          <cell r="H30" t="str">
            <v>Corporación Autónoma Regional del Tolima – CORTOLIMA</v>
          </cell>
        </row>
        <row r="31">
          <cell r="H31" t="str">
            <v>Corporación Autónoma Regional del Atlántico – CRA</v>
          </cell>
        </row>
        <row r="32">
          <cell r="H32" t="str">
            <v>Corporación Autónoma Regional del Cauca – CRC</v>
          </cell>
        </row>
        <row r="33">
          <cell r="H33" t="str">
            <v>Corporación Autónoma Regional del Quindío – CRQ</v>
          </cell>
        </row>
        <row r="34">
          <cell r="H34" t="str">
            <v>Corporación Autónoma Regional del Sur de Bolívar – CSB</v>
          </cell>
        </row>
        <row r="35">
          <cell r="H35" t="str">
            <v>Corporación Autónoma Regional del Valle del Cauca – CVC</v>
          </cell>
        </row>
        <row r="36">
          <cell r="H36" t="str">
            <v>Corporación Autónoma Regional de los Valles del Sinú y del San Jorge – CVS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33">
          <cell r="D33" t="str">
            <v>SI APLICA</v>
          </cell>
          <cell r="F33" t="str">
            <v>SI SE REPORTA</v>
          </cell>
        </row>
        <row r="34">
          <cell r="D34" t="str">
            <v>NO APLICA</v>
          </cell>
          <cell r="F34" t="str">
            <v>NO SE REPORTA</v>
          </cell>
        </row>
      </sheetData>
      <sheetData sheetId="3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Generales"/>
      <sheetName val="Anexo 1 Matriz Inf Gestión-GD"/>
      <sheetName val="Hoja1"/>
      <sheetName val="Anexo2 Protocolo Inf Gestión GD"/>
      <sheetName val="Informe Ingresos"/>
      <sheetName val="PROTOCOLO INGRESOS"/>
      <sheetName val="INGRESOS-IDR"/>
      <sheetName val="INGRESOS"/>
      <sheetName val="informe Gastos"/>
      <sheetName val="Protocolo Gastos"/>
      <sheetName val="Anexo 3 Matriz IMG"/>
      <sheetName val="1POMCAS"/>
      <sheetName val="2PORH"/>
      <sheetName val="3PSMV"/>
      <sheetName val="4UsoAguas"/>
      <sheetName val="5PUEAA"/>
      <sheetName val="6POMCASejec"/>
      <sheetName val="7Clima"/>
      <sheetName val="8Suelo"/>
      <sheetName val="9RUNAP"/>
      <sheetName val="10Paramos"/>
      <sheetName val="11Forest"/>
      <sheetName val="12PlanesAP"/>
      <sheetName val="13Amenaz"/>
      <sheetName val="14Invasor"/>
      <sheetName val="15Restaura"/>
      <sheetName val="16MIZC"/>
      <sheetName val="17PGIRS"/>
      <sheetName val="18Sector"/>
      <sheetName val="19GAU"/>
      <sheetName val="20Negoc"/>
      <sheetName val="21TiempoT"/>
      <sheetName val="22Autor"/>
      <sheetName val="23Sanc"/>
      <sheetName val="24POT"/>
      <sheetName val="25Redes"/>
      <sheetName val="26SIAC"/>
      <sheetName val="27Educa"/>
      <sheetName val="Observa"/>
      <sheetName val="Formulas"/>
    </sheetNames>
    <sheetDataSet>
      <sheetData sheetId="0">
        <row r="5">
          <cell r="H5" t="str">
            <v>Corporación Autónoma Regional del Alto Magdalena - CAM</v>
          </cell>
        </row>
        <row r="6">
          <cell r="H6" t="str">
            <v>Corporación Autónoma Regional de Cundinamarca – CAR</v>
          </cell>
        </row>
        <row r="7">
          <cell r="H7" t="str">
            <v>Corporación Autónoma Regional del Canal del Dique – CARDIQUE</v>
          </cell>
        </row>
        <row r="8">
          <cell r="H8" t="str">
            <v>Corporación Autónoma Regional de Sucre – CARSUCRE</v>
          </cell>
        </row>
        <row r="9">
          <cell r="H9" t="str">
            <v>Corporación Autónoma Regional de Santander – CAS</v>
          </cell>
        </row>
        <row r="10">
          <cell r="H10" t="str">
            <v>Corporación para el Desarrollo Sostenible del Norte y el Oriente Amazónico – CDA</v>
          </cell>
        </row>
        <row r="11">
          <cell r="H11" t="str">
            <v>Corporación Autónoma Regional para la Defensa de la Meseta de Bucaramanga – CDMB</v>
          </cell>
        </row>
        <row r="12">
          <cell r="H12" t="str">
            <v>Corporación Autónoma Regional para el Desarrollo Sostenible del Chocó – CODECHOCÓ</v>
          </cell>
        </row>
        <row r="13">
          <cell r="H13" t="str">
            <v>Corporación para el Desarrollo Sostenible del Archipiélago de San Andrés, Providencia y Santa Catalina – CORALINA</v>
          </cell>
        </row>
        <row r="14">
          <cell r="H14" t="str">
            <v>Corporación Autónoma Regional del Centro de Antioquia – CORANTIOQUIA</v>
          </cell>
        </row>
        <row r="15">
          <cell r="H15" t="str">
            <v>Corporación para el Desarrollo Sostenible del Área de Manejo Especial de La Macarena – CORMACARENA</v>
          </cell>
        </row>
        <row r="16">
          <cell r="H16" t="str">
            <v>Corporación Autónoma Regional de las Cuencas de los Ríos Negro y Nare – CORNARE</v>
          </cell>
        </row>
        <row r="17">
          <cell r="H17" t="str">
            <v>Corporación Autónoma Regional del Magdalena – CORPAMAG</v>
          </cell>
        </row>
        <row r="18">
          <cell r="H18" t="str">
            <v>Corporación para el Desarrollo Sostenible del Sur de la Amazonia – CORPOAMAZONIA</v>
          </cell>
        </row>
        <row r="19">
          <cell r="H19" t="str">
            <v>Corporación Autónoma Regional de Boyacá – CORPOBOYACÁ</v>
          </cell>
        </row>
        <row r="20">
          <cell r="H20" t="str">
            <v>Corporación Autónoma Regional de Caldas – CORPOCALDAS</v>
          </cell>
        </row>
        <row r="21">
          <cell r="H21" t="str">
            <v>Corporación Autónoma Regional del Cesar – CORPOCESAR</v>
          </cell>
        </row>
        <row r="22">
          <cell r="H22" t="str">
            <v>Corporación Autónoma Regional de Chivor – CORPOCHIVOR</v>
          </cell>
        </row>
        <row r="23">
          <cell r="H23" t="str">
            <v>Corporación Autónoma Regional de La Guajira – CORPOGUAJIRA</v>
          </cell>
        </row>
        <row r="24">
          <cell r="H24" t="str">
            <v>Corporación Autónoma Regional del Guavio – CORPOGUAVIO</v>
          </cell>
        </row>
        <row r="25">
          <cell r="H25" t="str">
            <v>Corporación para el Desarrollo Sostenible de La Mojana y El San Jorge – CORPOMOJANA</v>
          </cell>
        </row>
        <row r="26">
          <cell r="H26" t="str">
            <v>Corporación Autónoma Regional de Nariño – CORPONARIÑO</v>
          </cell>
        </row>
        <row r="27">
          <cell r="H27" t="str">
            <v>Corporación Autónoma Regional de la Frontera Nororiental – CORPONOR</v>
          </cell>
        </row>
        <row r="28">
          <cell r="H28" t="str">
            <v>Corporación Autónoma Regional de Risaralda – CARDER</v>
          </cell>
        </row>
        <row r="29">
          <cell r="H29" t="str">
            <v>Corporación Autónoma Regional de la Orinoquia – CORPORINOQUIA</v>
          </cell>
        </row>
        <row r="30">
          <cell r="H30" t="str">
            <v>Corporación para el Desarrollo Sostenible del Urabá – CORPOURABA</v>
          </cell>
        </row>
        <row r="31">
          <cell r="H31" t="str">
            <v>Corporación Autónoma Regional del Tolima – CORTOLIMA</v>
          </cell>
        </row>
        <row r="32">
          <cell r="H32" t="str">
            <v>Corporación Autónoma Regional del Atlántico – CRA</v>
          </cell>
        </row>
        <row r="33">
          <cell r="H33" t="str">
            <v>Corporación Autónoma Regional del Cauca – CRC</v>
          </cell>
        </row>
        <row r="34">
          <cell r="H34" t="str">
            <v>Corporación Autónoma Regional del Quindío – CRQ</v>
          </cell>
        </row>
        <row r="35">
          <cell r="H35" t="str">
            <v>Corporación Autónoma Regional del Sur de Bolívar – CSB</v>
          </cell>
        </row>
        <row r="36">
          <cell r="H36" t="str">
            <v>Corporación Autónoma Regional del Valle del Cauca – CVC</v>
          </cell>
        </row>
        <row r="37">
          <cell r="H37" t="str">
            <v>Corporación Autónoma Regional de los Valles del Sinú y del San Jorge – CVS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33">
          <cell r="D33" t="str">
            <v>SI APLICA</v>
          </cell>
          <cell r="F33" t="str">
            <v>SI SE REPORTA</v>
          </cell>
        </row>
        <row r="34">
          <cell r="D34" t="str">
            <v>NO APLICA</v>
          </cell>
          <cell r="F34" t="str">
            <v>NO SE REPORTA</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Generales"/>
      <sheetName val="Anexo 1 Matriz Inf Gestión"/>
      <sheetName val="Hoja1"/>
      <sheetName val="Anexo 2 Protocolo Inf Gestión"/>
      <sheetName val="Informe Ingresos"/>
      <sheetName val="PROTOCOLO INGRESOS"/>
      <sheetName val="informe Gastos"/>
      <sheetName val="PROTOCOLO GASTOS"/>
      <sheetName val="Anexo 3 Matriz IMG"/>
      <sheetName val="1POMCAS"/>
      <sheetName val="2PORH"/>
      <sheetName val="3PSMV"/>
      <sheetName val="4UsoAguas"/>
      <sheetName val="5PUEAA"/>
      <sheetName val="6POMCASejec"/>
      <sheetName val="7Clima"/>
      <sheetName val="8Suelo"/>
      <sheetName val="9RUNAP"/>
      <sheetName val="10Paramos"/>
      <sheetName val="11Forest"/>
      <sheetName val="12PlanesAP"/>
      <sheetName val="13Amenaz"/>
      <sheetName val="14Invasor"/>
      <sheetName val="15Restaura"/>
      <sheetName val="16MIZC"/>
      <sheetName val="17PGIRS"/>
      <sheetName val="18Sector"/>
      <sheetName val="19GAU"/>
      <sheetName val="20Negoc"/>
      <sheetName val="21TiempoT"/>
      <sheetName val="22Autor"/>
      <sheetName val="23Sanc"/>
      <sheetName val="24POT"/>
      <sheetName val="25Redes"/>
      <sheetName val="26SIAC"/>
      <sheetName val="27Educa"/>
      <sheetName val="Observa"/>
      <sheetName val="Formulas"/>
    </sheetNames>
    <sheetDataSet>
      <sheetData sheetId="0">
        <row r="5">
          <cell r="H5" t="str">
            <v>Corporación Autónoma Regional del Alto Magdalena - CAM</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33">
          <cell r="D33" t="str">
            <v>SI APLICA</v>
          </cell>
          <cell r="F33" t="str">
            <v>SI SE REPORTA</v>
          </cell>
        </row>
        <row r="34">
          <cell r="D34" t="str">
            <v>NO APLICA</v>
          </cell>
          <cell r="F34" t="str">
            <v>NO SE REPORTA</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1 Matriz Inf Gestión-GD"/>
      <sheetName val="Anexo 1"/>
      <sheetName val="act_db"/>
      <sheetName val="INFO EJ"/>
      <sheetName val="PLAN FINANCIERO 2022"/>
      <sheetName val="INGRESOS CRA OCT2022"/>
      <sheetName val="INGRESOS A JUNIO 2022 EXCELL"/>
      <sheetName val="Anexo 5.2.A"/>
      <sheetName val="Anexo 5.2. informe Gastos"/>
      <sheetName val="Programa"/>
      <sheetName val="Productos Objetivos"/>
      <sheetName val="Actividades"/>
    </sheetNames>
    <sheetDataSet>
      <sheetData sheetId="0"/>
      <sheetData sheetId="1"/>
      <sheetData sheetId="2"/>
      <sheetData sheetId="3"/>
      <sheetData sheetId="4"/>
      <sheetData sheetId="5">
        <row r="7">
          <cell r="P7">
            <v>6553059364</v>
          </cell>
        </row>
        <row r="8">
          <cell r="P8">
            <v>1438556830</v>
          </cell>
        </row>
        <row r="15">
          <cell r="P15">
            <v>4625019505</v>
          </cell>
          <cell r="Y15">
            <v>4819727198.9099998</v>
          </cell>
        </row>
        <row r="16">
          <cell r="P16">
            <v>0</v>
          </cell>
          <cell r="Y16">
            <v>1002059516.41</v>
          </cell>
        </row>
        <row r="18">
          <cell r="P18">
            <v>1077817376</v>
          </cell>
          <cell r="Y18">
            <v>593181219</v>
          </cell>
        </row>
        <row r="19">
          <cell r="P19">
            <v>155532733</v>
          </cell>
          <cell r="Y19">
            <v>0</v>
          </cell>
        </row>
        <row r="22">
          <cell r="P22">
            <v>41626920</v>
          </cell>
          <cell r="Y22">
            <v>42012590</v>
          </cell>
        </row>
        <row r="23">
          <cell r="P23">
            <v>0</v>
          </cell>
          <cell r="Y23">
            <v>0</v>
          </cell>
        </row>
        <row r="26">
          <cell r="P26">
            <v>27317476</v>
          </cell>
          <cell r="Y26">
            <v>81041909.040000007</v>
          </cell>
        </row>
        <row r="28">
          <cell r="P28">
            <v>2197661971</v>
          </cell>
          <cell r="Y28">
            <v>2979268882</v>
          </cell>
        </row>
        <row r="29">
          <cell r="P29">
            <v>456916200</v>
          </cell>
          <cell r="Y29">
            <v>178956014</v>
          </cell>
        </row>
        <row r="31">
          <cell r="P31">
            <v>834308484</v>
          </cell>
          <cell r="Y31">
            <v>818141184</v>
          </cell>
        </row>
        <row r="32">
          <cell r="P32">
            <v>111151856</v>
          </cell>
          <cell r="Y32">
            <v>24643655</v>
          </cell>
        </row>
        <row r="34">
          <cell r="P34">
            <v>693307454</v>
          </cell>
          <cell r="Y34">
            <v>1341424386</v>
          </cell>
        </row>
        <row r="35">
          <cell r="P35">
            <v>91443724</v>
          </cell>
          <cell r="Y35">
            <v>3643559</v>
          </cell>
        </row>
        <row r="37">
          <cell r="P37">
            <v>3241435783</v>
          </cell>
          <cell r="Y37">
            <v>883788700</v>
          </cell>
        </row>
        <row r="38">
          <cell r="P38">
            <v>45404852</v>
          </cell>
          <cell r="Y38">
            <v>68273932</v>
          </cell>
        </row>
        <row r="40">
          <cell r="P40">
            <v>0</v>
          </cell>
          <cell r="Y40">
            <v>0</v>
          </cell>
        </row>
        <row r="41">
          <cell r="P41">
            <v>0</v>
          </cell>
          <cell r="Y41">
            <v>0</v>
          </cell>
        </row>
        <row r="45">
          <cell r="P45">
            <v>10403496</v>
          </cell>
          <cell r="Y45">
            <v>8054320</v>
          </cell>
        </row>
        <row r="46">
          <cell r="P46">
            <v>16040741</v>
          </cell>
          <cell r="Y46">
            <v>109025216</v>
          </cell>
        </row>
        <row r="51">
          <cell r="P51">
            <v>41595685850</v>
          </cell>
          <cell r="Y51">
            <v>29146577124.099998</v>
          </cell>
        </row>
        <row r="52">
          <cell r="P52">
            <v>9542269732</v>
          </cell>
          <cell r="Y52">
            <v>0</v>
          </cell>
        </row>
        <row r="57">
          <cell r="P57">
            <v>104438257</v>
          </cell>
          <cell r="Y57">
            <v>131640398.82000001</v>
          </cell>
        </row>
        <row r="61">
          <cell r="P61">
            <v>14416666667</v>
          </cell>
        </row>
        <row r="66">
          <cell r="P66">
            <v>1500000000</v>
          </cell>
          <cell r="Y66">
            <v>850900000</v>
          </cell>
        </row>
        <row r="67">
          <cell r="P67">
            <v>0</v>
          </cell>
        </row>
      </sheetData>
      <sheetData sheetId="6"/>
      <sheetData sheetId="7"/>
      <sheetData sheetId="8"/>
      <sheetData sheetId="9"/>
      <sheetData sheetId="10"/>
      <sheetData sheetId="1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Generales"/>
      <sheetName val="Anexo 1 - Inf Gest- Cons. Direc"/>
      <sheetName val="Anexo 1- Inf Gest- CARdinal"/>
      <sheetName val="Hoja1"/>
      <sheetName val="Anexo2 Protocolo Inf Gestión GD"/>
      <sheetName val="Anexo 5.1 INGRESOS (2)"/>
      <sheetName val="PROTOCOLO INGRESOS (2)"/>
      <sheetName val="Anexo 5.2. informe Gastos"/>
      <sheetName val="Anexo 5.2-A. Gastos"/>
      <sheetName val="Protocolo Gastos"/>
    </sheetNames>
    <sheetDataSet>
      <sheetData sheetId="0">
        <row r="5">
          <cell r="C5" t="str">
            <v>Corporación Autónoma Regional del Atlántico – CRA</v>
          </cell>
        </row>
      </sheetData>
      <sheetData sheetId="1"/>
      <sheetData sheetId="2"/>
      <sheetData sheetId="3"/>
      <sheetData sheetId="4"/>
      <sheetData sheetId="5"/>
      <sheetData sheetId="6"/>
      <sheetData sheetId="7"/>
      <sheetData sheetId="8"/>
      <sheetData sheetId="9"/>
    </sheetDataSet>
  </externalBook>
</externalLink>
</file>

<file path=xl/persons/person.xml><?xml version="1.0" encoding="utf-8"?>
<personList xmlns="http://schemas.microsoft.com/office/spreadsheetml/2018/threadedcomments" xmlns:x="http://schemas.openxmlformats.org/spreadsheetml/2006/main">
  <person displayName="Eliana Marcela Machado Hernandez" id="{9C249873-3251-4A27-9652-93F7414A97B6}" userId="Eliana Marcela Machado Hernandez" providerId="None"/>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J6" dT="2022-02-15T14:59:28.08" personId="{9C249873-3251-4A27-9652-93F7414A97B6}" id="{B5E11FDD-249A-46D6-9EB8-032219DE3320}">
    <text>El diligenciamiento de la información correspondiente a la relación de evidencias que soportan la ejecución de cada una de las actividades, ubicada en las columnas K a la R del Anexo 1, es opcional para el reporte de la vigencia 2021.</text>
  </threadedComment>
</ThreadedComments>
</file>

<file path=xl/threadedComments/threadedComment2.xml><?xml version="1.0" encoding="utf-8"?>
<ThreadedComments xmlns="http://schemas.microsoft.com/office/spreadsheetml/2018/threadedcomments" xmlns:x="http://schemas.openxmlformats.org/spreadsheetml/2006/main">
  <threadedComment ref="O6" dT="2022-02-15T14:59:28.08" personId="{9C249873-3251-4A27-9652-93F7414A97B6}" id="{D881A9D7-FDAF-40FE-A2FE-3BD702A45678}">
    <text>El diligenciamiento de la información correspondiente a la relación de evidencias que soportan la ejecución de cada una de las actividades, ubicada en las columnas K a la R del Anexo 1, es opcional para el reporte de la vigencia 2021.</text>
  </threadedComment>
</ThreadedComments>
</file>

<file path=xl/threadedComments/threadedComment3.xml><?xml version="1.0" encoding="utf-8"?>
<ThreadedComments xmlns="http://schemas.microsoft.com/office/spreadsheetml/2018/threadedcomments" xmlns:x="http://schemas.openxmlformats.org/spreadsheetml/2006/main">
  <threadedComment ref="J6" dT="2022-02-15T14:59:28.08" personId="{9C249873-3251-4A27-9652-93F7414A97B6}" id="{B5E11FDD-249A-46D7-9EB8-032219DE3320}">
    <text>El diligenciamiento de la información correspondiente a la relación de evidencias que soportan la ejecución de cada una de las actividades, ubicada en las columnas K a la R del Anexo 1, es opcional para el reporte de la vigencia 2021.</text>
  </threadedComment>
</ThreadedComment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gescaf@crautonoma.gov.co"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8.xml"/><Relationship Id="rId4" Type="http://schemas.microsoft.com/office/2017/10/relationships/threadedComment" Target="../threadedComments/threadedComment3.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microsoft.com/office/2017/10/relationships/threadedComment" Target="../threadedComments/threadedComment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R58"/>
  <sheetViews>
    <sheetView topLeftCell="A4" workbookViewId="0">
      <selection activeCell="C5" sqref="C5"/>
    </sheetView>
  </sheetViews>
  <sheetFormatPr baseColWidth="10" defaultColWidth="10.7109375" defaultRowHeight="15"/>
  <cols>
    <col min="1" max="1" width="5.85546875" customWidth="1"/>
    <col min="2" max="2" width="44.28515625" customWidth="1"/>
    <col min="3" max="3" width="68.42578125" customWidth="1"/>
    <col min="7" max="7" width="0" hidden="1" customWidth="1"/>
    <col min="8" max="8" width="15.42578125" hidden="1" customWidth="1"/>
    <col min="9" max="9" width="11.42578125" hidden="1" customWidth="1"/>
  </cols>
  <sheetData>
    <row r="1" spans="1:18" s="2" customFormat="1" ht="130.5" customHeight="1" thickBot="1">
      <c r="A1" s="18"/>
      <c r="B1" s="19"/>
      <c r="C1" s="20"/>
      <c r="D1"/>
      <c r="E1"/>
      <c r="F1"/>
      <c r="G1"/>
      <c r="H1"/>
      <c r="I1"/>
      <c r="J1"/>
      <c r="K1"/>
      <c r="L1"/>
      <c r="M1"/>
      <c r="N1"/>
      <c r="O1"/>
      <c r="P1"/>
      <c r="Q1"/>
      <c r="R1"/>
    </row>
    <row r="2" spans="1:18" s="3" customFormat="1" ht="39.75" customHeight="1" thickBot="1">
      <c r="A2" s="2166" t="s">
        <v>246</v>
      </c>
      <c r="B2" s="2167"/>
      <c r="C2" s="2168"/>
      <c r="D2"/>
      <c r="E2"/>
      <c r="F2"/>
      <c r="G2"/>
      <c r="H2"/>
      <c r="I2"/>
      <c r="J2"/>
      <c r="K2"/>
      <c r="L2"/>
      <c r="M2"/>
      <c r="N2"/>
      <c r="O2"/>
      <c r="P2"/>
      <c r="Q2"/>
      <c r="R2"/>
    </row>
    <row r="4" spans="1:18" ht="15.75" thickBot="1"/>
    <row r="5" spans="1:18" s="12" customFormat="1" ht="23.25" customHeight="1">
      <c r="B5" s="13" t="s">
        <v>57</v>
      </c>
      <c r="C5" s="14" t="s">
        <v>84</v>
      </c>
      <c r="H5" s="12" t="s">
        <v>58</v>
      </c>
    </row>
    <row r="6" spans="1:18" s="12" customFormat="1" ht="23.25" customHeight="1">
      <c r="B6" s="15" t="s">
        <v>98</v>
      </c>
      <c r="C6" s="16" t="s">
        <v>308</v>
      </c>
      <c r="H6" s="12" t="s">
        <v>59</v>
      </c>
    </row>
    <row r="7" spans="1:18" s="12" customFormat="1" ht="23.25" customHeight="1">
      <c r="B7" s="15" t="s">
        <v>99</v>
      </c>
      <c r="C7" s="16" t="s">
        <v>953</v>
      </c>
      <c r="H7" s="12" t="s">
        <v>60</v>
      </c>
    </row>
    <row r="8" spans="1:18" s="12" customFormat="1" ht="23.25" customHeight="1">
      <c r="B8" s="15" t="s">
        <v>0</v>
      </c>
      <c r="C8" s="16" t="s">
        <v>954</v>
      </c>
      <c r="H8" s="12" t="s">
        <v>61</v>
      </c>
    </row>
    <row r="9" spans="1:18" s="12" customFormat="1" ht="23.25" customHeight="1">
      <c r="B9" s="15" t="s">
        <v>1</v>
      </c>
      <c r="C9" s="16" t="s">
        <v>955</v>
      </c>
      <c r="H9" s="12" t="s">
        <v>62</v>
      </c>
    </row>
    <row r="10" spans="1:18" s="12" customFormat="1" ht="23.25" customHeight="1">
      <c r="B10" s="15" t="s">
        <v>2</v>
      </c>
      <c r="C10" s="663" t="s">
        <v>956</v>
      </c>
      <c r="H10" s="12" t="s">
        <v>63</v>
      </c>
    </row>
    <row r="11" spans="1:18" s="12" customFormat="1" ht="23.25" customHeight="1" thickBot="1">
      <c r="B11" s="17" t="s">
        <v>3</v>
      </c>
      <c r="C11" s="665" t="s">
        <v>957</v>
      </c>
      <c r="H11" s="12" t="s">
        <v>64</v>
      </c>
    </row>
    <row r="12" spans="1:18">
      <c r="H12" t="s">
        <v>65</v>
      </c>
    </row>
    <row r="13" spans="1:18">
      <c r="H13" t="s">
        <v>66</v>
      </c>
    </row>
    <row r="14" spans="1:18">
      <c r="H14" t="s">
        <v>67</v>
      </c>
    </row>
    <row r="15" spans="1:18">
      <c r="H15" t="s">
        <v>68</v>
      </c>
    </row>
    <row r="16" spans="1:18">
      <c r="H16" t="s">
        <v>69</v>
      </c>
    </row>
    <row r="17" spans="8:8">
      <c r="H17" t="s">
        <v>70</v>
      </c>
    </row>
    <row r="18" spans="8:8">
      <c r="H18" t="s">
        <v>71</v>
      </c>
    </row>
    <row r="19" spans="8:8">
      <c r="H19" t="s">
        <v>72</v>
      </c>
    </row>
    <row r="20" spans="8:8">
      <c r="H20" t="s">
        <v>73</v>
      </c>
    </row>
    <row r="21" spans="8:8">
      <c r="H21" t="s">
        <v>74</v>
      </c>
    </row>
    <row r="22" spans="8:8">
      <c r="H22" t="s">
        <v>75</v>
      </c>
    </row>
    <row r="23" spans="8:8">
      <c r="H23" t="s">
        <v>76</v>
      </c>
    </row>
    <row r="24" spans="8:8">
      <c r="H24" t="s">
        <v>77</v>
      </c>
    </row>
    <row r="25" spans="8:8">
      <c r="H25" t="s">
        <v>78</v>
      </c>
    </row>
    <row r="26" spans="8:8">
      <c r="H26" t="s">
        <v>79</v>
      </c>
    </row>
    <row r="27" spans="8:8">
      <c r="H27" t="s">
        <v>80</v>
      </c>
    </row>
    <row r="28" spans="8:8">
      <c r="H28" t="s">
        <v>315</v>
      </c>
    </row>
    <row r="29" spans="8:8">
      <c r="H29" t="s">
        <v>81</v>
      </c>
    </row>
    <row r="30" spans="8:8">
      <c r="H30" t="s">
        <v>82</v>
      </c>
    </row>
    <row r="31" spans="8:8">
      <c r="H31" t="s">
        <v>83</v>
      </c>
    </row>
    <row r="32" spans="8:8">
      <c r="H32" t="s">
        <v>84</v>
      </c>
    </row>
    <row r="33" spans="8:8">
      <c r="H33" t="s">
        <v>85</v>
      </c>
    </row>
    <row r="34" spans="8:8">
      <c r="H34" t="s">
        <v>86</v>
      </c>
    </row>
    <row r="35" spans="8:8">
      <c r="H35" t="s">
        <v>87</v>
      </c>
    </row>
    <row r="36" spans="8:8">
      <c r="H36" t="s">
        <v>88</v>
      </c>
    </row>
    <row r="37" spans="8:8">
      <c r="H37" t="s">
        <v>89</v>
      </c>
    </row>
    <row r="39" spans="8:8">
      <c r="H39" t="s">
        <v>90</v>
      </c>
    </row>
    <row r="40" spans="8:8">
      <c r="H40" t="s">
        <v>91</v>
      </c>
    </row>
    <row r="41" spans="8:8">
      <c r="H41" t="s">
        <v>92</v>
      </c>
    </row>
    <row r="42" spans="8:8">
      <c r="H42" t="s">
        <v>93</v>
      </c>
    </row>
    <row r="43" spans="8:8">
      <c r="H43" t="s">
        <v>94</v>
      </c>
    </row>
    <row r="44" spans="8:8">
      <c r="H44" t="s">
        <v>95</v>
      </c>
    </row>
    <row r="45" spans="8:8">
      <c r="H45" t="s">
        <v>96</v>
      </c>
    </row>
    <row r="46" spans="8:8">
      <c r="H46" t="s">
        <v>97</v>
      </c>
    </row>
    <row r="47" spans="8:8">
      <c r="H47" t="s">
        <v>303</v>
      </c>
    </row>
    <row r="48" spans="8:8">
      <c r="H48" t="s">
        <v>304</v>
      </c>
    </row>
    <row r="49" spans="8:8">
      <c r="H49" t="s">
        <v>305</v>
      </c>
    </row>
    <row r="50" spans="8:8">
      <c r="H50" t="s">
        <v>306</v>
      </c>
    </row>
    <row r="51" spans="8:8">
      <c r="H51" t="s">
        <v>307</v>
      </c>
    </row>
    <row r="52" spans="8:8">
      <c r="H52" t="s">
        <v>308</v>
      </c>
    </row>
    <row r="53" spans="8:8">
      <c r="H53" t="s">
        <v>309</v>
      </c>
    </row>
    <row r="54" spans="8:8">
      <c r="H54" t="s">
        <v>310</v>
      </c>
    </row>
    <row r="55" spans="8:8">
      <c r="H55" t="s">
        <v>311</v>
      </c>
    </row>
    <row r="56" spans="8:8">
      <c r="H56" t="s">
        <v>312</v>
      </c>
    </row>
    <row r="57" spans="8:8">
      <c r="H57" t="s">
        <v>313</v>
      </c>
    </row>
    <row r="58" spans="8:8">
      <c r="H58" t="s">
        <v>314</v>
      </c>
    </row>
  </sheetData>
  <mergeCells count="1">
    <mergeCell ref="A2:C2"/>
  </mergeCells>
  <dataValidations count="2">
    <dataValidation type="list" allowBlank="1" showInputMessage="1" showErrorMessage="1" prompt="Seleccione la CAR de la cual incorporara la información" sqref="C5" xr:uid="{DAEA1619-55B6-4B1C-A5F6-2CB213F79F12}">
      <formula1>Lista_CAR</formula1>
    </dataValidation>
    <dataValidation allowBlank="1" showInputMessage="1" showErrorMessage="1" prompt="Seleccione el perido a reportar" sqref="C6" xr:uid="{6982C705-FB30-4920-B519-EF30ED434B8B}"/>
  </dataValidations>
  <hyperlinks>
    <hyperlink ref="C10" r:id="rId1" display="gescaf@crautonoma.gov.co" xr:uid="{0203BF79-5F22-4C5F-8547-969844EA4519}"/>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C764CB-90E5-4C66-9EDA-2E7A1E0FF2D0}">
  <dimension ref="A1:AQ313"/>
  <sheetViews>
    <sheetView topLeftCell="A110" workbookViewId="0">
      <selection activeCell="L28" sqref="L28"/>
    </sheetView>
  </sheetViews>
  <sheetFormatPr baseColWidth="10" defaultColWidth="11.42578125" defaultRowHeight="12.75"/>
  <cols>
    <col min="1" max="1" width="74" style="4" customWidth="1"/>
    <col min="2" max="2" width="24.140625" style="4" customWidth="1"/>
    <col min="3" max="3" width="13" style="90" customWidth="1"/>
    <col min="4" max="4" width="12.28515625" style="90" customWidth="1"/>
    <col min="5" max="6" width="12.7109375" style="90" customWidth="1"/>
    <col min="7" max="7" width="16.140625" style="90" customWidth="1"/>
    <col min="8" max="8" width="15.7109375" style="90" customWidth="1"/>
    <col min="9" max="9" width="16.28515625" style="90" customWidth="1"/>
    <col min="10" max="10" width="92.5703125" style="4" customWidth="1"/>
    <col min="11" max="11" width="26.140625" style="4" hidden="1" customWidth="1"/>
    <col min="12" max="18" width="20.85546875" style="4" hidden="1" customWidth="1"/>
    <col min="19" max="19" width="19.140625" style="4" hidden="1" customWidth="1"/>
    <col min="20" max="20" width="19.42578125" style="90" customWidth="1"/>
    <col min="21" max="21" width="15.5703125" style="90" customWidth="1"/>
    <col min="22" max="22" width="18" style="90" customWidth="1"/>
    <col min="23" max="23" width="18" style="4" customWidth="1"/>
    <col min="24" max="24" width="21" style="4" customWidth="1"/>
    <col min="25" max="25" width="30.28515625" style="4" customWidth="1"/>
    <col min="26" max="26" width="25.7109375" style="4" customWidth="1"/>
    <col min="27" max="27" width="24.5703125" style="4" customWidth="1"/>
    <col min="28" max="28" width="19.28515625" style="264" customWidth="1"/>
    <col min="29" max="29" width="27.42578125" style="4" customWidth="1"/>
    <col min="30" max="30" width="20.85546875" style="90" customWidth="1"/>
    <col min="31" max="31" width="30.5703125" style="4" customWidth="1"/>
    <col min="32" max="32" width="27.85546875" style="4" customWidth="1"/>
    <col min="33" max="33" width="25.5703125" style="4" customWidth="1"/>
    <col min="34" max="34" width="16" style="4" customWidth="1"/>
    <col min="35" max="35" width="30.7109375" style="4" customWidth="1"/>
    <col min="36" max="36" width="31.85546875" style="4" customWidth="1"/>
    <col min="37" max="37" width="22.140625" style="4" customWidth="1"/>
    <col min="38" max="38" width="25" style="4" customWidth="1"/>
    <col min="39" max="39" width="23" style="4" customWidth="1"/>
    <col min="40" max="40" width="39.140625" style="4" customWidth="1"/>
    <col min="41" max="41" width="20.42578125" style="4" customWidth="1"/>
    <col min="42" max="16384" width="11.42578125" style="4"/>
  </cols>
  <sheetData>
    <row r="1" spans="1:43" ht="81.75" customHeight="1" thickBot="1">
      <c r="A1" s="2211"/>
      <c r="B1" s="2212"/>
      <c r="C1" s="2212"/>
      <c r="D1" s="2212"/>
      <c r="E1" s="2212"/>
      <c r="F1" s="2212"/>
      <c r="G1" s="2212"/>
      <c r="H1" s="2212"/>
      <c r="I1" s="2212"/>
      <c r="J1" s="2212"/>
      <c r="K1" s="2212"/>
      <c r="L1" s="2212"/>
      <c r="M1" s="2212"/>
      <c r="N1" s="2212"/>
      <c r="O1" s="2212"/>
      <c r="P1" s="2212"/>
      <c r="Q1" s="2212"/>
      <c r="R1" s="2212"/>
      <c r="S1" s="2212"/>
      <c r="T1" s="2212"/>
      <c r="U1" s="2212"/>
      <c r="V1" s="2212"/>
      <c r="W1" s="2212"/>
      <c r="X1" s="2212"/>
      <c r="Y1" s="2212"/>
      <c r="Z1" s="2212"/>
      <c r="AA1" s="2212"/>
      <c r="AB1" s="2212"/>
      <c r="AC1" s="2212"/>
      <c r="AD1" s="2212"/>
      <c r="AE1" s="2212"/>
      <c r="AF1" s="2212"/>
      <c r="AG1" s="2212"/>
      <c r="AH1" s="2212"/>
      <c r="AI1" s="2212"/>
      <c r="AJ1" s="2212"/>
      <c r="AK1" s="2212"/>
      <c r="AL1" s="2212"/>
      <c r="AM1" s="2212"/>
      <c r="AN1" s="2212"/>
      <c r="AO1" s="2213"/>
    </row>
    <row r="2" spans="1:43" s="5" customFormat="1" ht="26.25" customHeight="1">
      <c r="A2" s="2228" t="str">
        <f>+'[9]Datos Generales'!C5</f>
        <v>Corporación Autónoma Regional del Atlántico – CRA</v>
      </c>
      <c r="B2" s="2229"/>
      <c r="C2" s="2229"/>
      <c r="D2" s="2229"/>
      <c r="E2" s="2229"/>
      <c r="F2" s="2229"/>
      <c r="G2" s="2229"/>
      <c r="H2" s="2229"/>
      <c r="I2" s="2229"/>
      <c r="J2" s="2229"/>
      <c r="K2" s="2229"/>
      <c r="L2" s="2229"/>
      <c r="M2" s="2229"/>
      <c r="N2" s="2229"/>
      <c r="O2" s="2229"/>
      <c r="P2" s="2229"/>
      <c r="Q2" s="2229"/>
      <c r="R2" s="2229"/>
      <c r="S2" s="2229"/>
      <c r="T2" s="2229"/>
      <c r="U2" s="2229"/>
      <c r="V2" s="2229"/>
      <c r="W2" s="2229"/>
      <c r="X2" s="2229"/>
      <c r="Y2" s="2229"/>
      <c r="Z2" s="2229"/>
      <c r="AA2" s="2229"/>
      <c r="AB2" s="2229"/>
      <c r="AC2" s="2229"/>
      <c r="AD2" s="2229"/>
      <c r="AE2" s="2229"/>
      <c r="AF2" s="2229"/>
      <c r="AG2" s="2229"/>
      <c r="AH2" s="2229"/>
      <c r="AI2" s="2229"/>
      <c r="AJ2" s="2229"/>
      <c r="AK2" s="2229"/>
      <c r="AL2" s="2229"/>
      <c r="AM2" s="2229"/>
      <c r="AN2" s="2229"/>
      <c r="AO2" s="2230"/>
    </row>
    <row r="3" spans="1:43" s="5" customFormat="1" ht="18.75" customHeight="1" thickBot="1">
      <c r="A3" s="2231" t="s">
        <v>100</v>
      </c>
      <c r="B3" s="2232"/>
      <c r="C3" s="2232"/>
      <c r="D3" s="2232"/>
      <c r="E3" s="2232"/>
      <c r="F3" s="2232"/>
      <c r="G3" s="2232"/>
      <c r="H3" s="2232"/>
      <c r="I3" s="2232"/>
      <c r="J3" s="2232"/>
      <c r="K3" s="2232"/>
      <c r="L3" s="2232"/>
      <c r="M3" s="2232"/>
      <c r="N3" s="2232"/>
      <c r="O3" s="2232"/>
      <c r="P3" s="2232"/>
      <c r="Q3" s="2232"/>
      <c r="R3" s="2232"/>
      <c r="S3" s="2232"/>
      <c r="T3" s="2232"/>
      <c r="U3" s="2232"/>
      <c r="V3" s="2232"/>
      <c r="W3" s="2232"/>
      <c r="X3" s="2232"/>
      <c r="Y3" s="2232"/>
      <c r="Z3" s="2232"/>
      <c r="AA3" s="2232"/>
      <c r="AB3" s="2232"/>
      <c r="AC3" s="2232"/>
      <c r="AD3" s="2232"/>
      <c r="AE3" s="2232"/>
      <c r="AF3" s="2232"/>
      <c r="AG3" s="2232"/>
      <c r="AH3" s="2232"/>
      <c r="AI3" s="2232"/>
      <c r="AJ3" s="2232"/>
      <c r="AK3" s="2232"/>
      <c r="AL3" s="2232"/>
      <c r="AM3" s="2232"/>
      <c r="AN3" s="2232"/>
      <c r="AO3" s="2233"/>
    </row>
    <row r="4" spans="1:43" s="5" customFormat="1" ht="46.5" customHeight="1" thickBot="1">
      <c r="A4" s="117" t="s">
        <v>101</v>
      </c>
      <c r="B4" s="118" t="str">
        <f>+'Datos Generales'!C6</f>
        <v>2022-II</v>
      </c>
      <c r="C4" s="119"/>
      <c r="D4" s="119"/>
      <c r="E4" s="119"/>
      <c r="F4" s="119"/>
      <c r="G4" s="119"/>
      <c r="H4" s="119"/>
      <c r="I4" s="119"/>
      <c r="J4" s="118"/>
      <c r="K4" s="118"/>
      <c r="L4" s="118"/>
      <c r="M4" s="118"/>
      <c r="N4" s="118"/>
      <c r="O4" s="118"/>
      <c r="P4" s="118"/>
      <c r="Q4" s="118"/>
      <c r="R4" s="118"/>
      <c r="S4" s="118"/>
      <c r="T4" s="119"/>
      <c r="U4" s="119"/>
      <c r="V4" s="119"/>
      <c r="W4" s="118"/>
      <c r="X4" s="118"/>
      <c r="Y4" s="118"/>
      <c r="Z4" s="118"/>
      <c r="AA4" s="118"/>
      <c r="AB4" s="262"/>
      <c r="AC4" s="118"/>
      <c r="AD4" s="119"/>
      <c r="AE4" s="118"/>
      <c r="AF4" s="118"/>
      <c r="AG4" s="118"/>
      <c r="AH4" s="118"/>
      <c r="AI4" s="118"/>
      <c r="AJ4" s="118"/>
      <c r="AK4" s="918"/>
      <c r="AL4" s="118"/>
      <c r="AM4" s="118"/>
      <c r="AN4" s="118"/>
      <c r="AO4" s="120"/>
    </row>
    <row r="5" spans="1:43" ht="53.25" customHeight="1" thickBot="1">
      <c r="A5" s="2178" t="s">
        <v>365</v>
      </c>
      <c r="B5" s="2181" t="s">
        <v>32</v>
      </c>
      <c r="C5" s="2182"/>
      <c r="D5" s="2182"/>
      <c r="E5" s="2182"/>
      <c r="F5" s="2182"/>
      <c r="G5" s="2182"/>
      <c r="H5" s="2182"/>
      <c r="I5" s="2182"/>
      <c r="J5" s="2182"/>
      <c r="K5" s="2182"/>
      <c r="L5" s="2182"/>
      <c r="M5" s="2182"/>
      <c r="N5" s="2182"/>
      <c r="O5" s="2182"/>
      <c r="P5" s="2182"/>
      <c r="Q5" s="2182"/>
      <c r="R5" s="2182"/>
      <c r="S5" s="2182"/>
      <c r="T5" s="2182"/>
      <c r="U5" s="2183"/>
      <c r="V5" s="2183"/>
      <c r="W5" s="2183"/>
      <c r="X5" s="2183"/>
      <c r="Y5" s="2184"/>
      <c r="Z5" s="2184"/>
      <c r="AA5" s="2184"/>
      <c r="AB5" s="2184"/>
      <c r="AC5" s="2184"/>
      <c r="AD5" s="2184"/>
      <c r="AE5" s="2184"/>
      <c r="AF5" s="2184"/>
      <c r="AG5" s="2184"/>
      <c r="AH5" s="2184"/>
      <c r="AI5" s="2184"/>
      <c r="AJ5" s="2184"/>
      <c r="AK5" s="2184"/>
      <c r="AL5" s="2178" t="s">
        <v>360</v>
      </c>
      <c r="AM5" s="2219" t="s">
        <v>361</v>
      </c>
      <c r="AN5" s="2222" t="s">
        <v>362</v>
      </c>
      <c r="AO5" s="2324" t="s">
        <v>1440</v>
      </c>
      <c r="AP5" s="2319" t="s">
        <v>322</v>
      </c>
      <c r="AQ5" s="2319" t="s">
        <v>329</v>
      </c>
    </row>
    <row r="6" spans="1:43" s="90" customFormat="1" ht="112.5" customHeight="1" thickBot="1">
      <c r="A6" s="2179"/>
      <c r="B6" s="2192" t="s">
        <v>331</v>
      </c>
      <c r="C6" s="2189" t="s">
        <v>330</v>
      </c>
      <c r="D6" s="2190"/>
      <c r="E6" s="2191" t="s">
        <v>318</v>
      </c>
      <c r="F6" s="2190"/>
      <c r="G6" s="121" t="s">
        <v>317</v>
      </c>
      <c r="H6" s="2191" t="s">
        <v>33</v>
      </c>
      <c r="I6" s="2190"/>
      <c r="J6" s="2192" t="s">
        <v>34</v>
      </c>
      <c r="K6" s="2322" t="s">
        <v>338</v>
      </c>
      <c r="L6" s="2172" t="s">
        <v>339</v>
      </c>
      <c r="M6" s="2172" t="s">
        <v>340</v>
      </c>
      <c r="N6" s="2172" t="s">
        <v>341</v>
      </c>
      <c r="O6" s="2172" t="s">
        <v>342</v>
      </c>
      <c r="P6" s="2172" t="s">
        <v>343</v>
      </c>
      <c r="Q6" s="2172" t="s">
        <v>344</v>
      </c>
      <c r="R6" s="2172" t="s">
        <v>345</v>
      </c>
      <c r="S6" s="2192" t="s">
        <v>346</v>
      </c>
      <c r="T6" s="2214" t="s">
        <v>347</v>
      </c>
      <c r="U6" s="2214" t="s">
        <v>348</v>
      </c>
      <c r="V6" s="2217" t="s">
        <v>408</v>
      </c>
      <c r="W6" s="2176" t="s">
        <v>1441</v>
      </c>
      <c r="X6" s="2200" t="s">
        <v>1442</v>
      </c>
      <c r="Y6" s="2174" t="s">
        <v>350</v>
      </c>
      <c r="Z6" s="2202" t="s">
        <v>351</v>
      </c>
      <c r="AA6" s="2203"/>
      <c r="AB6" s="2196" t="s">
        <v>415</v>
      </c>
      <c r="AC6" s="2196" t="s">
        <v>352</v>
      </c>
      <c r="AD6" s="2196" t="s">
        <v>1443</v>
      </c>
      <c r="AE6" s="2196" t="s">
        <v>354</v>
      </c>
      <c r="AF6" s="2196" t="s">
        <v>355</v>
      </c>
      <c r="AG6" s="2196" t="s">
        <v>356</v>
      </c>
      <c r="AH6" s="2196" t="s">
        <v>357</v>
      </c>
      <c r="AI6" s="2316" t="s">
        <v>358</v>
      </c>
      <c r="AJ6" s="2198" t="s">
        <v>399</v>
      </c>
      <c r="AK6" s="2316" t="s">
        <v>359</v>
      </c>
      <c r="AL6" s="2194"/>
      <c r="AM6" s="2220"/>
      <c r="AN6" s="2223"/>
      <c r="AO6" s="2325"/>
      <c r="AP6" s="2320"/>
      <c r="AQ6" s="2320"/>
    </row>
    <row r="7" spans="1:43" ht="36" customHeight="1" thickBot="1">
      <c r="A7" s="2180"/>
      <c r="B7" s="2193"/>
      <c r="C7" s="209">
        <v>2020</v>
      </c>
      <c r="D7" s="122">
        <v>2021</v>
      </c>
      <c r="E7" s="122">
        <v>2020</v>
      </c>
      <c r="F7" s="122">
        <v>2021</v>
      </c>
      <c r="G7" s="122">
        <v>2020</v>
      </c>
      <c r="H7" s="122">
        <v>2020</v>
      </c>
      <c r="I7" s="122">
        <v>2021</v>
      </c>
      <c r="J7" s="2193"/>
      <c r="K7" s="2323"/>
      <c r="L7" s="2173"/>
      <c r="M7" s="2173"/>
      <c r="N7" s="2173"/>
      <c r="O7" s="2173"/>
      <c r="P7" s="2173"/>
      <c r="Q7" s="2173"/>
      <c r="R7" s="2173"/>
      <c r="S7" s="2193"/>
      <c r="T7" s="2215"/>
      <c r="U7" s="2216"/>
      <c r="V7" s="2218"/>
      <c r="W7" s="2177"/>
      <c r="X7" s="2201"/>
      <c r="Y7" s="2175"/>
      <c r="Z7" s="292">
        <v>2020</v>
      </c>
      <c r="AA7" s="287">
        <v>2021</v>
      </c>
      <c r="AB7" s="2197"/>
      <c r="AC7" s="2197"/>
      <c r="AD7" s="2197"/>
      <c r="AE7" s="2197"/>
      <c r="AF7" s="2197"/>
      <c r="AG7" s="2197"/>
      <c r="AH7" s="2197"/>
      <c r="AI7" s="2317"/>
      <c r="AJ7" s="2199"/>
      <c r="AK7" s="2317"/>
      <c r="AL7" s="2195"/>
      <c r="AM7" s="2221"/>
      <c r="AN7" s="2224"/>
      <c r="AO7" s="2326"/>
      <c r="AP7" s="2321"/>
      <c r="AQ7" s="2321"/>
    </row>
    <row r="8" spans="1:43" ht="73.5" customHeight="1" thickBot="1">
      <c r="A8" s="919" t="s">
        <v>416</v>
      </c>
      <c r="B8" s="920"/>
      <c r="C8" s="921"/>
      <c r="D8" s="922"/>
      <c r="E8" s="923"/>
      <c r="F8" s="921"/>
      <c r="G8" s="921"/>
      <c r="H8" s="924">
        <f>+(H9*W9)+(H32*W32)+(H49*W49)</f>
        <v>0.95696249999999994</v>
      </c>
      <c r="I8" s="924">
        <f>+(I9*X9)+(I32*X32)+(I49*X49)</f>
        <v>0.80033333333333334</v>
      </c>
      <c r="J8" s="925"/>
      <c r="K8" s="926"/>
      <c r="L8" s="927"/>
      <c r="M8" s="925"/>
      <c r="N8" s="925"/>
      <c r="O8" s="927"/>
      <c r="P8" s="927"/>
      <c r="Q8" s="927"/>
      <c r="R8" s="928"/>
      <c r="S8" s="929"/>
      <c r="T8" s="930"/>
      <c r="U8" s="931"/>
      <c r="V8" s="932">
        <f>+(V9*W9)+(V32*W32)+(V49*W49)</f>
        <v>0.55747427128574423</v>
      </c>
      <c r="W8" s="933">
        <v>0.4</v>
      </c>
      <c r="X8" s="877">
        <v>0.4</v>
      </c>
      <c r="Y8" s="934">
        <f>+Y9+Y32+Y49</f>
        <v>98019981775</v>
      </c>
      <c r="Z8" s="934">
        <f t="shared" ref="Z8:AI8" si="0">+Z9+Z32+Z49</f>
        <v>46412999007.309998</v>
      </c>
      <c r="AA8" s="935">
        <f t="shared" si="0"/>
        <v>68722723175.070007</v>
      </c>
      <c r="AB8" s="929">
        <f>+AA8/Y8</f>
        <v>0.7011093241459645</v>
      </c>
      <c r="AC8" s="935">
        <f t="shared" si="0"/>
        <v>57085007305.610001</v>
      </c>
      <c r="AD8" s="936">
        <f>+AC8/Y8</f>
        <v>0.5823813295195851</v>
      </c>
      <c r="AE8" s="920">
        <f t="shared" si="0"/>
        <v>11637715869.460001</v>
      </c>
      <c r="AF8" s="937">
        <f t="shared" si="0"/>
        <v>14231945814.309999</v>
      </c>
      <c r="AG8" s="934">
        <f t="shared" si="0"/>
        <v>12033647383.209999</v>
      </c>
      <c r="AH8" s="938">
        <f>+AG8/AF8</f>
        <v>0.84553774587241293</v>
      </c>
      <c r="AI8" s="934">
        <f t="shared" si="0"/>
        <v>262653585300</v>
      </c>
      <c r="AJ8" s="934">
        <f>+AJ9+AJ32+AJ49</f>
        <v>115135722182.38</v>
      </c>
      <c r="AK8" s="933">
        <f>+AJ8/AI8</f>
        <v>0.43835579876388614</v>
      </c>
      <c r="AL8" s="920"/>
      <c r="AM8" s="939"/>
      <c r="AN8" s="937"/>
      <c r="AO8" s="934"/>
      <c r="AP8" s="940"/>
      <c r="AQ8" s="941"/>
    </row>
    <row r="9" spans="1:43" s="617" customFormat="1" ht="62.25" customHeight="1" thickBot="1">
      <c r="A9" s="942" t="s">
        <v>420</v>
      </c>
      <c r="B9" s="943"/>
      <c r="C9" s="944"/>
      <c r="D9" s="945"/>
      <c r="E9" s="946"/>
      <c r="F9" s="944"/>
      <c r="G9" s="944"/>
      <c r="H9" s="947">
        <f>+(H10*W10)+(H23*W23)+(H26*W26)</f>
        <v>0.97599999999999987</v>
      </c>
      <c r="I9" s="947">
        <f>+(I10*X10)+(I23*X23)+(I26*X26)</f>
        <v>0.75600000000000001</v>
      </c>
      <c r="J9" s="948"/>
      <c r="K9" s="943"/>
      <c r="L9" s="949"/>
      <c r="M9" s="948"/>
      <c r="N9" s="948"/>
      <c r="O9" s="949"/>
      <c r="P9" s="949"/>
      <c r="Q9" s="949"/>
      <c r="R9" s="949"/>
      <c r="S9" s="950"/>
      <c r="T9" s="951"/>
      <c r="U9" s="952"/>
      <c r="V9" s="953">
        <f>+(V10*W10)+(V23*W23)+(V26*W26)</f>
        <v>0.59431085813492068</v>
      </c>
      <c r="W9" s="947">
        <v>0.65</v>
      </c>
      <c r="X9" s="878">
        <v>0.65</v>
      </c>
      <c r="Y9" s="954">
        <f>+Y10+Y23+Y26</f>
        <v>44123822062</v>
      </c>
      <c r="Z9" s="954">
        <f t="shared" ref="Z9:AJ9" si="1">+Z10+Z23+Z26</f>
        <v>6179050696.4099998</v>
      </c>
      <c r="AA9" s="954">
        <f t="shared" si="1"/>
        <v>16991407463.370001</v>
      </c>
      <c r="AB9" s="955">
        <f t="shared" ref="AB9:AB72" si="2">+AA9/Y9</f>
        <v>0.38508467012433217</v>
      </c>
      <c r="AC9" s="956">
        <f t="shared" si="1"/>
        <v>15592621123.110001</v>
      </c>
      <c r="AD9" s="957">
        <f t="shared" ref="AD9:AD72" si="3">+AC9/Y9</f>
        <v>0.35338328355146198</v>
      </c>
      <c r="AE9" s="943">
        <f t="shared" si="1"/>
        <v>1398786340.26</v>
      </c>
      <c r="AF9" s="948">
        <f t="shared" si="1"/>
        <v>5331709775.4099998</v>
      </c>
      <c r="AG9" s="954">
        <f t="shared" si="1"/>
        <v>4541923144.3299999</v>
      </c>
      <c r="AH9" s="958">
        <f t="shared" ref="AH9:AH72" si="4">+AG9/AF9</f>
        <v>0.85186991333952222</v>
      </c>
      <c r="AI9" s="954">
        <f t="shared" si="1"/>
        <v>95240134346</v>
      </c>
      <c r="AJ9" s="954">
        <f t="shared" si="1"/>
        <v>23170458159.780006</v>
      </c>
      <c r="AK9" s="947">
        <f t="shared" ref="AK9:AK74" si="5">+AJ9/AI9</f>
        <v>0.24328460180036637</v>
      </c>
      <c r="AL9" s="943"/>
      <c r="AM9" s="949" t="s">
        <v>295</v>
      </c>
      <c r="AN9" s="948"/>
      <c r="AO9" s="954"/>
      <c r="AP9" s="959"/>
      <c r="AQ9" s="960"/>
    </row>
    <row r="10" spans="1:43" ht="51" customHeight="1" thickBot="1">
      <c r="A10" s="961" t="s">
        <v>447</v>
      </c>
      <c r="B10" s="962"/>
      <c r="C10" s="861"/>
      <c r="D10" s="826"/>
      <c r="E10" s="963"/>
      <c r="F10" s="861"/>
      <c r="G10" s="861"/>
      <c r="H10" s="964">
        <f>+(H11*30%)+(H12*12%)+(H13*12%)+(H16*12%)+(H18*17%)+(H20*5%)+(H22*12%)</f>
        <v>0.88000000000000012</v>
      </c>
      <c r="I10" s="964">
        <f>+SUMPRODUCT(I11:I21,X11:X21)</f>
        <v>0.13</v>
      </c>
      <c r="J10" s="965"/>
      <c r="K10" s="962"/>
      <c r="L10" s="966"/>
      <c r="M10" s="965"/>
      <c r="N10" s="965"/>
      <c r="O10" s="966"/>
      <c r="P10" s="966"/>
      <c r="Q10" s="966"/>
      <c r="R10" s="966"/>
      <c r="S10" s="967"/>
      <c r="T10" s="968"/>
      <c r="U10" s="969"/>
      <c r="V10" s="970">
        <f>+SUMPRODUCT(V11:V22,W11:W22)</f>
        <v>0.38428571428571434</v>
      </c>
      <c r="W10" s="964">
        <v>0.2</v>
      </c>
      <c r="X10" s="879">
        <v>0.2</v>
      </c>
      <c r="Y10" s="971">
        <f>SUM(Y11:Y22)</f>
        <v>1046898827</v>
      </c>
      <c r="Z10" s="971">
        <f>SUM(Z11:Z22)</f>
        <v>1022391740</v>
      </c>
      <c r="AA10" s="971">
        <f t="shared" ref="AA10:AJ10" si="6">SUM(AA11:AA22)</f>
        <v>783124557.20000005</v>
      </c>
      <c r="AB10" s="972">
        <f>+AA10/Y10</f>
        <v>0.74804225298840654</v>
      </c>
      <c r="AC10" s="971">
        <f t="shared" si="6"/>
        <v>574476365</v>
      </c>
      <c r="AD10" s="973">
        <f t="shared" si="3"/>
        <v>0.54874105327467326</v>
      </c>
      <c r="AE10" s="974">
        <f t="shared" si="6"/>
        <v>208648192.19999999</v>
      </c>
      <c r="AF10" s="965">
        <f t="shared" si="6"/>
        <v>837279140</v>
      </c>
      <c r="AG10" s="971">
        <f t="shared" si="6"/>
        <v>817292444</v>
      </c>
      <c r="AH10" s="967">
        <f t="shared" si="4"/>
        <v>0.97612899325307445</v>
      </c>
      <c r="AI10" s="971">
        <f>SUM(AI11:AI22)</f>
        <v>9800000000</v>
      </c>
      <c r="AJ10" s="971">
        <f t="shared" si="6"/>
        <v>1805516297.2</v>
      </c>
      <c r="AK10" s="964">
        <f t="shared" si="5"/>
        <v>0.18423635685714287</v>
      </c>
      <c r="AL10" s="974"/>
      <c r="AM10" s="975"/>
      <c r="AN10" s="283"/>
      <c r="AO10" s="976"/>
      <c r="AP10" s="285"/>
      <c r="AQ10" s="286"/>
    </row>
    <row r="11" spans="1:43" ht="99" customHeight="1">
      <c r="A11" s="317" t="s">
        <v>507</v>
      </c>
      <c r="B11" s="977" t="s">
        <v>699</v>
      </c>
      <c r="C11" s="858">
        <v>1</v>
      </c>
      <c r="D11" s="818">
        <v>0</v>
      </c>
      <c r="E11" s="978">
        <v>0</v>
      </c>
      <c r="F11" s="858">
        <v>0</v>
      </c>
      <c r="G11" s="979">
        <v>1</v>
      </c>
      <c r="H11" s="821">
        <f t="shared" ref="H11:H31" si="7">IF((E11+G11)/C11&gt;=100%,100%,(E11+G11)/C11)</f>
        <v>1</v>
      </c>
      <c r="I11" s="980">
        <v>0</v>
      </c>
      <c r="J11" s="981" t="s">
        <v>1444</v>
      </c>
      <c r="K11" s="982"/>
      <c r="L11" s="983"/>
      <c r="M11" s="984"/>
      <c r="N11" s="982"/>
      <c r="O11" s="204"/>
      <c r="P11" s="204"/>
      <c r="Q11" s="204"/>
      <c r="R11" s="985"/>
      <c r="S11" s="614"/>
      <c r="T11" s="858">
        <v>1</v>
      </c>
      <c r="U11" s="986">
        <f>SUM(E11:G11)</f>
        <v>1</v>
      </c>
      <c r="V11" s="153">
        <f>IF(U11/T11&gt;=100%,100%,U11/T11)</f>
        <v>1</v>
      </c>
      <c r="W11" s="821">
        <v>0.15</v>
      </c>
      <c r="X11" s="880">
        <v>0</v>
      </c>
      <c r="Y11" s="515">
        <v>0</v>
      </c>
      <c r="Z11" s="360">
        <v>100000000</v>
      </c>
      <c r="AA11" s="360">
        <v>0</v>
      </c>
      <c r="AB11" s="987" t="e">
        <f t="shared" si="2"/>
        <v>#DIV/0!</v>
      </c>
      <c r="AC11" s="360">
        <v>0</v>
      </c>
      <c r="AD11" s="988" t="e">
        <f t="shared" si="3"/>
        <v>#DIV/0!</v>
      </c>
      <c r="AE11" s="989">
        <f t="shared" ref="AE11:AE22" si="8">+AA11-AC11</f>
        <v>0</v>
      </c>
      <c r="AF11" s="990">
        <v>7387400</v>
      </c>
      <c r="AG11" s="991">
        <v>7357400</v>
      </c>
      <c r="AH11" s="992">
        <f t="shared" si="4"/>
        <v>0.99593903132360506</v>
      </c>
      <c r="AI11" s="993">
        <v>1500000000</v>
      </c>
      <c r="AJ11" s="993">
        <f>+SUM(Z11:AA11)</f>
        <v>100000000</v>
      </c>
      <c r="AK11" s="994">
        <f>+AJ11/AI11</f>
        <v>6.6666666666666666E-2</v>
      </c>
      <c r="AL11" s="995"/>
      <c r="AM11" s="191"/>
      <c r="AN11" s="190" t="s">
        <v>31</v>
      </c>
      <c r="AO11" s="2318" t="s">
        <v>888</v>
      </c>
      <c r="AP11" s="996"/>
      <c r="AQ11" s="996"/>
    </row>
    <row r="12" spans="1:43" ht="93" customHeight="1">
      <c r="A12" s="317" t="s">
        <v>508</v>
      </c>
      <c r="B12" s="414" t="s">
        <v>705</v>
      </c>
      <c r="C12" s="147">
        <v>1</v>
      </c>
      <c r="D12" s="383">
        <v>1</v>
      </c>
      <c r="E12" s="213">
        <v>0</v>
      </c>
      <c r="F12" s="147">
        <v>0</v>
      </c>
      <c r="G12" s="859"/>
      <c r="H12" s="180">
        <f t="shared" si="7"/>
        <v>0</v>
      </c>
      <c r="I12" s="148">
        <f>IF(F12/D12&gt;=100%,100%,F12/D12)</f>
        <v>0</v>
      </c>
      <c r="J12" s="152" t="s">
        <v>1445</v>
      </c>
      <c r="K12" s="146"/>
      <c r="L12" s="101"/>
      <c r="M12" s="104"/>
      <c r="N12" s="146"/>
      <c r="O12" s="149"/>
      <c r="P12" s="149"/>
      <c r="Q12" s="149"/>
      <c r="R12" s="150"/>
      <c r="S12" s="155"/>
      <c r="T12" s="147">
        <v>2</v>
      </c>
      <c r="U12" s="242">
        <f>SUM(E12:G12)</f>
        <v>0</v>
      </c>
      <c r="V12" s="153">
        <f t="shared" ref="V12:V14" si="9">IF(U12/T12&gt;=100%,100%,U12/T12)</f>
        <v>0</v>
      </c>
      <c r="W12" s="180">
        <v>0.08</v>
      </c>
      <c r="X12" s="472">
        <v>0.12</v>
      </c>
      <c r="Y12" s="514">
        <v>277196620</v>
      </c>
      <c r="Z12" s="359">
        <v>60000000</v>
      </c>
      <c r="AA12" s="359">
        <v>277196619.19999999</v>
      </c>
      <c r="AB12" s="273">
        <f t="shared" si="2"/>
        <v>0.99999999711396192</v>
      </c>
      <c r="AC12" s="359">
        <v>265944498</v>
      </c>
      <c r="AD12" s="642">
        <f t="shared" si="3"/>
        <v>0.95940743433307374</v>
      </c>
      <c r="AE12" s="997">
        <f t="shared" si="8"/>
        <v>11252121.199999988</v>
      </c>
      <c r="AF12" s="998">
        <v>30000000</v>
      </c>
      <c r="AG12" s="999">
        <v>30000000</v>
      </c>
      <c r="AH12" s="992">
        <f t="shared" si="4"/>
        <v>1</v>
      </c>
      <c r="AI12" s="249">
        <v>800000000</v>
      </c>
      <c r="AJ12" s="249">
        <f t="shared" ref="AJ12:AJ21" si="10">+SUM(Z12:AA12)</f>
        <v>337196619.19999999</v>
      </c>
      <c r="AK12" s="1000">
        <f t="shared" si="5"/>
        <v>0.42149577399999999</v>
      </c>
      <c r="AL12" s="1001"/>
      <c r="AM12" s="157"/>
      <c r="AN12" s="152" t="s">
        <v>31</v>
      </c>
      <c r="AO12" s="2290"/>
      <c r="AP12" s="93"/>
      <c r="AQ12" s="93"/>
    </row>
    <row r="13" spans="1:43" ht="150.75" customHeight="1">
      <c r="A13" s="317" t="s">
        <v>509</v>
      </c>
      <c r="B13" s="414" t="s">
        <v>706</v>
      </c>
      <c r="C13" s="182">
        <v>0.1</v>
      </c>
      <c r="D13" s="180">
        <v>0.1</v>
      </c>
      <c r="E13" s="1002">
        <v>0.1</v>
      </c>
      <c r="F13" s="182">
        <v>0.1</v>
      </c>
      <c r="G13" s="147"/>
      <c r="H13" s="180">
        <f t="shared" si="7"/>
        <v>1</v>
      </c>
      <c r="I13" s="148">
        <f t="shared" ref="I13:I22" si="11">IF(F13/D13&gt;=100%,100%,F13/D13)</f>
        <v>1</v>
      </c>
      <c r="J13" s="152" t="s">
        <v>927</v>
      </c>
      <c r="K13" s="146"/>
      <c r="L13" s="101"/>
      <c r="M13" s="104"/>
      <c r="N13" s="146"/>
      <c r="O13" s="149"/>
      <c r="P13" s="149"/>
      <c r="Q13" s="149"/>
      <c r="R13" s="150"/>
      <c r="S13" s="155"/>
      <c r="T13" s="182">
        <v>0.4</v>
      </c>
      <c r="U13" s="242">
        <f t="shared" ref="U13:U22" si="12">SUM(E13:G13)</f>
        <v>0.2</v>
      </c>
      <c r="V13" s="153">
        <f t="shared" si="9"/>
        <v>0.5</v>
      </c>
      <c r="W13" s="180">
        <v>0.08</v>
      </c>
      <c r="X13" s="472">
        <v>0.13</v>
      </c>
      <c r="Y13" s="513">
        <v>100000000</v>
      </c>
      <c r="Z13" s="359">
        <v>199891740</v>
      </c>
      <c r="AA13" s="359">
        <v>77543235</v>
      </c>
      <c r="AB13" s="273">
        <f t="shared" si="2"/>
        <v>0.77543234999999999</v>
      </c>
      <c r="AC13" s="359">
        <v>62702998</v>
      </c>
      <c r="AD13" s="642">
        <f t="shared" si="3"/>
        <v>0.62702997999999999</v>
      </c>
      <c r="AE13" s="997">
        <f t="shared" si="8"/>
        <v>14840237</v>
      </c>
      <c r="AF13" s="1003">
        <v>199891740</v>
      </c>
      <c r="AG13" s="1004">
        <v>189967522</v>
      </c>
      <c r="AH13" s="992">
        <f t="shared" si="4"/>
        <v>0.95035203555684689</v>
      </c>
      <c r="AI13" s="249">
        <v>800000000</v>
      </c>
      <c r="AJ13" s="249">
        <f t="shared" si="10"/>
        <v>277434975</v>
      </c>
      <c r="AK13" s="1000">
        <f t="shared" si="5"/>
        <v>0.34679371874999998</v>
      </c>
      <c r="AL13" s="1001"/>
      <c r="AM13" s="157"/>
      <c r="AN13" s="152" t="s">
        <v>8</v>
      </c>
      <c r="AO13" s="2311" t="s">
        <v>888</v>
      </c>
      <c r="AP13" s="93"/>
      <c r="AQ13" s="93"/>
    </row>
    <row r="14" spans="1:43" ht="71.25" customHeight="1">
      <c r="A14" s="317" t="s">
        <v>510</v>
      </c>
      <c r="B14" s="414" t="s">
        <v>707</v>
      </c>
      <c r="C14" s="182">
        <v>0</v>
      </c>
      <c r="D14" s="180">
        <v>0.1</v>
      </c>
      <c r="E14" s="182">
        <v>0</v>
      </c>
      <c r="F14" s="182">
        <v>0</v>
      </c>
      <c r="G14" s="147"/>
      <c r="H14" s="180" t="e">
        <f t="shared" si="7"/>
        <v>#DIV/0!</v>
      </c>
      <c r="I14" s="148">
        <f t="shared" si="11"/>
        <v>0</v>
      </c>
      <c r="J14" s="152" t="s">
        <v>928</v>
      </c>
      <c r="K14" s="146"/>
      <c r="L14" s="101"/>
      <c r="M14" s="104"/>
      <c r="N14" s="146"/>
      <c r="O14" s="149"/>
      <c r="P14" s="149"/>
      <c r="Q14" s="149"/>
      <c r="R14" s="150"/>
      <c r="S14" s="155"/>
      <c r="T14" s="182">
        <v>0.30000000000000004</v>
      </c>
      <c r="U14" s="242">
        <f t="shared" si="12"/>
        <v>0</v>
      </c>
      <c r="V14" s="153">
        <f t="shared" si="9"/>
        <v>0</v>
      </c>
      <c r="W14" s="180">
        <v>0.05</v>
      </c>
      <c r="X14" s="472">
        <v>7.0000000000000007E-2</v>
      </c>
      <c r="Y14" s="515">
        <v>100000000</v>
      </c>
      <c r="Z14" s="360" t="s">
        <v>887</v>
      </c>
      <c r="AA14" s="360">
        <v>79052654</v>
      </c>
      <c r="AB14" s="273">
        <f t="shared" si="2"/>
        <v>0.79052654</v>
      </c>
      <c r="AC14" s="360">
        <v>35880412</v>
      </c>
      <c r="AD14" s="642">
        <f t="shared" si="3"/>
        <v>0.35880412</v>
      </c>
      <c r="AE14" s="989">
        <f t="shared" si="8"/>
        <v>43172242</v>
      </c>
      <c r="AF14" s="1006">
        <v>0</v>
      </c>
      <c r="AG14" s="1004">
        <v>0</v>
      </c>
      <c r="AH14" s="992" t="e">
        <f t="shared" si="4"/>
        <v>#DIV/0!</v>
      </c>
      <c r="AI14" s="249">
        <v>600000000</v>
      </c>
      <c r="AJ14" s="249">
        <f t="shared" si="10"/>
        <v>79052654</v>
      </c>
      <c r="AK14" s="1000">
        <f t="shared" si="5"/>
        <v>0.13175442333333334</v>
      </c>
      <c r="AL14" s="1001"/>
      <c r="AM14" s="157"/>
      <c r="AN14" s="152" t="s">
        <v>8</v>
      </c>
      <c r="AO14" s="2289"/>
      <c r="AP14" s="93"/>
      <c r="AQ14" s="93"/>
    </row>
    <row r="15" spans="1:43" ht="78" customHeight="1">
      <c r="A15" s="317" t="s">
        <v>511</v>
      </c>
      <c r="B15" s="414" t="s">
        <v>708</v>
      </c>
      <c r="C15" s="1007">
        <v>0</v>
      </c>
      <c r="D15" s="180">
        <v>0.1</v>
      </c>
      <c r="E15" s="182">
        <v>0</v>
      </c>
      <c r="F15" s="182">
        <v>0</v>
      </c>
      <c r="G15" s="147"/>
      <c r="H15" s="180" t="e">
        <f t="shared" si="7"/>
        <v>#DIV/0!</v>
      </c>
      <c r="I15" s="148">
        <f t="shared" si="11"/>
        <v>0</v>
      </c>
      <c r="J15" s="152" t="s">
        <v>929</v>
      </c>
      <c r="K15" s="146"/>
      <c r="L15" s="101"/>
      <c r="M15" s="104"/>
      <c r="N15" s="146"/>
      <c r="O15" s="149"/>
      <c r="P15" s="149"/>
      <c r="Q15" s="149"/>
      <c r="R15" s="150"/>
      <c r="S15" s="155"/>
      <c r="T15" s="182">
        <v>0.30000000000000004</v>
      </c>
      <c r="U15" s="242">
        <f t="shared" si="12"/>
        <v>0</v>
      </c>
      <c r="V15" s="153">
        <f>IF(U15/T15&gt;=100%,100%,U15/T15)</f>
        <v>0</v>
      </c>
      <c r="W15" s="180">
        <v>0.05</v>
      </c>
      <c r="X15" s="472">
        <v>7.0000000000000007E-2</v>
      </c>
      <c r="Y15" s="515">
        <v>100000000</v>
      </c>
      <c r="Z15" s="360" t="s">
        <v>887</v>
      </c>
      <c r="AA15" s="360">
        <v>84506072</v>
      </c>
      <c r="AB15" s="273">
        <f t="shared" si="2"/>
        <v>0.84506071999999999</v>
      </c>
      <c r="AC15" s="360">
        <v>51587902</v>
      </c>
      <c r="AD15" s="642">
        <f t="shared" si="3"/>
        <v>0.51587901999999997</v>
      </c>
      <c r="AE15" s="989">
        <f t="shared" si="8"/>
        <v>32918170</v>
      </c>
      <c r="AF15" s="1006">
        <v>0</v>
      </c>
      <c r="AG15" s="1004">
        <v>0</v>
      </c>
      <c r="AH15" s="992" t="e">
        <f t="shared" si="4"/>
        <v>#DIV/0!</v>
      </c>
      <c r="AI15" s="249">
        <v>600000000</v>
      </c>
      <c r="AJ15" s="249">
        <f t="shared" si="10"/>
        <v>84506072</v>
      </c>
      <c r="AK15" s="1000">
        <f t="shared" si="5"/>
        <v>0.14084345333333334</v>
      </c>
      <c r="AL15" s="1001"/>
      <c r="AM15" s="157"/>
      <c r="AN15" s="152" t="s">
        <v>8</v>
      </c>
      <c r="AO15" s="2290"/>
      <c r="AP15" s="93"/>
      <c r="AQ15" s="93"/>
    </row>
    <row r="16" spans="1:43" ht="57.75" customHeight="1">
      <c r="A16" s="317" t="s">
        <v>512</v>
      </c>
      <c r="B16" s="415" t="s">
        <v>700</v>
      </c>
      <c r="C16" s="147">
        <v>1</v>
      </c>
      <c r="D16" s="383">
        <v>0</v>
      </c>
      <c r="E16" s="213">
        <v>0</v>
      </c>
      <c r="F16" s="147">
        <v>0</v>
      </c>
      <c r="G16" s="147">
        <v>1</v>
      </c>
      <c r="H16" s="180">
        <f t="shared" si="7"/>
        <v>1</v>
      </c>
      <c r="I16" s="148">
        <v>0</v>
      </c>
      <c r="J16" s="152" t="s">
        <v>1446</v>
      </c>
      <c r="K16" s="146"/>
      <c r="L16" s="101"/>
      <c r="M16" s="104"/>
      <c r="N16" s="146"/>
      <c r="O16" s="149"/>
      <c r="P16" s="149"/>
      <c r="Q16" s="149"/>
      <c r="R16" s="150"/>
      <c r="S16" s="155"/>
      <c r="T16" s="147">
        <v>1</v>
      </c>
      <c r="U16" s="1008">
        <f t="shared" si="12"/>
        <v>1</v>
      </c>
      <c r="V16" s="153">
        <f t="shared" ref="V16" si="13">IF(U16/T16&gt;=100%,100%,U16/T16)</f>
        <v>1</v>
      </c>
      <c r="W16" s="180">
        <v>0.08</v>
      </c>
      <c r="X16" s="472">
        <v>0</v>
      </c>
      <c r="Y16" s="515">
        <v>0</v>
      </c>
      <c r="Z16" s="359">
        <v>600000000</v>
      </c>
      <c r="AA16" s="515">
        <v>0</v>
      </c>
      <c r="AB16" s="273" t="e">
        <f t="shared" si="2"/>
        <v>#DIV/0!</v>
      </c>
      <c r="AC16" s="515">
        <v>0</v>
      </c>
      <c r="AD16" s="642" t="e">
        <f t="shared" si="3"/>
        <v>#DIV/0!</v>
      </c>
      <c r="AE16" s="989">
        <f t="shared" si="8"/>
        <v>0</v>
      </c>
      <c r="AF16" s="1006">
        <v>600000000</v>
      </c>
      <c r="AG16" s="1004">
        <v>589967522</v>
      </c>
      <c r="AH16" s="992">
        <f t="shared" si="4"/>
        <v>0.9832792033333333</v>
      </c>
      <c r="AI16" s="249">
        <v>700000000</v>
      </c>
      <c r="AJ16" s="249">
        <f t="shared" si="10"/>
        <v>600000000</v>
      </c>
      <c r="AK16" s="1000">
        <f t="shared" si="5"/>
        <v>0.8571428571428571</v>
      </c>
      <c r="AL16" s="1001"/>
      <c r="AM16" s="157"/>
      <c r="AN16" s="152" t="s">
        <v>302</v>
      </c>
      <c r="AO16" s="2311" t="s">
        <v>888</v>
      </c>
      <c r="AP16" s="93"/>
      <c r="AQ16" s="93"/>
    </row>
    <row r="17" spans="1:43" ht="51">
      <c r="A17" s="317" t="s">
        <v>513</v>
      </c>
      <c r="B17" s="414" t="s">
        <v>709</v>
      </c>
      <c r="C17" s="147">
        <v>0</v>
      </c>
      <c r="D17" s="383">
        <v>0</v>
      </c>
      <c r="E17" s="213">
        <v>0</v>
      </c>
      <c r="F17" s="147">
        <v>0</v>
      </c>
      <c r="G17" s="147"/>
      <c r="H17" s="180" t="e">
        <f t="shared" si="7"/>
        <v>#DIV/0!</v>
      </c>
      <c r="I17" s="148">
        <v>0</v>
      </c>
      <c r="J17" s="152"/>
      <c r="K17" s="146"/>
      <c r="L17" s="101"/>
      <c r="M17" s="104"/>
      <c r="N17" s="146"/>
      <c r="O17" s="149"/>
      <c r="P17" s="149"/>
      <c r="Q17" s="149"/>
      <c r="R17" s="150"/>
      <c r="S17" s="158"/>
      <c r="T17" s="147">
        <v>1</v>
      </c>
      <c r="U17" s="242">
        <f t="shared" si="12"/>
        <v>0</v>
      </c>
      <c r="V17" s="153">
        <f>IF(U17/T17&gt;=100%,100%,U17/T17)</f>
        <v>0</v>
      </c>
      <c r="W17" s="180">
        <v>0.08</v>
      </c>
      <c r="X17" s="472">
        <v>0</v>
      </c>
      <c r="Y17" s="515" t="s">
        <v>887</v>
      </c>
      <c r="Z17" s="360" t="s">
        <v>887</v>
      </c>
      <c r="AA17" s="515">
        <v>0</v>
      </c>
      <c r="AB17" s="380" t="e">
        <f>+AA17/Y17</f>
        <v>#VALUE!</v>
      </c>
      <c r="AC17" s="515">
        <v>0</v>
      </c>
      <c r="AD17" s="642" t="e">
        <f t="shared" si="3"/>
        <v>#VALUE!</v>
      </c>
      <c r="AE17" s="989">
        <f t="shared" si="8"/>
        <v>0</v>
      </c>
      <c r="AF17" s="1006">
        <v>0</v>
      </c>
      <c r="AG17" s="1004">
        <v>0</v>
      </c>
      <c r="AH17" s="992" t="e">
        <f t="shared" si="4"/>
        <v>#DIV/0!</v>
      </c>
      <c r="AI17" s="249">
        <v>800000000</v>
      </c>
      <c r="AJ17" s="249">
        <f t="shared" si="10"/>
        <v>0</v>
      </c>
      <c r="AK17" s="1000">
        <f t="shared" si="5"/>
        <v>0</v>
      </c>
      <c r="AL17" s="1001"/>
      <c r="AM17" s="157"/>
      <c r="AN17" s="152" t="s">
        <v>31</v>
      </c>
      <c r="AO17" s="2289"/>
      <c r="AP17" s="93"/>
      <c r="AQ17" s="93"/>
    </row>
    <row r="18" spans="1:43" ht="76.5" customHeight="1">
      <c r="A18" s="317" t="s">
        <v>514</v>
      </c>
      <c r="B18" s="414" t="s">
        <v>710</v>
      </c>
      <c r="C18" s="147">
        <v>3</v>
      </c>
      <c r="D18" s="383">
        <v>1</v>
      </c>
      <c r="E18" s="213">
        <v>3</v>
      </c>
      <c r="F18" s="147">
        <v>0</v>
      </c>
      <c r="G18" s="147"/>
      <c r="H18" s="180">
        <f t="shared" si="7"/>
        <v>1</v>
      </c>
      <c r="I18" s="148">
        <f>IF(F18/D18&gt;=100%,100%,F18/D18)</f>
        <v>0</v>
      </c>
      <c r="J18" s="152" t="s">
        <v>1447</v>
      </c>
      <c r="K18" s="146"/>
      <c r="L18" s="101"/>
      <c r="M18" s="104"/>
      <c r="N18" s="146"/>
      <c r="O18" s="149"/>
      <c r="P18" s="149"/>
      <c r="Q18" s="149"/>
      <c r="R18" s="150"/>
      <c r="S18" s="158"/>
      <c r="T18" s="147">
        <v>5</v>
      </c>
      <c r="U18" s="242">
        <f t="shared" si="12"/>
        <v>3</v>
      </c>
      <c r="V18" s="153">
        <f t="shared" ref="V18:V19" si="14">IF(U18/T18&gt;=100%,100%,U18/T18)</f>
        <v>0.6</v>
      </c>
      <c r="W18" s="180">
        <v>0.1</v>
      </c>
      <c r="X18" s="472">
        <v>0.15</v>
      </c>
      <c r="Y18" s="515">
        <v>49702207</v>
      </c>
      <c r="Z18" s="359">
        <v>0</v>
      </c>
      <c r="AA18" s="360">
        <v>38011318</v>
      </c>
      <c r="AB18" s="273">
        <f t="shared" si="2"/>
        <v>0.76478129029562003</v>
      </c>
      <c r="AC18" s="515">
        <v>37199404</v>
      </c>
      <c r="AD18" s="642">
        <f t="shared" si="3"/>
        <v>0.74844571791349224</v>
      </c>
      <c r="AE18" s="989">
        <f t="shared" si="8"/>
        <v>811914</v>
      </c>
      <c r="AF18" s="1006">
        <v>0</v>
      </c>
      <c r="AG18" s="1004">
        <v>0</v>
      </c>
      <c r="AH18" s="992" t="e">
        <f t="shared" si="4"/>
        <v>#DIV/0!</v>
      </c>
      <c r="AI18" s="249">
        <v>1100000000</v>
      </c>
      <c r="AJ18" s="249">
        <f t="shared" si="10"/>
        <v>38011318</v>
      </c>
      <c r="AK18" s="1000">
        <f t="shared" si="5"/>
        <v>3.4555743636363635E-2</v>
      </c>
      <c r="AL18" s="1001"/>
      <c r="AM18" s="157"/>
      <c r="AN18" s="152" t="s">
        <v>4</v>
      </c>
      <c r="AO18" s="2290"/>
      <c r="AP18" s="93"/>
      <c r="AQ18" s="93"/>
    </row>
    <row r="19" spans="1:43" ht="66" customHeight="1">
      <c r="A19" s="317" t="s">
        <v>515</v>
      </c>
      <c r="B19" s="415" t="s">
        <v>701</v>
      </c>
      <c r="C19" s="147">
        <v>0</v>
      </c>
      <c r="D19" s="819">
        <v>0.1</v>
      </c>
      <c r="E19" s="1009">
        <v>0</v>
      </c>
      <c r="F19" s="859">
        <v>0</v>
      </c>
      <c r="G19" s="859"/>
      <c r="H19" s="1010" t="e">
        <f>IF((E19+G19)/C19&gt;=100%,100%,(E19+G19)/C19)</f>
        <v>#DIV/0!</v>
      </c>
      <c r="I19" s="1011">
        <f>IF(F19/D19&gt;=100%,100%,F19/D19)</f>
        <v>0</v>
      </c>
      <c r="J19" s="1012" t="s">
        <v>1448</v>
      </c>
      <c r="K19" s="1013"/>
      <c r="L19" s="1014"/>
      <c r="M19" s="1015"/>
      <c r="N19" s="1013"/>
      <c r="O19" s="1016"/>
      <c r="P19" s="1016"/>
      <c r="Q19" s="1016"/>
      <c r="R19" s="1017"/>
      <c r="S19" s="1018"/>
      <c r="T19" s="859">
        <v>1</v>
      </c>
      <c r="U19" s="242">
        <f t="shared" si="12"/>
        <v>0</v>
      </c>
      <c r="V19" s="153">
        <f t="shared" si="14"/>
        <v>0</v>
      </c>
      <c r="W19" s="180">
        <v>0.08</v>
      </c>
      <c r="X19" s="881">
        <v>0.12</v>
      </c>
      <c r="Y19" s="1019">
        <v>200000000</v>
      </c>
      <c r="Z19" s="630">
        <v>0</v>
      </c>
      <c r="AA19" s="360">
        <v>42093925</v>
      </c>
      <c r="AB19" s="273">
        <f t="shared" si="2"/>
        <v>0.21046962499999999</v>
      </c>
      <c r="AC19" s="515">
        <v>41733074</v>
      </c>
      <c r="AD19" s="642">
        <f t="shared" si="3"/>
        <v>0.20866536999999999</v>
      </c>
      <c r="AE19" s="989">
        <f t="shared" si="8"/>
        <v>360851</v>
      </c>
      <c r="AF19" s="1006">
        <v>0</v>
      </c>
      <c r="AG19" s="1004">
        <v>0</v>
      </c>
      <c r="AH19" s="992" t="e">
        <f t="shared" si="4"/>
        <v>#DIV/0!</v>
      </c>
      <c r="AI19" s="249">
        <v>700000000</v>
      </c>
      <c r="AJ19" s="249">
        <f t="shared" si="10"/>
        <v>42093925</v>
      </c>
      <c r="AK19" s="1000">
        <f t="shared" si="5"/>
        <v>6.0134178571428575E-2</v>
      </c>
      <c r="AL19" s="1001"/>
      <c r="AM19" s="157"/>
      <c r="AN19" s="152" t="s">
        <v>302</v>
      </c>
      <c r="AO19" s="1005" t="s">
        <v>889</v>
      </c>
      <c r="AP19" s="93"/>
      <c r="AQ19" s="93"/>
    </row>
    <row r="20" spans="1:43" ht="63" customHeight="1">
      <c r="A20" s="317" t="s">
        <v>516</v>
      </c>
      <c r="B20" s="415" t="s">
        <v>702</v>
      </c>
      <c r="C20" s="147">
        <v>1</v>
      </c>
      <c r="D20" s="383">
        <v>0</v>
      </c>
      <c r="E20" s="213">
        <v>1</v>
      </c>
      <c r="F20" s="147">
        <v>0</v>
      </c>
      <c r="G20" s="147"/>
      <c r="H20" s="180">
        <f t="shared" si="7"/>
        <v>1</v>
      </c>
      <c r="I20" s="148">
        <v>0</v>
      </c>
      <c r="J20" s="1012" t="s">
        <v>1449</v>
      </c>
      <c r="K20" s="146"/>
      <c r="L20" s="101"/>
      <c r="M20" s="104"/>
      <c r="N20" s="146"/>
      <c r="O20" s="149"/>
      <c r="P20" s="149"/>
      <c r="Q20" s="149"/>
      <c r="R20" s="150"/>
      <c r="S20" s="158"/>
      <c r="T20" s="147">
        <v>1</v>
      </c>
      <c r="U20" s="242">
        <f t="shared" si="12"/>
        <v>1</v>
      </c>
      <c r="V20" s="153">
        <f>IF(U20/T20&gt;=100%,100%,U20/T20)</f>
        <v>1</v>
      </c>
      <c r="W20" s="180">
        <v>0.02</v>
      </c>
      <c r="X20" s="472">
        <v>0</v>
      </c>
      <c r="Y20" s="515">
        <v>0</v>
      </c>
      <c r="Z20" s="359">
        <v>27500000</v>
      </c>
      <c r="AA20" s="515">
        <v>0</v>
      </c>
      <c r="AB20" s="273" t="e">
        <f t="shared" si="2"/>
        <v>#DIV/0!</v>
      </c>
      <c r="AC20" s="515">
        <v>0</v>
      </c>
      <c r="AD20" s="642" t="e">
        <f t="shared" si="3"/>
        <v>#DIV/0!</v>
      </c>
      <c r="AE20" s="989">
        <f t="shared" si="8"/>
        <v>0</v>
      </c>
      <c r="AF20" s="1006">
        <v>0</v>
      </c>
      <c r="AG20" s="1004">
        <v>0</v>
      </c>
      <c r="AH20" s="992" t="e">
        <f t="shared" si="4"/>
        <v>#DIV/0!</v>
      </c>
      <c r="AI20" s="249">
        <v>100000000</v>
      </c>
      <c r="AJ20" s="249">
        <f t="shared" si="10"/>
        <v>27500000</v>
      </c>
      <c r="AK20" s="1000">
        <f t="shared" si="5"/>
        <v>0.27500000000000002</v>
      </c>
      <c r="AL20" s="1001"/>
      <c r="AM20" s="157"/>
      <c r="AN20" s="152" t="s">
        <v>302</v>
      </c>
      <c r="AO20" s="1005" t="s">
        <v>888</v>
      </c>
      <c r="AP20" s="93"/>
      <c r="AQ20" s="93"/>
    </row>
    <row r="21" spans="1:43" ht="65.25" customHeight="1">
      <c r="A21" s="317" t="s">
        <v>517</v>
      </c>
      <c r="B21" s="415" t="s">
        <v>703</v>
      </c>
      <c r="C21" s="147">
        <v>0</v>
      </c>
      <c r="D21" s="383">
        <v>1</v>
      </c>
      <c r="E21" s="213">
        <v>0</v>
      </c>
      <c r="F21" s="147">
        <v>0</v>
      </c>
      <c r="G21" s="147"/>
      <c r="H21" s="180" t="e">
        <f t="shared" si="7"/>
        <v>#DIV/0!</v>
      </c>
      <c r="I21" s="148">
        <f t="shared" si="11"/>
        <v>0</v>
      </c>
      <c r="J21" s="152" t="s">
        <v>1450</v>
      </c>
      <c r="K21" s="146"/>
      <c r="L21" s="101"/>
      <c r="M21" s="104"/>
      <c r="N21" s="146"/>
      <c r="O21" s="149"/>
      <c r="P21" s="149"/>
      <c r="Q21" s="149"/>
      <c r="R21" s="150"/>
      <c r="S21" s="158"/>
      <c r="T21" s="147">
        <v>2</v>
      </c>
      <c r="U21" s="242">
        <f t="shared" si="12"/>
        <v>0</v>
      </c>
      <c r="V21" s="153">
        <f t="shared" ref="V21" si="15">IF(U21/T21&gt;=100%,100%,U21/T21)</f>
        <v>0</v>
      </c>
      <c r="W21" s="180">
        <v>0.15</v>
      </c>
      <c r="X21" s="472">
        <v>0.22</v>
      </c>
      <c r="Y21" s="631">
        <v>20000000</v>
      </c>
      <c r="Z21" s="359">
        <v>0</v>
      </c>
      <c r="AA21" s="359">
        <v>16893925</v>
      </c>
      <c r="AB21" s="273">
        <f t="shared" si="2"/>
        <v>0.84469625000000004</v>
      </c>
      <c r="AC21" s="515">
        <v>16533074</v>
      </c>
      <c r="AD21" s="642">
        <f t="shared" si="3"/>
        <v>0.82665370000000005</v>
      </c>
      <c r="AE21" s="989">
        <f t="shared" si="8"/>
        <v>360851</v>
      </c>
      <c r="AF21" s="1006">
        <v>0</v>
      </c>
      <c r="AG21" s="1004">
        <v>0</v>
      </c>
      <c r="AH21" s="992" t="e">
        <f t="shared" si="4"/>
        <v>#DIV/0!</v>
      </c>
      <c r="AI21" s="249">
        <v>1400000000</v>
      </c>
      <c r="AJ21" s="249">
        <f t="shared" si="10"/>
        <v>16893925</v>
      </c>
      <c r="AK21" s="1000">
        <f t="shared" si="5"/>
        <v>1.2067089285714285E-2</v>
      </c>
      <c r="AL21" s="1001"/>
      <c r="AM21" s="157"/>
      <c r="AN21" s="152" t="s">
        <v>302</v>
      </c>
      <c r="AO21" s="1005" t="s">
        <v>888</v>
      </c>
      <c r="AP21" s="93"/>
      <c r="AQ21" s="93"/>
    </row>
    <row r="22" spans="1:43" ht="90" customHeight="1" thickBot="1">
      <c r="A22" s="321" t="s">
        <v>518</v>
      </c>
      <c r="B22" s="1020" t="s">
        <v>704</v>
      </c>
      <c r="C22" s="860">
        <v>1</v>
      </c>
      <c r="D22" s="820">
        <v>2</v>
      </c>
      <c r="E22" s="870">
        <v>1</v>
      </c>
      <c r="F22" s="860">
        <v>2</v>
      </c>
      <c r="G22" s="860"/>
      <c r="H22" s="1021">
        <f t="shared" si="7"/>
        <v>1</v>
      </c>
      <c r="I22" s="1022">
        <f t="shared" si="11"/>
        <v>1</v>
      </c>
      <c r="J22" s="189" t="s">
        <v>1451</v>
      </c>
      <c r="K22" s="1023"/>
      <c r="L22" s="206"/>
      <c r="M22" s="207"/>
      <c r="N22" s="1023"/>
      <c r="O22" s="181"/>
      <c r="P22" s="181"/>
      <c r="Q22" s="181"/>
      <c r="R22" s="1024"/>
      <c r="S22" s="1025"/>
      <c r="T22" s="860">
        <v>7</v>
      </c>
      <c r="U22" s="1026">
        <f t="shared" si="12"/>
        <v>3</v>
      </c>
      <c r="V22" s="1027">
        <f>IF(U22/T22&gt;=100%,100%,U22/T22)</f>
        <v>0.42857142857142855</v>
      </c>
      <c r="W22" s="1021">
        <v>0.08</v>
      </c>
      <c r="X22" s="477">
        <v>0.12</v>
      </c>
      <c r="Y22" s="520">
        <v>200000000</v>
      </c>
      <c r="Z22" s="1028">
        <v>35000000</v>
      </c>
      <c r="AA22" s="1028">
        <v>167826809</v>
      </c>
      <c r="AB22" s="1029">
        <f t="shared" si="2"/>
        <v>0.839134045</v>
      </c>
      <c r="AC22" s="520">
        <v>62895003</v>
      </c>
      <c r="AD22" s="1030">
        <f t="shared" si="3"/>
        <v>0.31447501500000002</v>
      </c>
      <c r="AE22" s="1031">
        <f t="shared" si="8"/>
        <v>104931806</v>
      </c>
      <c r="AF22" s="998">
        <v>0</v>
      </c>
      <c r="AG22" s="1032">
        <v>0</v>
      </c>
      <c r="AH22" s="1033" t="e">
        <f t="shared" si="4"/>
        <v>#DIV/0!</v>
      </c>
      <c r="AI22" s="290">
        <v>700000000</v>
      </c>
      <c r="AJ22" s="1034">
        <f>+SUM(Z22:AA22)</f>
        <v>202826809</v>
      </c>
      <c r="AK22" s="1035">
        <f t="shared" si="5"/>
        <v>0.28975258428571427</v>
      </c>
      <c r="AL22" s="1036"/>
      <c r="AM22" s="173"/>
      <c r="AN22" s="189" t="s">
        <v>302</v>
      </c>
      <c r="AO22" s="1005" t="s">
        <v>888</v>
      </c>
      <c r="AP22" s="1037"/>
      <c r="AQ22" s="1037"/>
    </row>
    <row r="23" spans="1:43" ht="50.25" customHeight="1" thickBot="1">
      <c r="A23" s="961" t="s">
        <v>448</v>
      </c>
      <c r="B23" s="962"/>
      <c r="C23" s="861"/>
      <c r="D23" s="826"/>
      <c r="E23" s="963"/>
      <c r="F23" s="861"/>
      <c r="G23" s="861"/>
      <c r="H23" s="964">
        <f>+(H24*50%)+(H25*50%)</f>
        <v>1</v>
      </c>
      <c r="I23" s="964">
        <f>+SUMPRODUCT(I24:I25,X24:X25)</f>
        <v>1</v>
      </c>
      <c r="J23" s="965"/>
      <c r="K23" s="962"/>
      <c r="L23" s="966"/>
      <c r="M23" s="965"/>
      <c r="N23" s="965"/>
      <c r="O23" s="966"/>
      <c r="P23" s="966"/>
      <c r="Q23" s="966"/>
      <c r="R23" s="966"/>
      <c r="S23" s="967"/>
      <c r="T23" s="968"/>
      <c r="U23" s="969"/>
      <c r="V23" s="970">
        <f>+SUMPRODUCT(V24:V25,W24:W25)</f>
        <v>0.75</v>
      </c>
      <c r="W23" s="964">
        <v>0.1</v>
      </c>
      <c r="X23" s="879">
        <v>0.1</v>
      </c>
      <c r="Y23" s="971">
        <f>SUM(Y24:Y25)</f>
        <v>600000000</v>
      </c>
      <c r="Z23" s="971">
        <f>SUM(Z24:Z25)</f>
        <v>191150000</v>
      </c>
      <c r="AA23" s="971">
        <f>SUM(AA24:AA25)</f>
        <v>567479073</v>
      </c>
      <c r="AB23" s="972">
        <f t="shared" si="2"/>
        <v>0.94579845500000004</v>
      </c>
      <c r="AC23" s="971">
        <f>SUM(AC24:AC25)</f>
        <v>523178398</v>
      </c>
      <c r="AD23" s="973">
        <f t="shared" si="3"/>
        <v>0.87196399666666669</v>
      </c>
      <c r="AE23" s="974">
        <f>SUM(AE24:AE25)</f>
        <v>44300675</v>
      </c>
      <c r="AF23" s="1038">
        <f>SUM(AF24:AF25)</f>
        <v>32500000</v>
      </c>
      <c r="AG23" s="1039">
        <f>SUM(AG24:AG25)</f>
        <v>32500000</v>
      </c>
      <c r="AH23" s="1040">
        <f t="shared" si="4"/>
        <v>1</v>
      </c>
      <c r="AI23" s="1039">
        <f>SUM(AI24:AI25)</f>
        <v>2100000000</v>
      </c>
      <c r="AJ23" s="1039">
        <f>SUM(AJ24:AJ25)</f>
        <v>758629073</v>
      </c>
      <c r="AK23" s="1041">
        <f t="shared" si="5"/>
        <v>0.36125193952380952</v>
      </c>
      <c r="AL23" s="1042"/>
      <c r="AM23" s="975"/>
      <c r="AN23" s="283"/>
      <c r="AO23" s="974"/>
      <c r="AP23" s="286"/>
      <c r="AQ23" s="286"/>
    </row>
    <row r="24" spans="1:43" ht="51" customHeight="1">
      <c r="A24" s="318" t="s">
        <v>519</v>
      </c>
      <c r="B24" s="291" t="s">
        <v>711</v>
      </c>
      <c r="C24" s="858">
        <v>1</v>
      </c>
      <c r="D24" s="818">
        <v>1</v>
      </c>
      <c r="E24" s="978">
        <v>1</v>
      </c>
      <c r="F24" s="858">
        <v>1</v>
      </c>
      <c r="G24" s="858"/>
      <c r="H24" s="821">
        <f t="shared" si="7"/>
        <v>1</v>
      </c>
      <c r="I24" s="980">
        <f>IF(F24/D24&gt;=100%,100%,F24/D24)</f>
        <v>1</v>
      </c>
      <c r="J24" s="190" t="s">
        <v>1452</v>
      </c>
      <c r="K24" s="982"/>
      <c r="L24" s="983"/>
      <c r="M24" s="984"/>
      <c r="N24" s="982"/>
      <c r="O24" s="204"/>
      <c r="P24" s="204"/>
      <c r="Q24" s="204"/>
      <c r="R24" s="985"/>
      <c r="S24" s="614"/>
      <c r="T24" s="858">
        <v>4</v>
      </c>
      <c r="U24" s="986">
        <f>SUM(E24:G24)</f>
        <v>2</v>
      </c>
      <c r="V24" s="153">
        <f>IF(U24/T24&gt;=100%,100%,U24/T24)</f>
        <v>0.5</v>
      </c>
      <c r="W24" s="478">
        <v>0.5</v>
      </c>
      <c r="X24" s="473">
        <v>0.5</v>
      </c>
      <c r="Y24" s="516">
        <v>400000000</v>
      </c>
      <c r="Z24" s="360">
        <v>151150000</v>
      </c>
      <c r="AA24" s="360">
        <v>370950000</v>
      </c>
      <c r="AB24" s="987">
        <f t="shared" si="2"/>
        <v>0.92737499999999995</v>
      </c>
      <c r="AC24" s="1043">
        <v>368950000</v>
      </c>
      <c r="AD24" s="988">
        <f t="shared" si="3"/>
        <v>0.92237499999999994</v>
      </c>
      <c r="AE24" s="1044">
        <f>+AA24-AC24</f>
        <v>2000000</v>
      </c>
      <c r="AF24" s="1045">
        <v>12500000</v>
      </c>
      <c r="AG24" s="360">
        <v>12500000</v>
      </c>
      <c r="AH24" s="614">
        <f t="shared" si="4"/>
        <v>1</v>
      </c>
      <c r="AI24" s="993">
        <v>1400000000</v>
      </c>
      <c r="AJ24" s="1046">
        <f t="shared" ref="AJ24:AJ75" si="16">+SUM(Z24:AA24)</f>
        <v>522100000</v>
      </c>
      <c r="AK24" s="821">
        <f t="shared" si="5"/>
        <v>0.37292857142857144</v>
      </c>
      <c r="AL24" s="1044"/>
      <c r="AM24" s="191"/>
      <c r="AN24" s="190" t="s">
        <v>302</v>
      </c>
      <c r="AO24" s="2312" t="s">
        <v>890</v>
      </c>
      <c r="AP24" s="1047"/>
      <c r="AQ24" s="1047"/>
    </row>
    <row r="25" spans="1:43" ht="72.75" customHeight="1" thickBot="1">
      <c r="A25" s="320" t="s">
        <v>520</v>
      </c>
      <c r="B25" s="1048" t="s">
        <v>712</v>
      </c>
      <c r="C25" s="860">
        <v>3</v>
      </c>
      <c r="D25" s="820">
        <v>3</v>
      </c>
      <c r="E25" s="870">
        <v>3</v>
      </c>
      <c r="F25" s="860">
        <v>3</v>
      </c>
      <c r="G25" s="860"/>
      <c r="H25" s="1021">
        <f t="shared" si="7"/>
        <v>1</v>
      </c>
      <c r="I25" s="1022">
        <f>IF(F25/D25&gt;=100%,100%,F25/D25)</f>
        <v>1</v>
      </c>
      <c r="J25" s="189" t="s">
        <v>930</v>
      </c>
      <c r="K25" s="1023"/>
      <c r="L25" s="206"/>
      <c r="M25" s="207"/>
      <c r="N25" s="1023"/>
      <c r="O25" s="181"/>
      <c r="P25" s="181"/>
      <c r="Q25" s="181"/>
      <c r="R25" s="1024"/>
      <c r="S25" s="1049"/>
      <c r="T25" s="860">
        <v>4</v>
      </c>
      <c r="U25" s="1026">
        <f>SUM(E25:G25)</f>
        <v>6</v>
      </c>
      <c r="V25" s="1027">
        <f>IF(U25/T25&gt;=100%,100%,U25/T25)</f>
        <v>1</v>
      </c>
      <c r="W25" s="1050">
        <v>0.5</v>
      </c>
      <c r="X25" s="882">
        <v>0.5</v>
      </c>
      <c r="Y25" s="1051">
        <v>200000000</v>
      </c>
      <c r="Z25" s="1028">
        <v>40000000</v>
      </c>
      <c r="AA25" s="1028">
        <v>196529073</v>
      </c>
      <c r="AB25" s="1029">
        <f t="shared" si="2"/>
        <v>0.98264536499999999</v>
      </c>
      <c r="AC25" s="266">
        <v>154228398</v>
      </c>
      <c r="AD25" s="1030">
        <f t="shared" si="3"/>
        <v>0.77114199000000005</v>
      </c>
      <c r="AE25" s="175">
        <f>+AA25-AC25</f>
        <v>42300675</v>
      </c>
      <c r="AF25" s="1052">
        <v>20000000</v>
      </c>
      <c r="AG25" s="1028">
        <v>20000000</v>
      </c>
      <c r="AH25" s="1053">
        <f t="shared" si="4"/>
        <v>1</v>
      </c>
      <c r="AI25" s="1034">
        <v>700000000</v>
      </c>
      <c r="AJ25" s="1054">
        <f t="shared" si="16"/>
        <v>236529073</v>
      </c>
      <c r="AK25" s="1021">
        <f t="shared" si="5"/>
        <v>0.33789867571428572</v>
      </c>
      <c r="AL25" s="175"/>
      <c r="AM25" s="173"/>
      <c r="AN25" s="189" t="s">
        <v>8</v>
      </c>
      <c r="AO25" s="2289"/>
      <c r="AP25" s="1037"/>
      <c r="AQ25" s="1037"/>
    </row>
    <row r="26" spans="1:43" ht="45" customHeight="1" thickBot="1">
      <c r="A26" s="961" t="s">
        <v>449</v>
      </c>
      <c r="B26" s="962"/>
      <c r="C26" s="861"/>
      <c r="D26" s="826"/>
      <c r="E26" s="963"/>
      <c r="F26" s="861"/>
      <c r="G26" s="861"/>
      <c r="H26" s="964">
        <f>+SUMPRODUCT(H27:H31,W27:W31)</f>
        <v>0.99999999999999989</v>
      </c>
      <c r="I26" s="964">
        <f>+SUMPRODUCT(I27:I31,X27:X31)</f>
        <v>0.9</v>
      </c>
      <c r="J26" s="965"/>
      <c r="K26" s="962"/>
      <c r="L26" s="966"/>
      <c r="M26" s="965"/>
      <c r="N26" s="965"/>
      <c r="O26" s="966"/>
      <c r="P26" s="966"/>
      <c r="Q26" s="966"/>
      <c r="R26" s="966"/>
      <c r="S26" s="967"/>
      <c r="T26" s="968"/>
      <c r="U26" s="969"/>
      <c r="V26" s="1055">
        <f>+SUMPRODUCT(V27:V32,W27:W32)</f>
        <v>0.63207673611111115</v>
      </c>
      <c r="W26" s="964">
        <v>0.7</v>
      </c>
      <c r="X26" s="879">
        <v>0.7</v>
      </c>
      <c r="Y26" s="971">
        <f>SUM(Y27:Y31)</f>
        <v>42476923235</v>
      </c>
      <c r="Z26" s="1056">
        <f>SUM(Z27:Z31)</f>
        <v>4965508956.4099998</v>
      </c>
      <c r="AA26" s="971">
        <f>SUM(AA27:AA31)</f>
        <v>15640803833.17</v>
      </c>
      <c r="AB26" s="972">
        <f t="shared" si="2"/>
        <v>0.36821885018927974</v>
      </c>
      <c r="AC26" s="1057">
        <f>SUM(AC27:AC31)</f>
        <v>14494966360.110001</v>
      </c>
      <c r="AD26" s="973">
        <f t="shared" si="3"/>
        <v>0.34124332122451101</v>
      </c>
      <c r="AE26" s="974">
        <f>SUM(AE27:AE31)</f>
        <v>1145837473.0599999</v>
      </c>
      <c r="AF26" s="1058">
        <f>SUM(AF27:AF31)</f>
        <v>4461930635.4099998</v>
      </c>
      <c r="AG26" s="971">
        <f>SUM(AG27:AG31)</f>
        <v>3692130700.3299999</v>
      </c>
      <c r="AH26" s="967">
        <f t="shared" si="4"/>
        <v>0.82747380047308505</v>
      </c>
      <c r="AI26" s="1039">
        <f>SUM(AI27:AI31)</f>
        <v>83340134346</v>
      </c>
      <c r="AJ26" s="971">
        <f>SUM(AJ27:AJ31)</f>
        <v>20606312789.580006</v>
      </c>
      <c r="AK26" s="964">
        <f t="shared" si="5"/>
        <v>0.24725557441543802</v>
      </c>
      <c r="AL26" s="974"/>
      <c r="AM26" s="975"/>
      <c r="AN26" s="283"/>
      <c r="AO26" s="974"/>
      <c r="AP26" s="286"/>
      <c r="AQ26" s="286"/>
    </row>
    <row r="27" spans="1:43" ht="184.5" customHeight="1">
      <c r="A27" s="317" t="s">
        <v>521</v>
      </c>
      <c r="B27" s="415" t="s">
        <v>713</v>
      </c>
      <c r="C27" s="858">
        <v>1</v>
      </c>
      <c r="D27" s="818">
        <v>1</v>
      </c>
      <c r="E27" s="978">
        <v>0</v>
      </c>
      <c r="F27" s="858">
        <v>0</v>
      </c>
      <c r="G27" s="865">
        <v>1</v>
      </c>
      <c r="H27" s="821">
        <f t="shared" si="7"/>
        <v>1</v>
      </c>
      <c r="I27" s="980">
        <f t="shared" ref="I27:I31" si="17">IF(F27/D27&gt;=100%,100%,F27/D27)</f>
        <v>0</v>
      </c>
      <c r="J27" s="981" t="s">
        <v>1453</v>
      </c>
      <c r="K27" s="982"/>
      <c r="L27" s="983"/>
      <c r="M27" s="984"/>
      <c r="N27" s="982"/>
      <c r="O27" s="204"/>
      <c r="P27" s="204"/>
      <c r="Q27" s="204"/>
      <c r="R27" s="985"/>
      <c r="S27" s="614"/>
      <c r="T27" s="858">
        <v>4</v>
      </c>
      <c r="U27" s="1059">
        <f>SUM(E27:G27)</f>
        <v>1</v>
      </c>
      <c r="V27" s="153">
        <f t="shared" ref="V27:V36" si="18">IF(U27/T27&gt;=100%,100%,U27/T27)</f>
        <v>0.25</v>
      </c>
      <c r="W27" s="478">
        <v>0.1</v>
      </c>
      <c r="X27" s="473">
        <v>0.1</v>
      </c>
      <c r="Y27" s="515">
        <v>247000000</v>
      </c>
      <c r="Z27" s="1060">
        <v>399801255.61000001</v>
      </c>
      <c r="AA27" s="1060">
        <v>242056750.25999999</v>
      </c>
      <c r="AB27" s="987">
        <f t="shared" si="2"/>
        <v>0.97998684315789475</v>
      </c>
      <c r="AC27" s="1060">
        <v>55048034</v>
      </c>
      <c r="AD27" s="988">
        <f t="shared" si="3"/>
        <v>0.22286653441295545</v>
      </c>
      <c r="AE27" s="1044">
        <f>+AA27-AC27</f>
        <v>187008716.25999999</v>
      </c>
      <c r="AF27" s="1061">
        <v>386801255.61000001</v>
      </c>
      <c r="AG27" s="1060">
        <v>386801255</v>
      </c>
      <c r="AH27" s="614">
        <f t="shared" si="4"/>
        <v>0.99999999842296272</v>
      </c>
      <c r="AI27" s="993">
        <v>2000000000</v>
      </c>
      <c r="AJ27" s="1046">
        <f t="shared" si="16"/>
        <v>641858005.87</v>
      </c>
      <c r="AK27" s="821">
        <f t="shared" si="5"/>
        <v>0.32092900293499999</v>
      </c>
      <c r="AL27" s="1044"/>
      <c r="AM27" s="191"/>
      <c r="AN27" s="190" t="s">
        <v>302</v>
      </c>
      <c r="AO27" s="2313" t="s">
        <v>891</v>
      </c>
      <c r="AP27" s="1047"/>
      <c r="AQ27" s="1047"/>
    </row>
    <row r="28" spans="1:43" ht="120.75" customHeight="1">
      <c r="A28" s="317" t="s">
        <v>522</v>
      </c>
      <c r="B28" s="415" t="s">
        <v>714</v>
      </c>
      <c r="C28" s="147">
        <v>1</v>
      </c>
      <c r="D28" s="383">
        <v>1</v>
      </c>
      <c r="E28" s="213">
        <v>1</v>
      </c>
      <c r="F28" s="147">
        <v>1</v>
      </c>
      <c r="G28" s="147"/>
      <c r="H28" s="180">
        <f t="shared" si="7"/>
        <v>1</v>
      </c>
      <c r="I28" s="148">
        <f t="shared" si="17"/>
        <v>1</v>
      </c>
      <c r="J28" s="1012" t="s">
        <v>1454</v>
      </c>
      <c r="K28" s="146"/>
      <c r="L28" s="101"/>
      <c r="M28" s="104"/>
      <c r="N28" s="146"/>
      <c r="O28" s="149"/>
      <c r="P28" s="149"/>
      <c r="Q28" s="149"/>
      <c r="R28" s="150"/>
      <c r="S28" s="155"/>
      <c r="T28" s="147">
        <v>4</v>
      </c>
      <c r="U28" s="242">
        <f>SUM(E28:G28)</f>
        <v>2</v>
      </c>
      <c r="V28" s="153">
        <f t="shared" si="18"/>
        <v>0.5</v>
      </c>
      <c r="W28" s="478">
        <v>0.4</v>
      </c>
      <c r="X28" s="473">
        <v>0.4</v>
      </c>
      <c r="Y28" s="515">
        <v>38312385535</v>
      </c>
      <c r="Z28" s="379">
        <v>149750000</v>
      </c>
      <c r="AA28" s="379">
        <v>11776505702.950001</v>
      </c>
      <c r="AB28" s="273">
        <f t="shared" si="2"/>
        <v>0.30738116508541763</v>
      </c>
      <c r="AC28" s="379">
        <v>11545338771.700001</v>
      </c>
      <c r="AD28" s="642">
        <f t="shared" si="3"/>
        <v>0.30134742617770016</v>
      </c>
      <c r="AE28" s="156">
        <f>+AA28-AC28</f>
        <v>231166931.25</v>
      </c>
      <c r="AF28" s="1062">
        <v>121750000</v>
      </c>
      <c r="AG28" s="379">
        <v>121750000</v>
      </c>
      <c r="AH28" s="614">
        <f t="shared" si="4"/>
        <v>1</v>
      </c>
      <c r="AI28" s="249">
        <v>61045134346</v>
      </c>
      <c r="AJ28" s="250">
        <f t="shared" si="16"/>
        <v>11926255702.950001</v>
      </c>
      <c r="AK28" s="180">
        <f t="shared" si="5"/>
        <v>0.19536783448378917</v>
      </c>
      <c r="AL28" s="156"/>
      <c r="AM28" s="157"/>
      <c r="AN28" s="152" t="s">
        <v>302</v>
      </c>
      <c r="AO28" s="2289"/>
      <c r="AP28" s="93"/>
      <c r="AQ28" s="93"/>
    </row>
    <row r="29" spans="1:43" ht="216" customHeight="1">
      <c r="A29" s="317" t="s">
        <v>523</v>
      </c>
      <c r="B29" s="415" t="s">
        <v>715</v>
      </c>
      <c r="C29" s="147">
        <v>1</v>
      </c>
      <c r="D29" s="383">
        <v>1</v>
      </c>
      <c r="E29" s="213">
        <v>0</v>
      </c>
      <c r="F29" s="859">
        <v>1</v>
      </c>
      <c r="G29" s="859">
        <v>1</v>
      </c>
      <c r="H29" s="180">
        <f t="shared" si="7"/>
        <v>1</v>
      </c>
      <c r="I29" s="148">
        <f t="shared" si="17"/>
        <v>1</v>
      </c>
      <c r="J29" s="1012" t="s">
        <v>1455</v>
      </c>
      <c r="K29" s="146"/>
      <c r="L29" s="101"/>
      <c r="M29" s="104"/>
      <c r="N29" s="146"/>
      <c r="O29" s="149"/>
      <c r="P29" s="149"/>
      <c r="Q29" s="149"/>
      <c r="R29" s="150"/>
      <c r="S29" s="155"/>
      <c r="T29" s="147">
        <v>4</v>
      </c>
      <c r="U29" s="1008">
        <f>SUM(E29:G29)</f>
        <v>2</v>
      </c>
      <c r="V29" s="153">
        <f t="shared" si="18"/>
        <v>0.5</v>
      </c>
      <c r="W29" s="478">
        <v>0.2</v>
      </c>
      <c r="X29" s="473">
        <v>0.2</v>
      </c>
      <c r="Y29" s="515">
        <v>2217537700</v>
      </c>
      <c r="Z29" s="379">
        <v>2817080389.8000002</v>
      </c>
      <c r="AA29" s="379">
        <v>2196156222.4000001</v>
      </c>
      <c r="AB29" s="273">
        <f t="shared" si="2"/>
        <v>0.99035800942640118</v>
      </c>
      <c r="AC29" s="379">
        <v>1748051434.4100001</v>
      </c>
      <c r="AD29" s="642">
        <f t="shared" si="3"/>
        <v>0.78828487759644406</v>
      </c>
      <c r="AE29" s="156">
        <f>+AA29-AC29</f>
        <v>448104787.99000001</v>
      </c>
      <c r="AF29" s="1062">
        <v>2390337209.8000002</v>
      </c>
      <c r="AG29" s="379">
        <v>1770537275.3299999</v>
      </c>
      <c r="AH29" s="614">
        <f t="shared" si="4"/>
        <v>0.74070606777616155</v>
      </c>
      <c r="AI29" s="249">
        <v>6930000000</v>
      </c>
      <c r="AJ29" s="250">
        <f t="shared" si="16"/>
        <v>5013236612.2000008</v>
      </c>
      <c r="AK29" s="180">
        <f t="shared" si="5"/>
        <v>0.72341076655122671</v>
      </c>
      <c r="AL29" s="156"/>
      <c r="AM29" s="157"/>
      <c r="AN29" s="152" t="s">
        <v>302</v>
      </c>
      <c r="AO29" s="2289"/>
      <c r="AP29" s="93"/>
      <c r="AQ29" s="93"/>
    </row>
    <row r="30" spans="1:43" ht="63.75">
      <c r="A30" s="317" t="s">
        <v>524</v>
      </c>
      <c r="B30" s="415" t="s">
        <v>716</v>
      </c>
      <c r="C30" s="147">
        <v>1</v>
      </c>
      <c r="D30" s="383">
        <v>1</v>
      </c>
      <c r="E30" s="213">
        <v>1</v>
      </c>
      <c r="F30" s="147">
        <v>1</v>
      </c>
      <c r="G30" s="147"/>
      <c r="H30" s="180">
        <f t="shared" si="7"/>
        <v>1</v>
      </c>
      <c r="I30" s="148">
        <f t="shared" si="17"/>
        <v>1</v>
      </c>
      <c r="J30" s="152" t="s">
        <v>1456</v>
      </c>
      <c r="K30" s="146"/>
      <c r="L30" s="101"/>
      <c r="M30" s="104"/>
      <c r="N30" s="146"/>
      <c r="O30" s="149"/>
      <c r="P30" s="149"/>
      <c r="Q30" s="149"/>
      <c r="R30" s="150"/>
      <c r="S30" s="155"/>
      <c r="T30" s="147">
        <v>4</v>
      </c>
      <c r="U30" s="242">
        <f>SUM(E30:G30)</f>
        <v>2</v>
      </c>
      <c r="V30" s="153">
        <f t="shared" si="18"/>
        <v>0.5</v>
      </c>
      <c r="W30" s="478">
        <v>0.2</v>
      </c>
      <c r="X30" s="473">
        <v>0.2</v>
      </c>
      <c r="Y30" s="515">
        <v>1400000000</v>
      </c>
      <c r="Z30" s="359">
        <v>1573877311</v>
      </c>
      <c r="AA30" s="379">
        <v>1130744278.5599999</v>
      </c>
      <c r="AB30" s="273">
        <f t="shared" si="2"/>
        <v>0.80767448468571423</v>
      </c>
      <c r="AC30" s="379">
        <v>851728517</v>
      </c>
      <c r="AD30" s="642">
        <f t="shared" si="3"/>
        <v>0.60837751214285718</v>
      </c>
      <c r="AE30" s="156">
        <f>+AA30-AC30</f>
        <v>279015761.55999994</v>
      </c>
      <c r="AF30" s="1063">
        <v>1553042170</v>
      </c>
      <c r="AG30" s="359">
        <v>1403042170</v>
      </c>
      <c r="AH30" s="614">
        <f t="shared" si="4"/>
        <v>0.90341537216597279</v>
      </c>
      <c r="AI30" s="249">
        <v>10215000000</v>
      </c>
      <c r="AJ30" s="250">
        <f t="shared" si="16"/>
        <v>2704621589.5599999</v>
      </c>
      <c r="AK30" s="180">
        <f t="shared" si="5"/>
        <v>0.26476961229172785</v>
      </c>
      <c r="AL30" s="156"/>
      <c r="AM30" s="157"/>
      <c r="AN30" s="152" t="s">
        <v>302</v>
      </c>
      <c r="AO30" s="2289"/>
      <c r="AP30" s="93"/>
      <c r="AQ30" s="93"/>
    </row>
    <row r="31" spans="1:43" ht="90.75" customHeight="1" thickBot="1">
      <c r="A31" s="321" t="s">
        <v>525</v>
      </c>
      <c r="B31" s="1020" t="s">
        <v>717</v>
      </c>
      <c r="C31" s="860">
        <v>1</v>
      </c>
      <c r="D31" s="820">
        <v>1</v>
      </c>
      <c r="E31" s="870">
        <v>1</v>
      </c>
      <c r="F31" s="860">
        <v>2</v>
      </c>
      <c r="G31" s="860"/>
      <c r="H31" s="1021">
        <f t="shared" si="7"/>
        <v>1</v>
      </c>
      <c r="I31" s="1022">
        <f t="shared" si="17"/>
        <v>1</v>
      </c>
      <c r="J31" s="189" t="s">
        <v>1457</v>
      </c>
      <c r="K31" s="1023"/>
      <c r="L31" s="206"/>
      <c r="M31" s="207"/>
      <c r="N31" s="1023"/>
      <c r="O31" s="181"/>
      <c r="P31" s="181"/>
      <c r="Q31" s="181"/>
      <c r="R31" s="1024"/>
      <c r="S31" s="1049"/>
      <c r="T31" s="860">
        <v>4</v>
      </c>
      <c r="U31" s="1026">
        <f>SUM(E31:G31)</f>
        <v>3</v>
      </c>
      <c r="V31" s="1027">
        <f t="shared" si="18"/>
        <v>0.75</v>
      </c>
      <c r="W31" s="1050">
        <v>0.1</v>
      </c>
      <c r="X31" s="882">
        <v>0.1</v>
      </c>
      <c r="Y31" s="520">
        <v>300000000</v>
      </c>
      <c r="Z31" s="1028">
        <v>25000000</v>
      </c>
      <c r="AA31" s="1064">
        <v>295340879</v>
      </c>
      <c r="AB31" s="1029">
        <f t="shared" si="2"/>
        <v>0.98446959666666667</v>
      </c>
      <c r="AC31" s="1064">
        <v>294799603</v>
      </c>
      <c r="AD31" s="1030">
        <f t="shared" si="3"/>
        <v>0.98266534333333333</v>
      </c>
      <c r="AE31" s="175">
        <f>+AA31-AC31</f>
        <v>541276</v>
      </c>
      <c r="AF31" s="1052">
        <v>10000000</v>
      </c>
      <c r="AG31" s="1028">
        <v>10000000</v>
      </c>
      <c r="AH31" s="1053">
        <f t="shared" si="4"/>
        <v>1</v>
      </c>
      <c r="AI31" s="1034">
        <v>3150000000</v>
      </c>
      <c r="AJ31" s="1054">
        <f t="shared" si="16"/>
        <v>320340879</v>
      </c>
      <c r="AK31" s="1021">
        <f t="shared" si="5"/>
        <v>0.10169551714285714</v>
      </c>
      <c r="AL31" s="175"/>
      <c r="AM31" s="173"/>
      <c r="AN31" s="189" t="s">
        <v>302</v>
      </c>
      <c r="AO31" s="1005" t="s">
        <v>892</v>
      </c>
      <c r="AP31" s="1037"/>
      <c r="AQ31" s="1037"/>
    </row>
    <row r="32" spans="1:43" s="617" customFormat="1" ht="68.25" customHeight="1" thickBot="1">
      <c r="A32" s="1065" t="s">
        <v>421</v>
      </c>
      <c r="B32" s="1066"/>
      <c r="C32" s="862"/>
      <c r="D32" s="835"/>
      <c r="E32" s="1067"/>
      <c r="F32" s="862"/>
      <c r="G32" s="862"/>
      <c r="H32" s="1068">
        <f>+(H33*W33)+(H37*W37)+(H45*W45)</f>
        <v>0.89024999999999999</v>
      </c>
      <c r="I32" s="1068">
        <f>+(I33*X33)+(I37*X37)+(I45*X45)</f>
        <v>0.85733333333333328</v>
      </c>
      <c r="J32" s="1069"/>
      <c r="K32" s="1066"/>
      <c r="L32" s="1070"/>
      <c r="M32" s="1070"/>
      <c r="N32" s="1070"/>
      <c r="O32" s="1071"/>
      <c r="P32" s="1071"/>
      <c r="Q32" s="1071"/>
      <c r="R32" s="1072"/>
      <c r="S32" s="1073"/>
      <c r="T32" s="1074"/>
      <c r="U32" s="1075"/>
      <c r="V32" s="1076">
        <f>+(V33*W33)+(V37*W37)+(V45*W45)</f>
        <v>0.52830694444444448</v>
      </c>
      <c r="W32" s="1077">
        <v>0.25</v>
      </c>
      <c r="X32" s="883">
        <v>0.25</v>
      </c>
      <c r="Y32" s="1078">
        <f>+Y33+Y37+Y45</f>
        <v>19549452866</v>
      </c>
      <c r="Z32" s="1078">
        <f>+Z33+Z37+Z45</f>
        <v>1659050070</v>
      </c>
      <c r="AA32" s="1078">
        <f>+AA33+AA37+AA45</f>
        <v>19181525696.200001</v>
      </c>
      <c r="AB32" s="1079">
        <f t="shared" si="2"/>
        <v>0.98117966920496835</v>
      </c>
      <c r="AC32" s="1078">
        <f>+AC33+AC37+AC45</f>
        <v>8942596167</v>
      </c>
      <c r="AD32" s="1068">
        <f t="shared" si="3"/>
        <v>0.45743460076843256</v>
      </c>
      <c r="AE32" s="1066">
        <f>+AE33+AE37+AE45</f>
        <v>10238929529.200001</v>
      </c>
      <c r="AF32" s="1069">
        <f>+AF33+AF37+AF45</f>
        <v>1396500070</v>
      </c>
      <c r="AG32" s="1078">
        <f>+AG33+AG37+AG45</f>
        <v>911592980</v>
      </c>
      <c r="AH32" s="1080">
        <f t="shared" si="4"/>
        <v>0.65276973455504372</v>
      </c>
      <c r="AI32" s="1081">
        <f>+AI33+AI37+AI45</f>
        <v>20840000000</v>
      </c>
      <c r="AJ32" s="1078">
        <f>+AJ33+AJ37+AJ45</f>
        <v>20840575766.200001</v>
      </c>
      <c r="AK32" s="1077">
        <f t="shared" si="5"/>
        <v>1.0000276279366602</v>
      </c>
      <c r="AL32" s="1066"/>
      <c r="AM32" s="1071" t="s">
        <v>295</v>
      </c>
      <c r="AN32" s="1069"/>
      <c r="AO32" s="1066"/>
      <c r="AP32" s="1082"/>
      <c r="AQ32" s="1082"/>
    </row>
    <row r="33" spans="1:43" ht="57" customHeight="1" thickBot="1">
      <c r="A33" s="961" t="s">
        <v>450</v>
      </c>
      <c r="B33" s="962"/>
      <c r="C33" s="861"/>
      <c r="D33" s="826"/>
      <c r="E33" s="963"/>
      <c r="F33" s="861"/>
      <c r="G33" s="861"/>
      <c r="H33" s="964">
        <f>+(H34*50%)+(H35*50%)</f>
        <v>0.82250000000000001</v>
      </c>
      <c r="I33" s="964">
        <f>+SUMPRODUCT(I34:I36,X34:X36)</f>
        <v>0.37333333333333335</v>
      </c>
      <c r="J33" s="965"/>
      <c r="K33" s="962"/>
      <c r="L33" s="966"/>
      <c r="M33" s="965"/>
      <c r="N33" s="965"/>
      <c r="O33" s="966"/>
      <c r="P33" s="966"/>
      <c r="Q33" s="966"/>
      <c r="R33" s="966"/>
      <c r="S33" s="967"/>
      <c r="T33" s="968"/>
      <c r="U33" s="969"/>
      <c r="V33" s="970">
        <f>+SUMPRODUCT(V34:V36,W34:W36)</f>
        <v>0.41640277777777779</v>
      </c>
      <c r="W33" s="964">
        <v>0.1</v>
      </c>
      <c r="X33" s="879">
        <v>0.1</v>
      </c>
      <c r="Y33" s="971">
        <f>SUM(Y34:Y36)</f>
        <v>700000000</v>
      </c>
      <c r="Z33" s="971">
        <f>SUM(Z34:Z36)</f>
        <v>162750000</v>
      </c>
      <c r="AA33" s="971">
        <f>SUM(AA34:AA36)</f>
        <v>695340879</v>
      </c>
      <c r="AB33" s="972">
        <f t="shared" si="2"/>
        <v>0.99334411285714286</v>
      </c>
      <c r="AC33" s="971">
        <f>SUM(AC34:AC36)</f>
        <v>665439603</v>
      </c>
      <c r="AD33" s="973">
        <f t="shared" si="3"/>
        <v>0.95062800428571426</v>
      </c>
      <c r="AE33" s="974">
        <f>SUM(AE34:AE36)</f>
        <v>29901276</v>
      </c>
      <c r="AF33" s="1058">
        <f>SUM(AF34:AF36)</f>
        <v>42350000</v>
      </c>
      <c r="AG33" s="971">
        <f>SUM(AG34:AG36)</f>
        <v>42350000</v>
      </c>
      <c r="AH33" s="967">
        <f t="shared" si="4"/>
        <v>1</v>
      </c>
      <c r="AI33" s="1039">
        <f>SUM(AI34:AI36)</f>
        <v>2000000000</v>
      </c>
      <c r="AJ33" s="971">
        <f>SUM(AJ34:AJ36)</f>
        <v>858090879</v>
      </c>
      <c r="AK33" s="964">
        <f t="shared" si="5"/>
        <v>0.42904543950000001</v>
      </c>
      <c r="AL33" s="974"/>
      <c r="AM33" s="975"/>
      <c r="AN33" s="283"/>
      <c r="AO33" s="974"/>
      <c r="AP33" s="286"/>
      <c r="AQ33" s="286"/>
    </row>
    <row r="34" spans="1:43" ht="67.5" customHeight="1">
      <c r="A34" s="318" t="s">
        <v>526</v>
      </c>
      <c r="B34" s="416" t="s">
        <v>718</v>
      </c>
      <c r="C34" s="864">
        <v>0.4</v>
      </c>
      <c r="D34" s="821">
        <v>0.6</v>
      </c>
      <c r="E34" s="1083">
        <v>0.16</v>
      </c>
      <c r="F34" s="863">
        <v>0.52</v>
      </c>
      <c r="G34" s="863">
        <v>0.15</v>
      </c>
      <c r="H34" s="821">
        <f>IF((E34+G34)/C34&gt;=100%,100%,(E34+G34)/C34)</f>
        <v>0.77499999999999991</v>
      </c>
      <c r="I34" s="980">
        <f t="shared" ref="I34:I36" si="19">IF(F34/D34&gt;=100%,100%,F34/D34)</f>
        <v>0.8666666666666667</v>
      </c>
      <c r="J34" s="981" t="s">
        <v>1458</v>
      </c>
      <c r="K34" s="1084"/>
      <c r="L34" s="1085"/>
      <c r="M34" s="1086"/>
      <c r="N34" s="1084"/>
      <c r="O34" s="1087"/>
      <c r="P34" s="1087"/>
      <c r="Q34" s="1087"/>
      <c r="R34" s="1088"/>
      <c r="S34" s="1089"/>
      <c r="T34" s="863">
        <v>0.9</v>
      </c>
      <c r="U34" s="1090">
        <f>SUM(E34:G34)</f>
        <v>0.83000000000000007</v>
      </c>
      <c r="V34" s="153">
        <f t="shared" si="18"/>
        <v>0.92222222222222228</v>
      </c>
      <c r="W34" s="478">
        <v>0.35</v>
      </c>
      <c r="X34" s="473">
        <v>0.35</v>
      </c>
      <c r="Y34" s="516">
        <v>200000000</v>
      </c>
      <c r="Z34" s="360">
        <v>77150000</v>
      </c>
      <c r="AA34" s="360">
        <v>200000000</v>
      </c>
      <c r="AB34" s="987">
        <f t="shared" si="2"/>
        <v>1</v>
      </c>
      <c r="AC34" s="360">
        <v>188000000</v>
      </c>
      <c r="AD34" s="988">
        <f t="shared" si="3"/>
        <v>0.94</v>
      </c>
      <c r="AE34" s="1044">
        <f>+AA34-AC34</f>
        <v>12000000</v>
      </c>
      <c r="AF34" s="1091">
        <v>20850000</v>
      </c>
      <c r="AG34" s="360">
        <v>20850000</v>
      </c>
      <c r="AH34" s="614">
        <f t="shared" si="4"/>
        <v>1</v>
      </c>
      <c r="AI34" s="993">
        <v>700000000</v>
      </c>
      <c r="AJ34" s="1046">
        <f t="shared" si="16"/>
        <v>277150000</v>
      </c>
      <c r="AK34" s="821">
        <f t="shared" si="5"/>
        <v>0.39592857142857141</v>
      </c>
      <c r="AL34" s="1044"/>
      <c r="AM34" s="191"/>
      <c r="AN34" s="190" t="s">
        <v>302</v>
      </c>
      <c r="AO34" s="2314" t="s">
        <v>893</v>
      </c>
      <c r="AP34" s="1047"/>
      <c r="AQ34" s="1047"/>
    </row>
    <row r="35" spans="1:43" ht="63.75" customHeight="1">
      <c r="A35" s="318" t="s">
        <v>527</v>
      </c>
      <c r="B35" s="417" t="s">
        <v>720</v>
      </c>
      <c r="C35" s="182">
        <v>1</v>
      </c>
      <c r="D35" s="180">
        <v>1</v>
      </c>
      <c r="E35" s="1002">
        <v>0.87</v>
      </c>
      <c r="F35" s="182">
        <v>0.2</v>
      </c>
      <c r="G35" s="147"/>
      <c r="H35" s="180">
        <f t="shared" ref="H35:H36" si="20">IF((E35+G35)/C35&gt;=100%,100%,(E35+G35)/C35)</f>
        <v>0.87</v>
      </c>
      <c r="I35" s="148">
        <f t="shared" si="19"/>
        <v>0.2</v>
      </c>
      <c r="J35" s="1012" t="s">
        <v>1459</v>
      </c>
      <c r="K35" s="1013"/>
      <c r="L35" s="1014"/>
      <c r="M35" s="1015"/>
      <c r="N35" s="1013"/>
      <c r="O35" s="1016"/>
      <c r="P35" s="1016"/>
      <c r="Q35" s="1016"/>
      <c r="R35" s="1017"/>
      <c r="S35" s="1092"/>
      <c r="T35" s="872">
        <v>4</v>
      </c>
      <c r="U35" s="1010">
        <f>SUM(E35:G35)</f>
        <v>1.07</v>
      </c>
      <c r="V35" s="153">
        <f t="shared" si="18"/>
        <v>0.26750000000000002</v>
      </c>
      <c r="W35" s="478">
        <v>0.35</v>
      </c>
      <c r="X35" s="473">
        <v>0.35</v>
      </c>
      <c r="Y35" s="516">
        <v>200000000</v>
      </c>
      <c r="Z35" s="359">
        <v>85600000</v>
      </c>
      <c r="AA35" s="359">
        <v>200000000</v>
      </c>
      <c r="AB35" s="273">
        <f t="shared" si="2"/>
        <v>1</v>
      </c>
      <c r="AC35" s="359">
        <v>182640000</v>
      </c>
      <c r="AD35" s="642">
        <f t="shared" si="3"/>
        <v>0.91320000000000001</v>
      </c>
      <c r="AE35" s="156">
        <f>+AA35-AC35</f>
        <v>17360000</v>
      </c>
      <c r="AF35" s="1063">
        <v>21500000</v>
      </c>
      <c r="AG35" s="359">
        <v>21500000</v>
      </c>
      <c r="AH35" s="614">
        <f t="shared" si="4"/>
        <v>1</v>
      </c>
      <c r="AI35" s="249">
        <v>700000000</v>
      </c>
      <c r="AJ35" s="250">
        <f t="shared" si="16"/>
        <v>285600000</v>
      </c>
      <c r="AK35" s="180">
        <f t="shared" si="5"/>
        <v>0.40799999999999997</v>
      </c>
      <c r="AL35" s="156"/>
      <c r="AM35" s="157"/>
      <c r="AN35" s="152" t="s">
        <v>7</v>
      </c>
      <c r="AO35" s="2289"/>
      <c r="AP35" s="93"/>
      <c r="AQ35" s="93"/>
    </row>
    <row r="36" spans="1:43" ht="153" customHeight="1" thickBot="1">
      <c r="A36" s="320" t="s">
        <v>528</v>
      </c>
      <c r="B36" s="1093" t="s">
        <v>719</v>
      </c>
      <c r="C36" s="860">
        <v>0</v>
      </c>
      <c r="D36" s="820">
        <v>1</v>
      </c>
      <c r="E36" s="870">
        <v>0</v>
      </c>
      <c r="F36" s="860">
        <v>0</v>
      </c>
      <c r="G36" s="860"/>
      <c r="H36" s="1021" t="e">
        <f t="shared" si="20"/>
        <v>#DIV/0!</v>
      </c>
      <c r="I36" s="1022">
        <f t="shared" si="19"/>
        <v>0</v>
      </c>
      <c r="J36" s="189" t="s">
        <v>1460</v>
      </c>
      <c r="K36" s="1023"/>
      <c r="L36" s="206"/>
      <c r="M36" s="207"/>
      <c r="N36" s="1023"/>
      <c r="O36" s="181"/>
      <c r="P36" s="181"/>
      <c r="Q36" s="181"/>
      <c r="R36" s="1024"/>
      <c r="S36" s="1049"/>
      <c r="T36" s="860">
        <v>2</v>
      </c>
      <c r="U36" s="1021">
        <f>SUM(E36:G36)</f>
        <v>0</v>
      </c>
      <c r="V36" s="1027">
        <f t="shared" si="18"/>
        <v>0</v>
      </c>
      <c r="W36" s="1050">
        <v>0.3</v>
      </c>
      <c r="X36" s="882">
        <v>0.3</v>
      </c>
      <c r="Y36" s="1051">
        <v>300000000</v>
      </c>
      <c r="Z36" s="1094" t="s">
        <v>887</v>
      </c>
      <c r="AA36" s="1028">
        <v>295340879</v>
      </c>
      <c r="AB36" s="1029">
        <f t="shared" si="2"/>
        <v>0.98446959666666667</v>
      </c>
      <c r="AC36" s="1028">
        <v>294799603</v>
      </c>
      <c r="AD36" s="1030">
        <f t="shared" si="3"/>
        <v>0.98266534333333333</v>
      </c>
      <c r="AE36" s="175">
        <f>+AA36-AC36</f>
        <v>541276</v>
      </c>
      <c r="AF36" s="1095">
        <v>0</v>
      </c>
      <c r="AG36" s="1094">
        <v>0</v>
      </c>
      <c r="AH36" s="1053" t="e">
        <f t="shared" si="4"/>
        <v>#DIV/0!</v>
      </c>
      <c r="AI36" s="1096">
        <v>600000000</v>
      </c>
      <c r="AJ36" s="1054">
        <f t="shared" si="16"/>
        <v>295340879</v>
      </c>
      <c r="AK36" s="1021">
        <f t="shared" si="5"/>
        <v>0.49223479833333333</v>
      </c>
      <c r="AL36" s="175"/>
      <c r="AM36" s="173"/>
      <c r="AN36" s="189" t="s">
        <v>302</v>
      </c>
      <c r="AO36" s="1097" t="s">
        <v>891</v>
      </c>
      <c r="AP36" s="1037"/>
      <c r="AQ36" s="1037"/>
    </row>
    <row r="37" spans="1:43" ht="60.75" customHeight="1" thickBot="1">
      <c r="A37" s="961" t="s">
        <v>451</v>
      </c>
      <c r="B37" s="962"/>
      <c r="C37" s="861"/>
      <c r="D37" s="826"/>
      <c r="E37" s="963"/>
      <c r="F37" s="861"/>
      <c r="G37" s="861"/>
      <c r="H37" s="973">
        <f>+(H38*30%)+(H39*35%)+(H40*23%)+(H43*12%)</f>
        <v>0.76999999999999991</v>
      </c>
      <c r="I37" s="964">
        <f>+SUMPRODUCT(I38:I44,X38:X44)</f>
        <v>0.79999999999999993</v>
      </c>
      <c r="J37" s="965"/>
      <c r="K37" s="962"/>
      <c r="L37" s="1098"/>
      <c r="M37" s="1098"/>
      <c r="N37" s="1098"/>
      <c r="O37" s="966"/>
      <c r="P37" s="966"/>
      <c r="Q37" s="966"/>
      <c r="R37" s="1099"/>
      <c r="S37" s="1100"/>
      <c r="T37" s="968"/>
      <c r="U37" s="969"/>
      <c r="V37" s="1055">
        <f>+SUMPRODUCT(V38:V44,W38:W44)</f>
        <v>0.46666666666666667</v>
      </c>
      <c r="W37" s="964">
        <v>0.4</v>
      </c>
      <c r="X37" s="879">
        <v>0.4</v>
      </c>
      <c r="Y37" s="971">
        <f>SUM(Y38:Y44)</f>
        <v>1980000000</v>
      </c>
      <c r="Z37" s="971">
        <f>SUM(Z38:Z44)</f>
        <v>919742980</v>
      </c>
      <c r="AA37" s="971">
        <f>SUM(AA38:AA44)</f>
        <v>1950651505.2</v>
      </c>
      <c r="AB37" s="972">
        <f t="shared" si="2"/>
        <v>0.98517752787878787</v>
      </c>
      <c r="AC37" s="971">
        <f>SUM(AC38:AC44)</f>
        <v>1366882913</v>
      </c>
      <c r="AD37" s="973">
        <f t="shared" si="3"/>
        <v>0.69034490555555561</v>
      </c>
      <c r="AE37" s="974">
        <f>SUM(AE38:AE44)</f>
        <v>583768592.20000005</v>
      </c>
      <c r="AF37" s="1101">
        <f>SUM(AF38:AF44)</f>
        <v>828892980</v>
      </c>
      <c r="AG37" s="971">
        <f>SUM(AG38:AG44)</f>
        <v>828892980</v>
      </c>
      <c r="AH37" s="967">
        <f t="shared" si="4"/>
        <v>1</v>
      </c>
      <c r="AI37" s="1039">
        <f>SUM(AI38:AI44)</f>
        <v>7760000000</v>
      </c>
      <c r="AJ37" s="971">
        <f>SUM(AJ38:AJ44)</f>
        <v>2870394485.1999998</v>
      </c>
      <c r="AK37" s="1102">
        <f t="shared" si="5"/>
        <v>0.36989619654639172</v>
      </c>
      <c r="AL37" s="974"/>
      <c r="AM37" s="975"/>
      <c r="AN37" s="283"/>
      <c r="AO37" s="974"/>
      <c r="AP37" s="286"/>
      <c r="AQ37" s="286"/>
    </row>
    <row r="38" spans="1:43" ht="111" customHeight="1">
      <c r="A38" s="319" t="s">
        <v>529</v>
      </c>
      <c r="B38" s="418" t="s">
        <v>726</v>
      </c>
      <c r="C38" s="864">
        <v>1</v>
      </c>
      <c r="D38" s="821">
        <v>1</v>
      </c>
      <c r="E38" s="1083">
        <v>0.93</v>
      </c>
      <c r="F38" s="864">
        <v>1</v>
      </c>
      <c r="G38" s="864">
        <v>7.0000000000000007E-2</v>
      </c>
      <c r="H38" s="821">
        <f>IF((E38+G38)/C38&gt;=100%,100%,(E38+G38)/C38)</f>
        <v>1</v>
      </c>
      <c r="I38" s="980">
        <f>IF(F38/D38&gt;=100%,100%,F38/D38)</f>
        <v>1</v>
      </c>
      <c r="J38" s="190" t="s">
        <v>1461</v>
      </c>
      <c r="K38" s="982"/>
      <c r="L38" s="983"/>
      <c r="M38" s="984"/>
      <c r="N38" s="982"/>
      <c r="O38" s="204"/>
      <c r="P38" s="204"/>
      <c r="Q38" s="204"/>
      <c r="R38" s="985"/>
      <c r="S38" s="1103"/>
      <c r="T38" s="863">
        <v>4</v>
      </c>
      <c r="U38" s="1090">
        <f>SUM(E38:G38)</f>
        <v>2</v>
      </c>
      <c r="V38" s="1104">
        <f t="shared" ref="V38:V44" si="21">IF(U38/T38&gt;=100%,100%,U38/T38)</f>
        <v>0.5</v>
      </c>
      <c r="W38" s="1105">
        <v>0.1</v>
      </c>
      <c r="X38" s="884">
        <v>0.2</v>
      </c>
      <c r="Y38" s="517">
        <v>170000000</v>
      </c>
      <c r="Z38" s="360">
        <v>70850000</v>
      </c>
      <c r="AA38" s="360">
        <v>170000000</v>
      </c>
      <c r="AB38" s="1106">
        <f t="shared" si="2"/>
        <v>1</v>
      </c>
      <c r="AC38" s="360">
        <v>166500000</v>
      </c>
      <c r="AD38" s="1107">
        <f t="shared" si="3"/>
        <v>0.97941176470588232</v>
      </c>
      <c r="AE38" s="1108">
        <f>+AA38-AC38</f>
        <v>3500000</v>
      </c>
      <c r="AF38" s="1045">
        <v>17500000</v>
      </c>
      <c r="AG38" s="360">
        <v>17500000</v>
      </c>
      <c r="AH38" s="1089">
        <f t="shared" si="4"/>
        <v>1</v>
      </c>
      <c r="AI38" s="1109">
        <v>630000000</v>
      </c>
      <c r="AJ38" s="1110">
        <f t="shared" si="16"/>
        <v>240850000</v>
      </c>
      <c r="AK38" s="1090">
        <f t="shared" si="5"/>
        <v>0.38230158730158731</v>
      </c>
      <c r="AL38" s="1108"/>
      <c r="AM38" s="1111"/>
      <c r="AN38" s="981" t="s">
        <v>29</v>
      </c>
      <c r="AO38" s="418" t="s">
        <v>889</v>
      </c>
      <c r="AP38" s="1047"/>
      <c r="AQ38" s="1047"/>
    </row>
    <row r="39" spans="1:43" ht="63" customHeight="1">
      <c r="A39" s="319" t="s">
        <v>530</v>
      </c>
      <c r="B39" s="1112" t="s">
        <v>721</v>
      </c>
      <c r="C39" s="1113">
        <v>1</v>
      </c>
      <c r="D39" s="384">
        <v>1</v>
      </c>
      <c r="E39" s="213">
        <v>1</v>
      </c>
      <c r="F39" s="147">
        <v>1</v>
      </c>
      <c r="G39" s="147"/>
      <c r="H39" s="180">
        <f t="shared" ref="H39:H48" si="22">IF((E39+G39)/C39&gt;=100%,100%,(E39+G39)/C39)</f>
        <v>1</v>
      </c>
      <c r="I39" s="148">
        <f t="shared" ref="I39:I44" si="23">IF(F39/D39&gt;=100%,100%,F39/D39)</f>
        <v>1</v>
      </c>
      <c r="J39" s="152" t="s">
        <v>1462</v>
      </c>
      <c r="K39" s="146"/>
      <c r="L39" s="101"/>
      <c r="M39" s="104"/>
      <c r="N39" s="146"/>
      <c r="O39" s="149"/>
      <c r="P39" s="149"/>
      <c r="Q39" s="149"/>
      <c r="R39" s="150"/>
      <c r="S39" s="158"/>
      <c r="T39" s="859">
        <v>4</v>
      </c>
      <c r="U39" s="1008">
        <f>SUM(E39:G39)</f>
        <v>2</v>
      </c>
      <c r="V39" s="1104">
        <f t="shared" si="21"/>
        <v>0.5</v>
      </c>
      <c r="W39" s="1105">
        <v>0.3</v>
      </c>
      <c r="X39" s="881">
        <v>0.3</v>
      </c>
      <c r="Y39" s="517">
        <v>900000000</v>
      </c>
      <c r="Z39" s="359">
        <v>599224500</v>
      </c>
      <c r="AA39" s="359">
        <v>883408011</v>
      </c>
      <c r="AB39" s="1114">
        <f t="shared" si="2"/>
        <v>0.9815644566666667</v>
      </c>
      <c r="AC39" s="359">
        <v>463150138</v>
      </c>
      <c r="AD39" s="1115">
        <f t="shared" si="3"/>
        <v>0.51461126444444449</v>
      </c>
      <c r="AE39" s="1116">
        <f>+AA39-AC39</f>
        <v>420257873</v>
      </c>
      <c r="AF39" s="1063">
        <v>599224500</v>
      </c>
      <c r="AG39" s="359">
        <v>599224500</v>
      </c>
      <c r="AH39" s="1089">
        <f t="shared" si="4"/>
        <v>1</v>
      </c>
      <c r="AI39" s="1117">
        <v>4200000000</v>
      </c>
      <c r="AJ39" s="1118">
        <f t="shared" si="16"/>
        <v>1482632511</v>
      </c>
      <c r="AK39" s="1010">
        <f t="shared" si="5"/>
        <v>0.3530077407142857</v>
      </c>
      <c r="AL39" s="1116"/>
      <c r="AM39" s="1119"/>
      <c r="AN39" s="1012" t="s">
        <v>302</v>
      </c>
      <c r="AO39" s="2315" t="s">
        <v>894</v>
      </c>
      <c r="AP39" s="93"/>
      <c r="AQ39" s="93"/>
    </row>
    <row r="40" spans="1:43" ht="45" customHeight="1">
      <c r="A40" s="319" t="s">
        <v>531</v>
      </c>
      <c r="B40" s="1112" t="s">
        <v>722</v>
      </c>
      <c r="C40" s="1113">
        <v>1</v>
      </c>
      <c r="D40" s="384">
        <v>1</v>
      </c>
      <c r="E40" s="213">
        <v>0</v>
      </c>
      <c r="F40" s="147">
        <v>0</v>
      </c>
      <c r="G40" s="147"/>
      <c r="H40" s="180">
        <f t="shared" si="22"/>
        <v>0</v>
      </c>
      <c r="I40" s="148">
        <f t="shared" si="23"/>
        <v>0</v>
      </c>
      <c r="J40" s="152" t="s">
        <v>1463</v>
      </c>
      <c r="K40" s="146"/>
      <c r="L40" s="101"/>
      <c r="M40" s="104"/>
      <c r="N40" s="146"/>
      <c r="O40" s="149"/>
      <c r="P40" s="149"/>
      <c r="Q40" s="149"/>
      <c r="R40" s="150"/>
      <c r="S40" s="158"/>
      <c r="T40" s="859">
        <v>4</v>
      </c>
      <c r="U40" s="1008">
        <f>SUM(E40:G40)</f>
        <v>0</v>
      </c>
      <c r="V40" s="1104">
        <f t="shared" si="21"/>
        <v>0</v>
      </c>
      <c r="W40" s="1105">
        <v>0.2</v>
      </c>
      <c r="X40" s="881">
        <v>0.2</v>
      </c>
      <c r="Y40" s="517">
        <v>260000000</v>
      </c>
      <c r="Z40" s="508" t="s">
        <v>887</v>
      </c>
      <c r="AA40" s="359">
        <v>254533137</v>
      </c>
      <c r="AB40" s="1114">
        <f t="shared" si="2"/>
        <v>0.97897360384615384</v>
      </c>
      <c r="AC40" s="359">
        <v>129012074</v>
      </c>
      <c r="AD40" s="1010">
        <f t="shared" si="3"/>
        <v>0.49620028461538462</v>
      </c>
      <c r="AE40" s="1116">
        <f>+AA40-AC40</f>
        <v>125521063</v>
      </c>
      <c r="AF40" s="1120" t="s">
        <v>887</v>
      </c>
      <c r="AG40" s="508" t="s">
        <v>887</v>
      </c>
      <c r="AH40" s="1089" t="e">
        <f t="shared" si="4"/>
        <v>#VALUE!</v>
      </c>
      <c r="AI40" s="1117">
        <v>1400000000</v>
      </c>
      <c r="AJ40" s="1118">
        <f t="shared" si="16"/>
        <v>254533137</v>
      </c>
      <c r="AK40" s="1010">
        <f t="shared" si="5"/>
        <v>0.18180938357142856</v>
      </c>
      <c r="AL40" s="1116"/>
      <c r="AM40" s="1119"/>
      <c r="AN40" s="1012" t="s">
        <v>302</v>
      </c>
      <c r="AO40" s="2290"/>
      <c r="AP40" s="93"/>
      <c r="AQ40" s="93"/>
    </row>
    <row r="41" spans="1:43" ht="68.25" customHeight="1">
      <c r="A41" s="319" t="s">
        <v>532</v>
      </c>
      <c r="B41" s="419" t="s">
        <v>727</v>
      </c>
      <c r="C41" s="1113">
        <v>0</v>
      </c>
      <c r="D41" s="384">
        <v>1</v>
      </c>
      <c r="E41" s="213">
        <v>0</v>
      </c>
      <c r="F41" s="147">
        <v>1</v>
      </c>
      <c r="G41" s="147"/>
      <c r="H41" s="180" t="e">
        <f t="shared" si="22"/>
        <v>#DIV/0!</v>
      </c>
      <c r="I41" s="148">
        <f t="shared" si="23"/>
        <v>1</v>
      </c>
      <c r="J41" s="152" t="s">
        <v>1464</v>
      </c>
      <c r="K41" s="146"/>
      <c r="L41" s="101"/>
      <c r="M41" s="104"/>
      <c r="N41" s="146"/>
      <c r="O41" s="149"/>
      <c r="P41" s="149"/>
      <c r="Q41" s="149"/>
      <c r="R41" s="150"/>
      <c r="S41" s="158"/>
      <c r="T41" s="1121">
        <v>1</v>
      </c>
      <c r="U41" s="1008">
        <f t="shared" ref="U41:U44" si="24">SUM(E41:G41)</f>
        <v>1</v>
      </c>
      <c r="V41" s="1104">
        <f t="shared" si="21"/>
        <v>1</v>
      </c>
      <c r="W41" s="1105">
        <v>0.1</v>
      </c>
      <c r="X41" s="881">
        <v>0.1</v>
      </c>
      <c r="Y41" s="518">
        <v>490000000</v>
      </c>
      <c r="Z41" s="509" t="s">
        <v>887</v>
      </c>
      <c r="AA41" s="359">
        <v>485294769</v>
      </c>
      <c r="AB41" s="1114">
        <f t="shared" si="2"/>
        <v>0.99039748775510206</v>
      </c>
      <c r="AC41" s="359">
        <v>468731314</v>
      </c>
      <c r="AD41" s="1115">
        <f t="shared" si="3"/>
        <v>0.95659451836734699</v>
      </c>
      <c r="AE41" s="1116">
        <f>+AA41-AC41</f>
        <v>16563455</v>
      </c>
      <c r="AF41" s="1122" t="s">
        <v>887</v>
      </c>
      <c r="AG41" s="509" t="s">
        <v>887</v>
      </c>
      <c r="AH41" s="1089" t="e">
        <f t="shared" si="4"/>
        <v>#VALUE!</v>
      </c>
      <c r="AI41" s="1117">
        <v>700000000</v>
      </c>
      <c r="AJ41" s="1118">
        <f t="shared" si="16"/>
        <v>485294769</v>
      </c>
      <c r="AK41" s="1008">
        <f t="shared" si="5"/>
        <v>0.69327824142857142</v>
      </c>
      <c r="AL41" s="1116"/>
      <c r="AM41" s="1119"/>
      <c r="AN41" s="1012" t="s">
        <v>22</v>
      </c>
      <c r="AO41" s="2304" t="s">
        <v>894</v>
      </c>
      <c r="AP41" s="93"/>
      <c r="AQ41" s="93"/>
    </row>
    <row r="42" spans="1:43" ht="85.5" customHeight="1">
      <c r="A42" s="319" t="s">
        <v>533</v>
      </c>
      <c r="B42" s="420" t="s">
        <v>723</v>
      </c>
      <c r="C42" s="1113">
        <v>0</v>
      </c>
      <c r="D42" s="384">
        <v>1</v>
      </c>
      <c r="E42" s="213">
        <v>0</v>
      </c>
      <c r="F42" s="147">
        <v>1</v>
      </c>
      <c r="G42" s="147"/>
      <c r="H42" s="180" t="e">
        <f t="shared" si="22"/>
        <v>#DIV/0!</v>
      </c>
      <c r="I42" s="148">
        <f t="shared" si="23"/>
        <v>1</v>
      </c>
      <c r="J42" s="152" t="s">
        <v>1465</v>
      </c>
      <c r="K42" s="146"/>
      <c r="L42" s="101"/>
      <c r="M42" s="104"/>
      <c r="N42" s="146"/>
      <c r="O42" s="149"/>
      <c r="P42" s="149"/>
      <c r="Q42" s="149"/>
      <c r="R42" s="150"/>
      <c r="S42" s="158"/>
      <c r="T42" s="1121">
        <v>3</v>
      </c>
      <c r="U42" s="1008">
        <f t="shared" si="24"/>
        <v>1</v>
      </c>
      <c r="V42" s="1104">
        <f t="shared" si="21"/>
        <v>0.33333333333333331</v>
      </c>
      <c r="W42" s="1105">
        <v>0.1</v>
      </c>
      <c r="X42" s="881">
        <v>0.1</v>
      </c>
      <c r="Y42" s="1124">
        <v>100000000</v>
      </c>
      <c r="Z42" s="363" t="s">
        <v>887</v>
      </c>
      <c r="AA42" s="359">
        <v>98347412</v>
      </c>
      <c r="AB42" s="1114">
        <f t="shared" si="2"/>
        <v>0.98347412000000001</v>
      </c>
      <c r="AC42" s="359">
        <v>81178105</v>
      </c>
      <c r="AD42" s="1115">
        <f t="shared" si="3"/>
        <v>0.81178105</v>
      </c>
      <c r="AE42" s="1116">
        <f>+AA42-AC42</f>
        <v>17169307</v>
      </c>
      <c r="AF42" s="1125" t="s">
        <v>887</v>
      </c>
      <c r="AG42" s="363" t="s">
        <v>887</v>
      </c>
      <c r="AH42" s="1089" t="e">
        <f t="shared" si="4"/>
        <v>#VALUE!</v>
      </c>
      <c r="AI42" s="1117">
        <v>300000000</v>
      </c>
      <c r="AJ42" s="1118">
        <f t="shared" si="16"/>
        <v>98347412</v>
      </c>
      <c r="AK42" s="1010">
        <f t="shared" si="5"/>
        <v>0.32782470666666669</v>
      </c>
      <c r="AL42" s="1116"/>
      <c r="AM42" s="1119"/>
      <c r="AN42" s="1012" t="s">
        <v>302</v>
      </c>
      <c r="AO42" s="2289"/>
      <c r="AP42" s="93"/>
      <c r="AQ42" s="93"/>
    </row>
    <row r="43" spans="1:43" ht="51.75" customHeight="1">
      <c r="A43" s="319" t="s">
        <v>534</v>
      </c>
      <c r="B43" s="420" t="s">
        <v>724</v>
      </c>
      <c r="C43" s="1113">
        <v>1</v>
      </c>
      <c r="D43" s="384">
        <v>0</v>
      </c>
      <c r="E43" s="213">
        <v>0</v>
      </c>
      <c r="F43" s="147">
        <v>0</v>
      </c>
      <c r="G43" s="147">
        <v>1</v>
      </c>
      <c r="H43" s="180">
        <f t="shared" si="22"/>
        <v>1</v>
      </c>
      <c r="I43" s="148">
        <v>0</v>
      </c>
      <c r="J43" s="1012" t="s">
        <v>1466</v>
      </c>
      <c r="K43" s="146"/>
      <c r="L43" s="101"/>
      <c r="M43" s="104"/>
      <c r="N43" s="146"/>
      <c r="O43" s="149"/>
      <c r="P43" s="149"/>
      <c r="Q43" s="149"/>
      <c r="R43" s="150"/>
      <c r="S43" s="149"/>
      <c r="T43" s="1121">
        <v>1</v>
      </c>
      <c r="U43" s="1008">
        <f t="shared" si="24"/>
        <v>1</v>
      </c>
      <c r="V43" s="1104">
        <f t="shared" si="21"/>
        <v>1</v>
      </c>
      <c r="W43" s="1105">
        <v>0.1</v>
      </c>
      <c r="X43" s="881">
        <v>0</v>
      </c>
      <c r="Y43" s="517">
        <v>0</v>
      </c>
      <c r="Z43" s="359">
        <v>249668480</v>
      </c>
      <c r="AA43" s="359">
        <v>0</v>
      </c>
      <c r="AB43" s="1114" t="e">
        <f t="shared" si="2"/>
        <v>#DIV/0!</v>
      </c>
      <c r="AC43" s="359">
        <v>0</v>
      </c>
      <c r="AD43" s="1008" t="e">
        <f t="shared" si="3"/>
        <v>#DIV/0!</v>
      </c>
      <c r="AE43" s="1116"/>
      <c r="AF43" s="1063">
        <v>212168480</v>
      </c>
      <c r="AG43" s="359">
        <v>212168480</v>
      </c>
      <c r="AH43" s="1089">
        <f t="shared" si="4"/>
        <v>1</v>
      </c>
      <c r="AI43" s="1117">
        <v>350000000</v>
      </c>
      <c r="AJ43" s="1118">
        <f t="shared" si="16"/>
        <v>249668480</v>
      </c>
      <c r="AK43" s="1010">
        <f t="shared" si="5"/>
        <v>0.71333851428571426</v>
      </c>
      <c r="AL43" s="1116"/>
      <c r="AM43" s="1119"/>
      <c r="AN43" s="1012" t="s">
        <v>302</v>
      </c>
      <c r="AO43" s="2290"/>
      <c r="AP43" s="93"/>
      <c r="AQ43" s="93"/>
    </row>
    <row r="44" spans="1:43" ht="76.5" customHeight="1" thickBot="1">
      <c r="A44" s="1126" t="s">
        <v>535</v>
      </c>
      <c r="B44" s="1127" t="s">
        <v>725</v>
      </c>
      <c r="C44" s="1128">
        <v>0</v>
      </c>
      <c r="D44" s="822">
        <v>1</v>
      </c>
      <c r="E44" s="870">
        <v>0</v>
      </c>
      <c r="F44" s="860">
        <v>1</v>
      </c>
      <c r="G44" s="860"/>
      <c r="H44" s="1021" t="e">
        <f t="shared" si="22"/>
        <v>#DIV/0!</v>
      </c>
      <c r="I44" s="1022">
        <f t="shared" si="23"/>
        <v>1</v>
      </c>
      <c r="J44" s="189" t="s">
        <v>1467</v>
      </c>
      <c r="K44" s="1023"/>
      <c r="L44" s="206"/>
      <c r="M44" s="241"/>
      <c r="N44" s="1023"/>
      <c r="O44" s="181"/>
      <c r="P44" s="181"/>
      <c r="Q44" s="181"/>
      <c r="R44" s="1024"/>
      <c r="S44" s="181"/>
      <c r="T44" s="1129">
        <v>3</v>
      </c>
      <c r="U44" s="1130">
        <f t="shared" si="24"/>
        <v>1</v>
      </c>
      <c r="V44" s="1131">
        <f t="shared" si="21"/>
        <v>0.33333333333333331</v>
      </c>
      <c r="W44" s="1132">
        <v>0.1</v>
      </c>
      <c r="X44" s="885">
        <v>0.1</v>
      </c>
      <c r="Y44" s="518">
        <v>60000000</v>
      </c>
      <c r="Z44" s="363" t="s">
        <v>887</v>
      </c>
      <c r="AA44" s="1028">
        <v>59068176.200000003</v>
      </c>
      <c r="AB44" s="1133">
        <f t="shared" si="2"/>
        <v>0.98446960333333333</v>
      </c>
      <c r="AC44" s="1028">
        <v>58311282</v>
      </c>
      <c r="AD44" s="1134">
        <f t="shared" si="3"/>
        <v>0.97185469999999996</v>
      </c>
      <c r="AE44" s="1135">
        <f>+AA44-AC44</f>
        <v>756894.20000000298</v>
      </c>
      <c r="AF44" s="1125" t="s">
        <v>887</v>
      </c>
      <c r="AG44" s="363" t="s">
        <v>887</v>
      </c>
      <c r="AH44" s="1136" t="e">
        <f t="shared" si="4"/>
        <v>#VALUE!</v>
      </c>
      <c r="AI44" s="1137">
        <v>180000000</v>
      </c>
      <c r="AJ44" s="1138">
        <f t="shared" si="16"/>
        <v>59068176.200000003</v>
      </c>
      <c r="AK44" s="1139">
        <f t="shared" si="5"/>
        <v>0.32815653444444448</v>
      </c>
      <c r="AL44" s="1135"/>
      <c r="AM44" s="1140"/>
      <c r="AN44" s="1141" t="s">
        <v>302</v>
      </c>
      <c r="AO44" s="1123" t="s">
        <v>894</v>
      </c>
      <c r="AP44" s="1037"/>
      <c r="AQ44" s="1037"/>
    </row>
    <row r="45" spans="1:43" ht="45" customHeight="1" thickBot="1">
      <c r="A45" s="961" t="s">
        <v>452</v>
      </c>
      <c r="B45" s="962"/>
      <c r="C45" s="861"/>
      <c r="D45" s="826"/>
      <c r="E45" s="963"/>
      <c r="F45" s="861"/>
      <c r="G45" s="861"/>
      <c r="H45" s="964">
        <f>+(H46*40%)+(H47*60%)</f>
        <v>1</v>
      </c>
      <c r="I45" s="964">
        <f>+SUMPRODUCT(I46:I48,X46:X48)</f>
        <v>1</v>
      </c>
      <c r="J45" s="965"/>
      <c r="K45" s="962"/>
      <c r="L45" s="1098"/>
      <c r="M45" s="1098"/>
      <c r="N45" s="1098"/>
      <c r="O45" s="966"/>
      <c r="P45" s="966"/>
      <c r="Q45" s="966"/>
      <c r="R45" s="1099"/>
      <c r="S45" s="1100"/>
      <c r="T45" s="968"/>
      <c r="U45" s="1142"/>
      <c r="V45" s="1055">
        <f>+SUMPRODUCT(V46:V48,W46:W48)</f>
        <v>0.60000000000000009</v>
      </c>
      <c r="W45" s="1102">
        <v>0.5</v>
      </c>
      <c r="X45" s="886">
        <v>0.5</v>
      </c>
      <c r="Y45" s="1143">
        <f>SUM(Y46:Y48)</f>
        <v>16869452866</v>
      </c>
      <c r="Z45" s="1143">
        <f>SUM(Z46:Z48)</f>
        <v>576557090</v>
      </c>
      <c r="AA45" s="1143">
        <f>SUM(AA46:AA48)</f>
        <v>16535533312</v>
      </c>
      <c r="AB45" s="1144">
        <f t="shared" si="2"/>
        <v>0.98020566780366614</v>
      </c>
      <c r="AC45" s="1143">
        <f t="shared" ref="AC45:AJ45" si="25">SUM(AC46:AC48)</f>
        <v>6910273651</v>
      </c>
      <c r="AD45" s="1145">
        <f t="shared" si="3"/>
        <v>0.40963235179532703</v>
      </c>
      <c r="AE45" s="1146">
        <f t="shared" si="25"/>
        <v>9625259661</v>
      </c>
      <c r="AF45" s="1101">
        <f t="shared" si="25"/>
        <v>525257090</v>
      </c>
      <c r="AG45" s="1143">
        <f t="shared" si="25"/>
        <v>40350000</v>
      </c>
      <c r="AH45" s="1147">
        <f t="shared" si="25"/>
        <v>1</v>
      </c>
      <c r="AI45" s="1148">
        <f t="shared" si="25"/>
        <v>11080000000</v>
      </c>
      <c r="AJ45" s="1143">
        <f t="shared" si="25"/>
        <v>17112090402</v>
      </c>
      <c r="AK45" s="1149">
        <f t="shared" si="5"/>
        <v>1.5444124911552346</v>
      </c>
      <c r="AL45" s="1146"/>
      <c r="AM45" s="975"/>
      <c r="AN45" s="283"/>
      <c r="AO45" s="974"/>
      <c r="AP45" s="286"/>
      <c r="AQ45" s="286"/>
    </row>
    <row r="46" spans="1:43" ht="72" customHeight="1">
      <c r="A46" s="318" t="s">
        <v>536</v>
      </c>
      <c r="B46" s="977" t="s">
        <v>728</v>
      </c>
      <c r="C46" s="1150">
        <v>1</v>
      </c>
      <c r="D46" s="823">
        <v>1</v>
      </c>
      <c r="E46" s="978">
        <v>1</v>
      </c>
      <c r="F46" s="858">
        <v>1</v>
      </c>
      <c r="G46" s="858"/>
      <c r="H46" s="821">
        <f t="shared" si="22"/>
        <v>1</v>
      </c>
      <c r="I46" s="980">
        <f t="shared" ref="I46:I48" si="26">IF(F46/D46&gt;=100%,100%,F46/D46)</f>
        <v>1</v>
      </c>
      <c r="J46" s="981" t="s">
        <v>1468</v>
      </c>
      <c r="K46" s="1084"/>
      <c r="L46" s="1085"/>
      <c r="M46" s="1086"/>
      <c r="N46" s="1084"/>
      <c r="O46" s="1087"/>
      <c r="P46" s="1087"/>
      <c r="Q46" s="1087"/>
      <c r="R46" s="1088"/>
      <c r="S46" s="1151"/>
      <c r="T46" s="1152">
        <v>4</v>
      </c>
      <c r="U46" s="1059">
        <f>SUM(E46:G46)</f>
        <v>2</v>
      </c>
      <c r="V46" s="1104">
        <f>IF(U46/T46&gt;=100%,100%,U46/T46)</f>
        <v>0.5</v>
      </c>
      <c r="W46" s="1153">
        <v>0.2</v>
      </c>
      <c r="X46" s="884">
        <v>0.2</v>
      </c>
      <c r="Y46" s="1019">
        <v>120000000</v>
      </c>
      <c r="Z46" s="360">
        <v>91650000</v>
      </c>
      <c r="AA46" s="1019">
        <v>120000000</v>
      </c>
      <c r="AB46" s="1106">
        <f t="shared" si="2"/>
        <v>1</v>
      </c>
      <c r="AC46" s="1019">
        <v>120000000</v>
      </c>
      <c r="AD46" s="1107">
        <f t="shared" si="3"/>
        <v>1</v>
      </c>
      <c r="AE46" s="1108">
        <f>+AA46-AC46</f>
        <v>0</v>
      </c>
      <c r="AF46" s="1045">
        <v>40350000</v>
      </c>
      <c r="AG46" s="360">
        <v>40350000</v>
      </c>
      <c r="AH46" s="1089">
        <f t="shared" si="4"/>
        <v>1</v>
      </c>
      <c r="AI46" s="1154">
        <v>480000000</v>
      </c>
      <c r="AJ46" s="1155">
        <f t="shared" si="16"/>
        <v>211650000</v>
      </c>
      <c r="AK46" s="1090">
        <f t="shared" si="5"/>
        <v>0.44093749999999998</v>
      </c>
      <c r="AL46" s="1108"/>
      <c r="AM46" s="1111"/>
      <c r="AN46" s="190" t="s">
        <v>5</v>
      </c>
      <c r="AO46" s="1156" t="s">
        <v>894</v>
      </c>
      <c r="AP46" s="1047"/>
      <c r="AQ46" s="1047"/>
    </row>
    <row r="47" spans="1:43" ht="55.5" customHeight="1">
      <c r="A47" s="320" t="s">
        <v>537</v>
      </c>
      <c r="B47" s="414" t="s">
        <v>729</v>
      </c>
      <c r="C47" s="1157">
        <v>1</v>
      </c>
      <c r="D47" s="214">
        <v>2</v>
      </c>
      <c r="E47" s="213">
        <v>0</v>
      </c>
      <c r="F47" s="147">
        <v>2</v>
      </c>
      <c r="G47" s="147">
        <v>1</v>
      </c>
      <c r="H47" s="180">
        <f t="shared" si="22"/>
        <v>1</v>
      </c>
      <c r="I47" s="148">
        <f t="shared" si="26"/>
        <v>1</v>
      </c>
      <c r="J47" s="1012" t="s">
        <v>1469</v>
      </c>
      <c r="K47" s="1013"/>
      <c r="L47" s="1014"/>
      <c r="M47" s="1015"/>
      <c r="N47" s="1013"/>
      <c r="O47" s="1016"/>
      <c r="P47" s="1016"/>
      <c r="Q47" s="1016"/>
      <c r="R47" s="1017"/>
      <c r="S47" s="1018"/>
      <c r="T47" s="1121">
        <v>4</v>
      </c>
      <c r="U47" s="1008">
        <f t="shared" ref="U47:U48" si="27">SUM(E47:G47)</f>
        <v>3</v>
      </c>
      <c r="V47" s="1104">
        <f t="shared" ref="V47:V48" si="28">IF(U47/T47&gt;=100%,100%,U47/T47)</f>
        <v>0.75</v>
      </c>
      <c r="W47" s="1158">
        <v>0.4</v>
      </c>
      <c r="X47" s="881">
        <v>0.4</v>
      </c>
      <c r="Y47" s="1159">
        <f>16749452866/2</f>
        <v>8374726433</v>
      </c>
      <c r="Z47" s="510">
        <v>484907090</v>
      </c>
      <c r="AA47" s="1019">
        <f>16415533312/2</f>
        <v>8207766656</v>
      </c>
      <c r="AB47" s="1114">
        <f t="shared" si="2"/>
        <v>0.9800638530302187</v>
      </c>
      <c r="AC47" s="1019">
        <f>6790273651/2</f>
        <v>3395136825.5</v>
      </c>
      <c r="AD47" s="1010">
        <f t="shared" si="3"/>
        <v>0.40540271406618256</v>
      </c>
      <c r="AE47" s="1116">
        <f>+AA47-AC47</f>
        <v>4812629830.5</v>
      </c>
      <c r="AF47" s="1160">
        <f>484907090/2</f>
        <v>242453545</v>
      </c>
      <c r="AG47" s="510">
        <v>0</v>
      </c>
      <c r="AH47" s="1089">
        <f t="shared" si="4"/>
        <v>0</v>
      </c>
      <c r="AI47" s="1117">
        <v>10600000000</v>
      </c>
      <c r="AJ47" s="1161">
        <f t="shared" si="16"/>
        <v>8692673746</v>
      </c>
      <c r="AK47" s="1010">
        <f t="shared" si="5"/>
        <v>0.82006356094339627</v>
      </c>
      <c r="AL47" s="1116"/>
      <c r="AM47" s="1119"/>
      <c r="AN47" s="152" t="s">
        <v>5</v>
      </c>
      <c r="AO47" s="2305" t="s">
        <v>895</v>
      </c>
      <c r="AP47" s="93"/>
      <c r="AQ47" s="93"/>
    </row>
    <row r="48" spans="1:43" ht="72.75" customHeight="1" thickBot="1">
      <c r="A48" s="1162" t="s">
        <v>538</v>
      </c>
      <c r="B48" s="1048" t="s">
        <v>1470</v>
      </c>
      <c r="C48" s="1163">
        <v>0</v>
      </c>
      <c r="D48" s="824">
        <v>2</v>
      </c>
      <c r="E48" s="870">
        <v>0</v>
      </c>
      <c r="F48" s="860">
        <v>2</v>
      </c>
      <c r="G48" s="860"/>
      <c r="H48" s="1021" t="e">
        <f t="shared" si="22"/>
        <v>#DIV/0!</v>
      </c>
      <c r="I48" s="1022">
        <f t="shared" si="26"/>
        <v>1</v>
      </c>
      <c r="J48" s="189" t="s">
        <v>1471</v>
      </c>
      <c r="K48" s="1023"/>
      <c r="L48" s="206"/>
      <c r="M48" s="207"/>
      <c r="N48" s="1023"/>
      <c r="O48" s="181"/>
      <c r="P48" s="181"/>
      <c r="Q48" s="181"/>
      <c r="R48" s="1024"/>
      <c r="S48" s="181"/>
      <c r="T48" s="236">
        <v>4</v>
      </c>
      <c r="U48" s="1026">
        <f t="shared" si="27"/>
        <v>2</v>
      </c>
      <c r="V48" s="1027">
        <f t="shared" si="28"/>
        <v>0.5</v>
      </c>
      <c r="W48" s="1164">
        <v>0.4</v>
      </c>
      <c r="X48" s="477">
        <v>0.4</v>
      </c>
      <c r="Y48" s="1165">
        <f>16749452866/2</f>
        <v>8374726433</v>
      </c>
      <c r="Z48" s="1166">
        <v>0</v>
      </c>
      <c r="AA48" s="1167">
        <f>16415533312/2</f>
        <v>8207766656</v>
      </c>
      <c r="AB48" s="1029">
        <f t="shared" si="2"/>
        <v>0.9800638530302187</v>
      </c>
      <c r="AC48" s="1167">
        <f>6790273651/2</f>
        <v>3395136825.5</v>
      </c>
      <c r="AD48" s="1021">
        <f t="shared" si="3"/>
        <v>0.40540271406618256</v>
      </c>
      <c r="AE48" s="175">
        <f>+AA48-AC48</f>
        <v>4812629830.5</v>
      </c>
      <c r="AF48" s="1168">
        <f>484907090/2</f>
        <v>242453545</v>
      </c>
      <c r="AG48" s="1166">
        <v>0</v>
      </c>
      <c r="AH48" s="1053">
        <f t="shared" si="4"/>
        <v>0</v>
      </c>
      <c r="AI48" s="1034">
        <v>0</v>
      </c>
      <c r="AJ48" s="1169">
        <f t="shared" si="16"/>
        <v>8207766656</v>
      </c>
      <c r="AK48" s="1026" t="e">
        <f t="shared" si="5"/>
        <v>#DIV/0!</v>
      </c>
      <c r="AL48" s="175"/>
      <c r="AM48" s="173"/>
      <c r="AN48" s="189" t="s">
        <v>22</v>
      </c>
      <c r="AO48" s="2289"/>
      <c r="AP48" s="1037"/>
      <c r="AQ48" s="1037"/>
    </row>
    <row r="49" spans="1:43" s="617" customFormat="1" ht="51.75" customHeight="1" thickBot="1">
      <c r="A49" s="1065" t="s">
        <v>422</v>
      </c>
      <c r="B49" s="1066"/>
      <c r="C49" s="862"/>
      <c r="D49" s="835"/>
      <c r="E49" s="1067"/>
      <c r="F49" s="862"/>
      <c r="G49" s="862"/>
      <c r="H49" s="1068">
        <f>+(H50*W50)</f>
        <v>1</v>
      </c>
      <c r="I49" s="1068">
        <f>+(I50*X50)</f>
        <v>0.94599999999999995</v>
      </c>
      <c r="J49" s="1069"/>
      <c r="K49" s="1066"/>
      <c r="L49" s="1070"/>
      <c r="M49" s="1070"/>
      <c r="N49" s="1070"/>
      <c r="O49" s="1071"/>
      <c r="P49" s="1071"/>
      <c r="Q49" s="1071"/>
      <c r="R49" s="1072"/>
      <c r="S49" s="1073"/>
      <c r="T49" s="1074"/>
      <c r="U49" s="1075"/>
      <c r="V49" s="1170">
        <f>+(V50*W50)</f>
        <v>0.39095477386934668</v>
      </c>
      <c r="W49" s="1077">
        <v>0.1</v>
      </c>
      <c r="X49" s="883">
        <v>0.1</v>
      </c>
      <c r="Y49" s="1078">
        <f>+Y50</f>
        <v>34346706847</v>
      </c>
      <c r="Z49" s="1171">
        <f>+Z50</f>
        <v>38574898240.900002</v>
      </c>
      <c r="AA49" s="1078">
        <f>+AA50</f>
        <v>32549790015.5</v>
      </c>
      <c r="AB49" s="1079">
        <f t="shared" si="2"/>
        <v>0.94768299506836273</v>
      </c>
      <c r="AC49" s="1078">
        <f>+AC50</f>
        <v>32549790015.5</v>
      </c>
      <c r="AD49" s="1068">
        <f t="shared" si="3"/>
        <v>0.94768299506836273</v>
      </c>
      <c r="AE49" s="1066">
        <f>+AE50</f>
        <v>0</v>
      </c>
      <c r="AF49" s="1069">
        <f>+AF50</f>
        <v>7503735968.8999996</v>
      </c>
      <c r="AG49" s="1078">
        <f>+AG50</f>
        <v>6580131258.8800001</v>
      </c>
      <c r="AH49" s="1080">
        <f t="shared" si="4"/>
        <v>0.8769140180507452</v>
      </c>
      <c r="AI49" s="1081">
        <f t="shared" ref="AI49:AJ49" si="29">+AI50</f>
        <v>146573450954</v>
      </c>
      <c r="AJ49" s="1078">
        <f t="shared" si="29"/>
        <v>71124688256.399994</v>
      </c>
      <c r="AK49" s="1077">
        <f t="shared" si="5"/>
        <v>0.48524946225576326</v>
      </c>
      <c r="AL49" s="1066"/>
      <c r="AM49" s="1071" t="s">
        <v>297</v>
      </c>
      <c r="AN49" s="1069"/>
      <c r="AO49" s="1066"/>
      <c r="AP49" s="1082"/>
      <c r="AQ49" s="1082"/>
    </row>
    <row r="50" spans="1:43" ht="53.25" customHeight="1" thickBot="1">
      <c r="A50" s="961" t="s">
        <v>453</v>
      </c>
      <c r="B50" s="962"/>
      <c r="C50" s="861"/>
      <c r="D50" s="826"/>
      <c r="E50" s="963"/>
      <c r="F50" s="861"/>
      <c r="G50" s="861"/>
      <c r="H50" s="964">
        <f>+(H52*35%)+(H53*35%)+(H54*15%)+(H55*15%)</f>
        <v>1</v>
      </c>
      <c r="I50" s="964">
        <f>+SUMPRODUCT(I51:I55,X51:X55)</f>
        <v>0.94599999999999995</v>
      </c>
      <c r="J50" s="965"/>
      <c r="K50" s="962"/>
      <c r="L50" s="1098"/>
      <c r="M50" s="1098"/>
      <c r="N50" s="1098"/>
      <c r="O50" s="966"/>
      <c r="P50" s="966"/>
      <c r="Q50" s="966"/>
      <c r="R50" s="1099"/>
      <c r="S50" s="1100"/>
      <c r="T50" s="968"/>
      <c r="U50" s="1142"/>
      <c r="V50" s="1055">
        <f>+SUMPRODUCT(V51:V55,W51:W55)</f>
        <v>0.39095477386934668</v>
      </c>
      <c r="W50" s="1102">
        <v>1</v>
      </c>
      <c r="X50" s="886">
        <v>1</v>
      </c>
      <c r="Y50" s="1143">
        <f>SUM(Y51:Y55)</f>
        <v>34346706847</v>
      </c>
      <c r="Z50" s="1172">
        <f>SUM(Z51:Z55)</f>
        <v>38574898240.900002</v>
      </c>
      <c r="AA50" s="1143">
        <f>SUM(AA51:AA55)</f>
        <v>32549790015.5</v>
      </c>
      <c r="AB50" s="1144">
        <f t="shared" si="2"/>
        <v>0.94768299506836273</v>
      </c>
      <c r="AC50" s="1143">
        <f>SUM(AC51:AC55)</f>
        <v>32549790015.5</v>
      </c>
      <c r="AD50" s="1149">
        <f t="shared" si="3"/>
        <v>0.94768299506836273</v>
      </c>
      <c r="AE50" s="1146">
        <f>SUM(AE51:AE55)</f>
        <v>0</v>
      </c>
      <c r="AF50" s="1101">
        <f>SUM(AF51:AF55)</f>
        <v>7503735968.8999996</v>
      </c>
      <c r="AG50" s="1143">
        <f>SUM(AG51:AG55)</f>
        <v>6580131258.8800001</v>
      </c>
      <c r="AH50" s="1173">
        <f t="shared" si="4"/>
        <v>0.8769140180507452</v>
      </c>
      <c r="AI50" s="1148">
        <f t="shared" ref="AI50:AJ50" si="30">SUM(AI51:AI55)</f>
        <v>146573450954</v>
      </c>
      <c r="AJ50" s="1143">
        <f t="shared" si="30"/>
        <v>71124688256.399994</v>
      </c>
      <c r="AK50" s="1102">
        <f t="shared" si="5"/>
        <v>0.48524946225576326</v>
      </c>
      <c r="AL50" s="1146"/>
      <c r="AM50" s="975"/>
      <c r="AN50" s="283"/>
      <c r="AO50" s="974"/>
      <c r="AP50" s="286"/>
      <c r="AQ50" s="286"/>
    </row>
    <row r="51" spans="1:43" ht="55.5" customHeight="1">
      <c r="A51" s="317" t="s">
        <v>539</v>
      </c>
      <c r="B51" s="977" t="s">
        <v>731</v>
      </c>
      <c r="C51" s="1174">
        <v>0</v>
      </c>
      <c r="D51" s="386">
        <v>0</v>
      </c>
      <c r="E51" s="978">
        <v>0</v>
      </c>
      <c r="F51" s="858">
        <v>0</v>
      </c>
      <c r="G51" s="858"/>
      <c r="H51" s="821" t="e">
        <f t="shared" ref="H51:H55" si="31">IF((E51+G51)/C51&gt;=100%,100%,(E51+G51)/C51)</f>
        <v>#DIV/0!</v>
      </c>
      <c r="I51" s="980">
        <v>0</v>
      </c>
      <c r="J51" s="1175"/>
      <c r="K51" s="982"/>
      <c r="L51" s="983"/>
      <c r="M51" s="984"/>
      <c r="N51" s="982"/>
      <c r="O51" s="204"/>
      <c r="P51" s="204"/>
      <c r="Q51" s="204"/>
      <c r="R51" s="985"/>
      <c r="S51" s="204"/>
      <c r="T51" s="1152">
        <v>1</v>
      </c>
      <c r="U51" s="1059">
        <f>SUM(E51:G51)</f>
        <v>0</v>
      </c>
      <c r="V51" s="1104">
        <f t="shared" ref="V51:V55" si="32">IF(U51/T51&gt;=100%,100%,U51/T51)</f>
        <v>0</v>
      </c>
      <c r="W51" s="478">
        <v>0.2</v>
      </c>
      <c r="X51" s="884">
        <v>0</v>
      </c>
      <c r="Y51" s="515" t="s">
        <v>887</v>
      </c>
      <c r="Z51" s="360">
        <v>0</v>
      </c>
      <c r="AA51" s="360">
        <v>0</v>
      </c>
      <c r="AB51" s="1106" t="e">
        <f t="shared" si="2"/>
        <v>#VALUE!</v>
      </c>
      <c r="AC51" s="360">
        <v>0</v>
      </c>
      <c r="AD51" s="1059" t="e">
        <f t="shared" si="3"/>
        <v>#VALUE!</v>
      </c>
      <c r="AE51" s="1108"/>
      <c r="AF51" s="1045">
        <v>0</v>
      </c>
      <c r="AG51" s="360">
        <v>0</v>
      </c>
      <c r="AH51" s="1089" t="e">
        <f t="shared" si="4"/>
        <v>#DIV/0!</v>
      </c>
      <c r="AI51" s="1109">
        <v>600000000</v>
      </c>
      <c r="AJ51" s="1110">
        <f t="shared" si="16"/>
        <v>0</v>
      </c>
      <c r="AK51" s="1090">
        <f t="shared" si="5"/>
        <v>0</v>
      </c>
      <c r="AL51" s="1108"/>
      <c r="AM51" s="191"/>
      <c r="AN51" s="190" t="s">
        <v>22</v>
      </c>
      <c r="AO51" s="1176" t="s">
        <v>896</v>
      </c>
      <c r="AP51" s="1047"/>
      <c r="AQ51" s="1047"/>
    </row>
    <row r="52" spans="1:43" ht="45" customHeight="1">
      <c r="A52" s="317" t="s">
        <v>540</v>
      </c>
      <c r="B52" s="414" t="s">
        <v>732</v>
      </c>
      <c r="C52" s="1177">
        <v>1</v>
      </c>
      <c r="D52" s="386">
        <v>0</v>
      </c>
      <c r="E52" s="213">
        <v>0</v>
      </c>
      <c r="F52" s="147">
        <v>0</v>
      </c>
      <c r="G52" s="147">
        <v>1</v>
      </c>
      <c r="H52" s="180">
        <f t="shared" si="31"/>
        <v>1</v>
      </c>
      <c r="I52" s="148">
        <v>0</v>
      </c>
      <c r="J52" s="1012" t="s">
        <v>1472</v>
      </c>
      <c r="K52" s="146"/>
      <c r="L52" s="101"/>
      <c r="M52" s="104"/>
      <c r="N52" s="146"/>
      <c r="O52" s="149"/>
      <c r="P52" s="149"/>
      <c r="Q52" s="149"/>
      <c r="R52" s="150"/>
      <c r="S52" s="149"/>
      <c r="T52" s="1121">
        <v>4</v>
      </c>
      <c r="U52" s="1008">
        <f>SUM(E52:G52)</f>
        <v>1</v>
      </c>
      <c r="V52" s="1104">
        <f t="shared" si="32"/>
        <v>0.25</v>
      </c>
      <c r="W52" s="1178">
        <v>0.3</v>
      </c>
      <c r="X52" s="881">
        <v>0</v>
      </c>
      <c r="Y52" s="515">
        <v>0</v>
      </c>
      <c r="Z52" s="359">
        <v>2000000000</v>
      </c>
      <c r="AA52" s="359">
        <v>0</v>
      </c>
      <c r="AB52" s="1114" t="e">
        <f t="shared" si="2"/>
        <v>#DIV/0!</v>
      </c>
      <c r="AC52" s="359">
        <v>0</v>
      </c>
      <c r="AD52" s="1008" t="e">
        <f t="shared" si="3"/>
        <v>#DIV/0!</v>
      </c>
      <c r="AE52" s="1116"/>
      <c r="AF52" s="1063">
        <v>1998500000</v>
      </c>
      <c r="AG52" s="359">
        <v>1101694661.6700001</v>
      </c>
      <c r="AH52" s="1089">
        <f t="shared" si="4"/>
        <v>0.55126077641731297</v>
      </c>
      <c r="AI52" s="1117">
        <v>4800000000</v>
      </c>
      <c r="AJ52" s="1118">
        <f t="shared" si="16"/>
        <v>2000000000</v>
      </c>
      <c r="AK52" s="1010">
        <f t="shared" si="5"/>
        <v>0.41666666666666669</v>
      </c>
      <c r="AL52" s="1116"/>
      <c r="AM52" s="157"/>
      <c r="AN52" s="152" t="s">
        <v>22</v>
      </c>
      <c r="AO52" s="1179" t="s">
        <v>897</v>
      </c>
      <c r="AP52" s="93"/>
      <c r="AQ52" s="93"/>
    </row>
    <row r="53" spans="1:43" ht="82.5" customHeight="1">
      <c r="A53" s="317" t="s">
        <v>541</v>
      </c>
      <c r="B53" s="414" t="s">
        <v>733</v>
      </c>
      <c r="C53" s="1180">
        <v>300</v>
      </c>
      <c r="D53" s="385">
        <v>300</v>
      </c>
      <c r="E53" s="1181">
        <v>300</v>
      </c>
      <c r="F53" s="147">
        <v>273</v>
      </c>
      <c r="G53" s="147"/>
      <c r="H53" s="180">
        <f t="shared" si="31"/>
        <v>1</v>
      </c>
      <c r="I53" s="148">
        <f t="shared" ref="I53:I55" si="33">IF(F53/D53&gt;=100%,100%,F53/D53)</f>
        <v>0.91</v>
      </c>
      <c r="J53" s="152" t="s">
        <v>1473</v>
      </c>
      <c r="K53" s="146"/>
      <c r="L53" s="101"/>
      <c r="M53" s="104"/>
      <c r="N53" s="146"/>
      <c r="O53" s="149"/>
      <c r="P53" s="149"/>
      <c r="Q53" s="149"/>
      <c r="R53" s="150"/>
      <c r="S53" s="149"/>
      <c r="T53" s="1121">
        <v>796</v>
      </c>
      <c r="U53" s="1008">
        <f>SUM(E53:G53)</f>
        <v>573</v>
      </c>
      <c r="V53" s="1104">
        <f t="shared" si="32"/>
        <v>0.71984924623115576</v>
      </c>
      <c r="W53" s="478">
        <v>0.3</v>
      </c>
      <c r="X53" s="881">
        <v>0.6</v>
      </c>
      <c r="Y53" s="515">
        <v>5222458000</v>
      </c>
      <c r="Z53" s="359">
        <v>5376651240</v>
      </c>
      <c r="AA53" s="359">
        <v>5222458000</v>
      </c>
      <c r="AB53" s="1114">
        <f t="shared" si="2"/>
        <v>1</v>
      </c>
      <c r="AC53" s="359">
        <v>5222458000</v>
      </c>
      <c r="AD53" s="1115">
        <f t="shared" si="3"/>
        <v>1</v>
      </c>
      <c r="AE53" s="1116">
        <f>+AA53-AC53</f>
        <v>0</v>
      </c>
      <c r="AF53" s="1063">
        <v>0</v>
      </c>
      <c r="AG53" s="359">
        <v>0</v>
      </c>
      <c r="AH53" s="1089" t="e">
        <f t="shared" si="4"/>
        <v>#DIV/0!</v>
      </c>
      <c r="AI53" s="1117">
        <v>15242234384.25</v>
      </c>
      <c r="AJ53" s="1118">
        <f t="shared" si="16"/>
        <v>10599109240</v>
      </c>
      <c r="AK53" s="1115">
        <f t="shared" si="5"/>
        <v>0.69537765742220825</v>
      </c>
      <c r="AL53" s="1116"/>
      <c r="AM53" s="157"/>
      <c r="AN53" s="152" t="s">
        <v>22</v>
      </c>
      <c r="AO53" s="1179" t="s">
        <v>897</v>
      </c>
      <c r="AP53" s="93"/>
      <c r="AQ53" s="93"/>
    </row>
    <row r="54" spans="1:43" ht="71.25" customHeight="1">
      <c r="A54" s="317" t="s">
        <v>542</v>
      </c>
      <c r="B54" s="414" t="s">
        <v>734</v>
      </c>
      <c r="C54" s="1177">
        <v>1</v>
      </c>
      <c r="D54" s="385">
        <v>1</v>
      </c>
      <c r="E54" s="213">
        <v>1</v>
      </c>
      <c r="F54" s="147">
        <v>1</v>
      </c>
      <c r="G54" s="147"/>
      <c r="H54" s="180">
        <f t="shared" si="31"/>
        <v>1</v>
      </c>
      <c r="I54" s="148">
        <f t="shared" si="33"/>
        <v>1</v>
      </c>
      <c r="J54" s="152" t="s">
        <v>1474</v>
      </c>
      <c r="K54" s="146"/>
      <c r="L54" s="101"/>
      <c r="M54" s="197"/>
      <c r="N54" s="146"/>
      <c r="O54" s="149"/>
      <c r="P54" s="149"/>
      <c r="Q54" s="149"/>
      <c r="R54" s="150"/>
      <c r="S54" s="158"/>
      <c r="T54" s="1121">
        <v>4</v>
      </c>
      <c r="U54" s="1008">
        <f>SUM(E54:G54)</f>
        <v>2</v>
      </c>
      <c r="V54" s="1104">
        <f t="shared" si="32"/>
        <v>0.5</v>
      </c>
      <c r="W54" s="1178">
        <v>0.1</v>
      </c>
      <c r="X54" s="881">
        <v>0.2</v>
      </c>
      <c r="Y54" s="519">
        <v>0</v>
      </c>
      <c r="Z54" s="359">
        <v>0</v>
      </c>
      <c r="AA54" s="359">
        <v>0</v>
      </c>
      <c r="AB54" s="1114" t="e">
        <f t="shared" si="2"/>
        <v>#DIV/0!</v>
      </c>
      <c r="AC54" s="359">
        <v>0</v>
      </c>
      <c r="AD54" s="1115" t="e">
        <f t="shared" si="3"/>
        <v>#DIV/0!</v>
      </c>
      <c r="AE54" s="1116"/>
      <c r="AF54" s="1063">
        <v>0</v>
      </c>
      <c r="AG54" s="359">
        <v>0</v>
      </c>
      <c r="AH54" s="1089" t="e">
        <f t="shared" si="4"/>
        <v>#DIV/0!</v>
      </c>
      <c r="AI54" s="1117">
        <v>5080744794.75</v>
      </c>
      <c r="AJ54" s="1118">
        <f t="shared" si="16"/>
        <v>0</v>
      </c>
      <c r="AK54" s="1010">
        <f t="shared" si="5"/>
        <v>0</v>
      </c>
      <c r="AL54" s="1116"/>
      <c r="AM54" s="157"/>
      <c r="AN54" s="152" t="s">
        <v>22</v>
      </c>
      <c r="AO54" s="2306" t="s">
        <v>897</v>
      </c>
      <c r="AP54" s="93"/>
      <c r="AQ54" s="93"/>
    </row>
    <row r="55" spans="1:43" ht="54" customHeight="1" thickBot="1">
      <c r="A55" s="321" t="s">
        <v>543</v>
      </c>
      <c r="B55" s="422" t="s">
        <v>735</v>
      </c>
      <c r="C55" s="1182">
        <v>1</v>
      </c>
      <c r="D55" s="825">
        <v>1</v>
      </c>
      <c r="E55" s="870">
        <v>1</v>
      </c>
      <c r="F55" s="860">
        <v>1</v>
      </c>
      <c r="G55" s="860"/>
      <c r="H55" s="1021">
        <f t="shared" si="31"/>
        <v>1</v>
      </c>
      <c r="I55" s="1022">
        <f t="shared" si="33"/>
        <v>1</v>
      </c>
      <c r="J55" s="189" t="s">
        <v>1475</v>
      </c>
      <c r="K55" s="1023"/>
      <c r="L55" s="206"/>
      <c r="M55" s="207"/>
      <c r="N55" s="1023"/>
      <c r="O55" s="181"/>
      <c r="P55" s="181"/>
      <c r="Q55" s="181"/>
      <c r="R55" s="1024"/>
      <c r="S55" s="1025"/>
      <c r="T55" s="1129">
        <v>4</v>
      </c>
      <c r="U55" s="1130">
        <f>SUM(E55:G55)</f>
        <v>2</v>
      </c>
      <c r="V55" s="1131">
        <f t="shared" si="32"/>
        <v>0.5</v>
      </c>
      <c r="W55" s="1183">
        <v>0.1</v>
      </c>
      <c r="X55" s="885">
        <v>0.2</v>
      </c>
      <c r="Y55" s="520">
        <v>29124248847</v>
      </c>
      <c r="Z55" s="1184">
        <f>27218924156+3979322844.9</f>
        <v>31198247000.900002</v>
      </c>
      <c r="AA55" s="1028">
        <v>27327332015.5</v>
      </c>
      <c r="AB55" s="1133">
        <f t="shared" si="2"/>
        <v>0.93830169351526138</v>
      </c>
      <c r="AC55" s="1028">
        <v>27327332015.5</v>
      </c>
      <c r="AD55" s="1134">
        <f t="shared" si="3"/>
        <v>0.93830169351526138</v>
      </c>
      <c r="AE55" s="1135">
        <f>+AA55-AC55</f>
        <v>0</v>
      </c>
      <c r="AF55" s="1052">
        <v>5505235968.8999996</v>
      </c>
      <c r="AG55" s="1028">
        <v>5478436597.21</v>
      </c>
      <c r="AH55" s="1136">
        <f t="shared" si="4"/>
        <v>0.99513202125369493</v>
      </c>
      <c r="AI55" s="1137">
        <v>120850471775</v>
      </c>
      <c r="AJ55" s="1138">
        <f t="shared" si="16"/>
        <v>58525579016.400002</v>
      </c>
      <c r="AK55" s="1139">
        <f t="shared" si="5"/>
        <v>0.48428093127648864</v>
      </c>
      <c r="AL55" s="1135"/>
      <c r="AM55" s="173"/>
      <c r="AN55" s="189" t="s">
        <v>22</v>
      </c>
      <c r="AO55" s="2289"/>
      <c r="AP55" s="1037"/>
      <c r="AQ55" s="1037"/>
    </row>
    <row r="56" spans="1:43" s="1197" customFormat="1" ht="61.5" customHeight="1" thickBot="1">
      <c r="A56" s="919" t="s">
        <v>417</v>
      </c>
      <c r="B56" s="1185"/>
      <c r="C56" s="869"/>
      <c r="D56" s="1186"/>
      <c r="E56" s="1187"/>
      <c r="F56" s="869"/>
      <c r="G56" s="869"/>
      <c r="H56" s="924">
        <f>+(H57*W57)+(H70*W70)+(H79*W79)</f>
        <v>0.66400000000000003</v>
      </c>
      <c r="I56" s="924">
        <f>+(I57*X57)+(I70*X70)+(I79*X79)</f>
        <v>0.5806</v>
      </c>
      <c r="J56" s="1188"/>
      <c r="K56" s="1189"/>
      <c r="L56" s="1190"/>
      <c r="M56" s="1191"/>
      <c r="N56" s="1191"/>
      <c r="O56" s="1192"/>
      <c r="P56" s="1192"/>
      <c r="Q56" s="1192"/>
      <c r="R56" s="1192"/>
      <c r="S56" s="1192"/>
      <c r="T56" s="1193"/>
      <c r="U56" s="1194"/>
      <c r="V56" s="932">
        <f>+(V57*W57)+(V70*W70)+(V79*W79)</f>
        <v>0.30339525842681492</v>
      </c>
      <c r="W56" s="933">
        <v>0.15</v>
      </c>
      <c r="X56" s="877">
        <v>0.15</v>
      </c>
      <c r="Y56" s="934">
        <f>+Y57+Y70+Y79</f>
        <v>4565875573</v>
      </c>
      <c r="Z56" s="934">
        <f>+Z57+Z70+Z79</f>
        <v>2671026967</v>
      </c>
      <c r="AA56" s="935">
        <f>+AA57+AA70+AA79</f>
        <v>3993944361.1999998</v>
      </c>
      <c r="AB56" s="929">
        <f t="shared" si="2"/>
        <v>0.87473788922718854</v>
      </c>
      <c r="AC56" s="934">
        <f>+AC57+AC70+AC79</f>
        <v>2874263215</v>
      </c>
      <c r="AD56" s="936">
        <f t="shared" si="3"/>
        <v>0.62950975536800946</v>
      </c>
      <c r="AE56" s="920">
        <f>+AE57+AE70+AE79</f>
        <v>1119681146.2</v>
      </c>
      <c r="AF56" s="937">
        <f>+AF57+AF70+AF79</f>
        <v>1874417406.9000001</v>
      </c>
      <c r="AG56" s="934">
        <f>+AG57+AG70+AG79</f>
        <v>1845306970.21</v>
      </c>
      <c r="AH56" s="1195">
        <f t="shared" si="4"/>
        <v>0.98446960821915097</v>
      </c>
      <c r="AI56" s="934">
        <f>+AI57+AI70+AI79</f>
        <v>26047160427</v>
      </c>
      <c r="AJ56" s="934">
        <f>+AJ57+AJ70+AJ79</f>
        <v>6664971328.1999998</v>
      </c>
      <c r="AK56" s="933">
        <f t="shared" si="5"/>
        <v>0.25588091826282972</v>
      </c>
      <c r="AL56" s="920"/>
      <c r="AM56" s="939"/>
      <c r="AN56" s="937"/>
      <c r="AO56" s="920"/>
      <c r="AP56" s="1196"/>
      <c r="AQ56" s="1196"/>
    </row>
    <row r="57" spans="1:43" s="617" customFormat="1" ht="54" customHeight="1" thickBot="1">
      <c r="A57" s="1065" t="s">
        <v>423</v>
      </c>
      <c r="B57" s="1066"/>
      <c r="C57" s="862"/>
      <c r="D57" s="835"/>
      <c r="E57" s="1067"/>
      <c r="F57" s="862"/>
      <c r="G57" s="862"/>
      <c r="H57" s="1198">
        <f>+(H58*50%)+(H64*50%)</f>
        <v>0.5</v>
      </c>
      <c r="I57" s="1198">
        <f>+(I58*X58)+(I64*X64)</f>
        <v>0.75</v>
      </c>
      <c r="J57" s="1069"/>
      <c r="K57" s="1066"/>
      <c r="L57" s="1071"/>
      <c r="M57" s="1069"/>
      <c r="N57" s="1069"/>
      <c r="O57" s="1071"/>
      <c r="P57" s="1071"/>
      <c r="Q57" s="1071"/>
      <c r="R57" s="1072"/>
      <c r="S57" s="1071"/>
      <c r="T57" s="1074"/>
      <c r="U57" s="1075"/>
      <c r="V57" s="1076">
        <f>+(V58*W58)+(V64*W64)</f>
        <v>0.4261299142460318</v>
      </c>
      <c r="W57" s="1077">
        <v>0.3</v>
      </c>
      <c r="X57" s="883">
        <v>0.3</v>
      </c>
      <c r="Y57" s="1078">
        <f>+Y58+Y64</f>
        <v>1100000000</v>
      </c>
      <c r="Z57" s="1078">
        <f>+Z58+Z64</f>
        <v>1620388056</v>
      </c>
      <c r="AA57" s="1078">
        <f>+AA58+AA64</f>
        <v>859909131</v>
      </c>
      <c r="AB57" s="1079">
        <f t="shared" si="2"/>
        <v>0.78173557363636359</v>
      </c>
      <c r="AC57" s="1078">
        <f>+AC58+AC64</f>
        <v>642270869</v>
      </c>
      <c r="AD57" s="1068">
        <f t="shared" si="3"/>
        <v>0.58388260818181814</v>
      </c>
      <c r="AE57" s="1066">
        <f>+AE58+AE64</f>
        <v>217638262</v>
      </c>
      <c r="AF57" s="1069">
        <f>+AF58+AF64</f>
        <v>1741019106.9000001</v>
      </c>
      <c r="AG57" s="1078">
        <f>+AG58+AG64</f>
        <v>1714219735.21</v>
      </c>
      <c r="AH57" s="1080">
        <f t="shared" si="4"/>
        <v>0.98460707778347245</v>
      </c>
      <c r="AI57" s="1078">
        <f>+AI58+AI64</f>
        <v>9830000000</v>
      </c>
      <c r="AJ57" s="1078">
        <f>+AJ58+AJ64</f>
        <v>2480297187</v>
      </c>
      <c r="AK57" s="1077">
        <f t="shared" si="5"/>
        <v>0.2523191441505595</v>
      </c>
      <c r="AL57" s="1066"/>
      <c r="AM57" s="1071" t="s">
        <v>294</v>
      </c>
      <c r="AN57" s="1069"/>
      <c r="AO57" s="1066"/>
      <c r="AP57" s="1082"/>
      <c r="AQ57" s="1082"/>
    </row>
    <row r="58" spans="1:43" ht="50.25" customHeight="1" thickBot="1">
      <c r="A58" s="961" t="s">
        <v>454</v>
      </c>
      <c r="B58" s="962"/>
      <c r="C58" s="861"/>
      <c r="D58" s="826"/>
      <c r="E58" s="963"/>
      <c r="F58" s="861"/>
      <c r="G58" s="861"/>
      <c r="H58" s="964">
        <f>+H62*100%</f>
        <v>0</v>
      </c>
      <c r="I58" s="964">
        <f>+SUMPRODUCT(I59:I63,X59:X63)</f>
        <v>0.5</v>
      </c>
      <c r="J58" s="965"/>
      <c r="K58" s="962"/>
      <c r="L58" s="1098"/>
      <c r="M58" s="1098"/>
      <c r="N58" s="1098"/>
      <c r="O58" s="966"/>
      <c r="P58" s="966"/>
      <c r="Q58" s="966"/>
      <c r="R58" s="1099"/>
      <c r="S58" s="1100"/>
      <c r="T58" s="968"/>
      <c r="U58" s="969"/>
      <c r="V58" s="1199">
        <f>+SUMPRODUCT(V59:V63,AK59:AK63)</f>
        <v>0.24987887611111112</v>
      </c>
      <c r="W58" s="964">
        <v>0.5</v>
      </c>
      <c r="X58" s="879">
        <v>0.5</v>
      </c>
      <c r="Y58" s="971">
        <f>SUM(Y59:Y63)</f>
        <v>500000000</v>
      </c>
      <c r="Z58" s="971">
        <f>SUM(Z59:Z63)</f>
        <v>202888056</v>
      </c>
      <c r="AA58" s="971">
        <f>SUM(AA59:AA63)</f>
        <v>267680487</v>
      </c>
      <c r="AB58" s="972">
        <f t="shared" si="2"/>
        <v>0.53536097400000004</v>
      </c>
      <c r="AC58" s="971">
        <f>SUM(AC59:AC63)</f>
        <v>56522524</v>
      </c>
      <c r="AD58" s="973">
        <f t="shared" si="3"/>
        <v>0.113045048</v>
      </c>
      <c r="AE58" s="974">
        <f>SUM(AE59:AE63)</f>
        <v>211157963</v>
      </c>
      <c r="AF58" s="283">
        <f>SUM(AF59:AF63)</f>
        <v>366019106.89999998</v>
      </c>
      <c r="AG58" s="976">
        <f>SUM(AG59:AG63)</f>
        <v>339219735.20999998</v>
      </c>
      <c r="AH58" s="967">
        <f t="shared" si="4"/>
        <v>0.92678149532417209</v>
      </c>
      <c r="AI58" s="976">
        <f>SUM(AI59:AI63)</f>
        <v>5100000000</v>
      </c>
      <c r="AJ58" s="976">
        <f>SUM(AJ59:AJ63)</f>
        <v>470568543</v>
      </c>
      <c r="AK58" s="1200">
        <f t="shared" si="5"/>
        <v>9.2268341764705886E-2</v>
      </c>
      <c r="AL58" s="974"/>
      <c r="AM58" s="975"/>
      <c r="AN58" s="283"/>
      <c r="AO58" s="974"/>
      <c r="AP58" s="286"/>
      <c r="AQ58" s="286"/>
    </row>
    <row r="59" spans="1:43" ht="54.75" customHeight="1">
      <c r="A59" s="323" t="s">
        <v>544</v>
      </c>
      <c r="B59" s="1201" t="s">
        <v>738</v>
      </c>
      <c r="C59" s="1202">
        <v>0</v>
      </c>
      <c r="D59" s="388">
        <v>0</v>
      </c>
      <c r="E59" s="1203">
        <v>0</v>
      </c>
      <c r="F59" s="865">
        <v>0</v>
      </c>
      <c r="G59" s="865"/>
      <c r="H59" s="1090" t="e">
        <f t="shared" ref="H59:H69" si="34">IF((E59+G59)/C59&gt;=100%,100%,(E59+G59)/C59)</f>
        <v>#DIV/0!</v>
      </c>
      <c r="I59" s="1204">
        <v>0</v>
      </c>
      <c r="J59" s="981"/>
      <c r="K59" s="1084"/>
      <c r="L59" s="1085"/>
      <c r="M59" s="1086"/>
      <c r="N59" s="1084"/>
      <c r="O59" s="1087"/>
      <c r="P59" s="1087"/>
      <c r="Q59" s="1087"/>
      <c r="R59" s="1088"/>
      <c r="S59" s="1151"/>
      <c r="T59" s="1152">
        <v>150</v>
      </c>
      <c r="U59" s="1059">
        <f>SUM(E59:G59)</f>
        <v>0</v>
      </c>
      <c r="V59" s="1104">
        <f t="shared" ref="V59:V63" si="35">IF(U59/T59&gt;=100%,100%,U59/T59)</f>
        <v>0</v>
      </c>
      <c r="W59" s="1205">
        <v>0.25</v>
      </c>
      <c r="X59" s="884">
        <v>0</v>
      </c>
      <c r="Y59" s="521" t="s">
        <v>887</v>
      </c>
      <c r="Z59" s="365" t="s">
        <v>887</v>
      </c>
      <c r="AA59" s="365">
        <v>0</v>
      </c>
      <c r="AB59" s="1106" t="e">
        <f t="shared" si="2"/>
        <v>#VALUE!</v>
      </c>
      <c r="AC59" s="365">
        <v>0</v>
      </c>
      <c r="AD59" s="1059" t="e">
        <f t="shared" si="3"/>
        <v>#VALUE!</v>
      </c>
      <c r="AE59" s="1108"/>
      <c r="AF59" s="1206" t="s">
        <v>887</v>
      </c>
      <c r="AG59" s="365" t="s">
        <v>887</v>
      </c>
      <c r="AH59" s="1089" t="e">
        <f t="shared" si="4"/>
        <v>#VALUE!</v>
      </c>
      <c r="AI59" s="1110">
        <v>1500000000</v>
      </c>
      <c r="AJ59" s="1110">
        <f t="shared" si="16"/>
        <v>0</v>
      </c>
      <c r="AK59" s="1090">
        <f t="shared" si="5"/>
        <v>0</v>
      </c>
      <c r="AL59" s="1108"/>
      <c r="AM59" s="1111"/>
      <c r="AN59" s="981" t="s">
        <v>10</v>
      </c>
      <c r="AO59" s="427" t="s">
        <v>898</v>
      </c>
      <c r="AP59" s="1207"/>
      <c r="AQ59" s="1047"/>
    </row>
    <row r="60" spans="1:43" ht="87.75" customHeight="1">
      <c r="A60" s="323" t="s">
        <v>545</v>
      </c>
      <c r="B60" s="425" t="s">
        <v>736</v>
      </c>
      <c r="C60" s="1202">
        <v>0</v>
      </c>
      <c r="D60" s="388">
        <v>50000</v>
      </c>
      <c r="E60" s="1009">
        <v>0</v>
      </c>
      <c r="F60" s="859">
        <v>0</v>
      </c>
      <c r="G60" s="859"/>
      <c r="H60" s="1010" t="e">
        <f t="shared" si="34"/>
        <v>#DIV/0!</v>
      </c>
      <c r="I60" s="1011">
        <f t="shared" ref="I60" si="36">IF(F60/D60&gt;=100%,100%,F60/D60)</f>
        <v>0</v>
      </c>
      <c r="J60" s="1012" t="s">
        <v>1476</v>
      </c>
      <c r="K60" s="1013"/>
      <c r="L60" s="1014"/>
      <c r="M60" s="1015"/>
      <c r="N60" s="1013"/>
      <c r="O60" s="1016"/>
      <c r="P60" s="1016"/>
      <c r="Q60" s="1016"/>
      <c r="R60" s="1017"/>
      <c r="S60" s="1018"/>
      <c r="T60" s="1121">
        <v>150000</v>
      </c>
      <c r="U60" s="1008">
        <f t="shared" ref="U60:U63" si="37">SUM(E60:G60)</f>
        <v>0</v>
      </c>
      <c r="V60" s="1104">
        <f t="shared" si="35"/>
        <v>0</v>
      </c>
      <c r="W60" s="1205">
        <v>0.2</v>
      </c>
      <c r="X60" s="881">
        <v>0.5</v>
      </c>
      <c r="Y60" s="521">
        <v>250000000</v>
      </c>
      <c r="Z60" s="365">
        <v>0</v>
      </c>
      <c r="AA60" s="364">
        <v>20786566</v>
      </c>
      <c r="AB60" s="1114">
        <f t="shared" si="2"/>
        <v>8.3146263999999998E-2</v>
      </c>
      <c r="AC60" s="364">
        <v>17325906</v>
      </c>
      <c r="AD60" s="1010">
        <f t="shared" si="3"/>
        <v>6.9303623999999994E-2</v>
      </c>
      <c r="AE60" s="1116">
        <f>+AA60-AC60</f>
        <v>3460660</v>
      </c>
      <c r="AF60" s="1206">
        <v>0</v>
      </c>
      <c r="AG60" s="365">
        <v>0</v>
      </c>
      <c r="AH60" s="1089" t="e">
        <f t="shared" si="4"/>
        <v>#DIV/0!</v>
      </c>
      <c r="AI60" s="1208">
        <v>900000000</v>
      </c>
      <c r="AJ60" s="1118">
        <f t="shared" si="16"/>
        <v>20786566</v>
      </c>
      <c r="AK60" s="1010">
        <f t="shared" si="5"/>
        <v>2.3096184444444445E-2</v>
      </c>
      <c r="AL60" s="1116"/>
      <c r="AM60" s="1119"/>
      <c r="AN60" s="1012" t="s">
        <v>302</v>
      </c>
      <c r="AO60" s="1209" t="s">
        <v>898</v>
      </c>
      <c r="AP60" s="1210"/>
      <c r="AQ60" s="93"/>
    </row>
    <row r="61" spans="1:43" ht="61.5" customHeight="1">
      <c r="A61" s="323" t="s">
        <v>546</v>
      </c>
      <c r="B61" s="426" t="s">
        <v>737</v>
      </c>
      <c r="C61" s="1211">
        <v>0</v>
      </c>
      <c r="D61" s="389">
        <v>0</v>
      </c>
      <c r="E61" s="1009">
        <v>0</v>
      </c>
      <c r="F61" s="859">
        <v>0</v>
      </c>
      <c r="G61" s="859"/>
      <c r="H61" s="1010" t="e">
        <f t="shared" si="34"/>
        <v>#DIV/0!</v>
      </c>
      <c r="I61" s="1011">
        <v>0</v>
      </c>
      <c r="J61" s="1012"/>
      <c r="K61" s="1013"/>
      <c r="L61" s="1014"/>
      <c r="M61" s="1015"/>
      <c r="N61" s="1013"/>
      <c r="O61" s="1016"/>
      <c r="P61" s="1016"/>
      <c r="Q61" s="1016"/>
      <c r="R61" s="1017"/>
      <c r="S61" s="1018"/>
      <c r="T61" s="1121">
        <v>4</v>
      </c>
      <c r="U61" s="1008">
        <f t="shared" si="37"/>
        <v>0</v>
      </c>
      <c r="V61" s="1104">
        <f t="shared" si="35"/>
        <v>0</v>
      </c>
      <c r="W61" s="1212">
        <v>0.15</v>
      </c>
      <c r="X61" s="881">
        <v>0</v>
      </c>
      <c r="Y61" s="521" t="s">
        <v>887</v>
      </c>
      <c r="Z61" s="365" t="s">
        <v>887</v>
      </c>
      <c r="AA61" s="364">
        <v>0</v>
      </c>
      <c r="AB61" s="1114" t="e">
        <f t="shared" si="2"/>
        <v>#VALUE!</v>
      </c>
      <c r="AC61" s="364">
        <v>0</v>
      </c>
      <c r="AD61" s="1008" t="e">
        <f t="shared" si="3"/>
        <v>#VALUE!</v>
      </c>
      <c r="AE61" s="1116"/>
      <c r="AF61" s="1206">
        <v>0</v>
      </c>
      <c r="AG61" s="365">
        <v>0</v>
      </c>
      <c r="AH61" s="1089" t="e">
        <f t="shared" si="4"/>
        <v>#DIV/0!</v>
      </c>
      <c r="AI61" s="1118">
        <v>800000000</v>
      </c>
      <c r="AJ61" s="1118">
        <f t="shared" si="16"/>
        <v>0</v>
      </c>
      <c r="AK61" s="1010">
        <f t="shared" si="5"/>
        <v>0</v>
      </c>
      <c r="AL61" s="1116"/>
      <c r="AM61" s="1119"/>
      <c r="AN61" s="1012" t="s">
        <v>302</v>
      </c>
      <c r="AO61" s="1209" t="s">
        <v>898</v>
      </c>
      <c r="AP61" s="1210"/>
      <c r="AQ61" s="93"/>
    </row>
    <row r="62" spans="1:43" ht="97.5" customHeight="1">
      <c r="A62" s="323" t="s">
        <v>547</v>
      </c>
      <c r="B62" s="424" t="s">
        <v>739</v>
      </c>
      <c r="C62" s="1213">
        <v>0.1</v>
      </c>
      <c r="D62" s="387">
        <v>1</v>
      </c>
      <c r="E62" s="1009">
        <v>0</v>
      </c>
      <c r="F62" s="859">
        <v>1</v>
      </c>
      <c r="G62" s="859"/>
      <c r="H62" s="1010">
        <f t="shared" si="34"/>
        <v>0</v>
      </c>
      <c r="I62" s="1011">
        <f t="shared" ref="I62" si="38">IF(F62/D62&gt;=100%,100%,F62/D62)</f>
        <v>1</v>
      </c>
      <c r="J62" s="1012" t="s">
        <v>1477</v>
      </c>
      <c r="K62" s="1013"/>
      <c r="L62" s="1014"/>
      <c r="M62" s="1015"/>
      <c r="N62" s="1013"/>
      <c r="O62" s="1016"/>
      <c r="P62" s="1016"/>
      <c r="Q62" s="1016"/>
      <c r="R62" s="1017"/>
      <c r="S62" s="1018"/>
      <c r="T62" s="1121">
        <v>2</v>
      </c>
      <c r="U62" s="1008">
        <f t="shared" si="37"/>
        <v>1</v>
      </c>
      <c r="V62" s="1104">
        <f t="shared" si="35"/>
        <v>0.5</v>
      </c>
      <c r="W62" s="1214">
        <v>0.2</v>
      </c>
      <c r="X62" s="881">
        <v>0.5</v>
      </c>
      <c r="Y62" s="521">
        <v>250000000</v>
      </c>
      <c r="Z62" s="359">
        <v>202888056</v>
      </c>
      <c r="AA62" s="364">
        <v>246893921</v>
      </c>
      <c r="AB62" s="1114">
        <f t="shared" si="2"/>
        <v>0.98757568399999995</v>
      </c>
      <c r="AC62" s="364">
        <v>39196618</v>
      </c>
      <c r="AD62" s="1010">
        <f t="shared" si="3"/>
        <v>0.15678647200000001</v>
      </c>
      <c r="AE62" s="1116">
        <f>+AA62-AC62</f>
        <v>207697303</v>
      </c>
      <c r="AF62" s="1063">
        <v>366019106.89999998</v>
      </c>
      <c r="AG62" s="1116">
        <v>339219735.20999998</v>
      </c>
      <c r="AH62" s="1089">
        <f t="shared" si="4"/>
        <v>0.92678149532417209</v>
      </c>
      <c r="AI62" s="1208">
        <v>900000000</v>
      </c>
      <c r="AJ62" s="1118">
        <f t="shared" si="16"/>
        <v>449781977</v>
      </c>
      <c r="AK62" s="1115">
        <f t="shared" si="5"/>
        <v>0.49975775222222224</v>
      </c>
      <c r="AL62" s="1116"/>
      <c r="AM62" s="1119"/>
      <c r="AN62" s="1012" t="s">
        <v>21</v>
      </c>
      <c r="AO62" s="1209" t="s">
        <v>890</v>
      </c>
      <c r="AP62" s="1210"/>
      <c r="AQ62" s="93"/>
    </row>
    <row r="63" spans="1:43" ht="60" customHeight="1" thickBot="1">
      <c r="A63" s="1215" t="s">
        <v>548</v>
      </c>
      <c r="B63" s="1216" t="s">
        <v>740</v>
      </c>
      <c r="C63" s="1211">
        <v>0</v>
      </c>
      <c r="D63" s="389">
        <v>0</v>
      </c>
      <c r="E63" s="1217">
        <v>0</v>
      </c>
      <c r="F63" s="866">
        <v>0</v>
      </c>
      <c r="G63" s="866"/>
      <c r="H63" s="1139" t="e">
        <f t="shared" si="34"/>
        <v>#DIV/0!</v>
      </c>
      <c r="I63" s="1218">
        <v>0</v>
      </c>
      <c r="J63" s="1141"/>
      <c r="K63" s="1219"/>
      <c r="L63" s="1220"/>
      <c r="M63" s="1221"/>
      <c r="N63" s="1219"/>
      <c r="O63" s="1222"/>
      <c r="P63" s="1222"/>
      <c r="Q63" s="1222"/>
      <c r="R63" s="1223"/>
      <c r="S63" s="1222"/>
      <c r="T63" s="1129">
        <v>100</v>
      </c>
      <c r="U63" s="1130">
        <f t="shared" si="37"/>
        <v>0</v>
      </c>
      <c r="V63" s="1131">
        <f t="shared" si="35"/>
        <v>0</v>
      </c>
      <c r="W63" s="1212">
        <v>0.2</v>
      </c>
      <c r="X63" s="885">
        <v>0</v>
      </c>
      <c r="Y63" s="1224" t="s">
        <v>887</v>
      </c>
      <c r="Z63" s="1225" t="s">
        <v>887</v>
      </c>
      <c r="AA63" s="1226">
        <v>0</v>
      </c>
      <c r="AB63" s="1133" t="e">
        <f t="shared" si="2"/>
        <v>#VALUE!</v>
      </c>
      <c r="AC63" s="1226">
        <v>0</v>
      </c>
      <c r="AD63" s="1130" t="e">
        <f t="shared" si="3"/>
        <v>#VALUE!</v>
      </c>
      <c r="AE63" s="1135"/>
      <c r="AF63" s="1227">
        <v>0</v>
      </c>
      <c r="AG63" s="1225">
        <v>0</v>
      </c>
      <c r="AH63" s="1136" t="e">
        <f t="shared" si="4"/>
        <v>#DIV/0!</v>
      </c>
      <c r="AI63" s="1228">
        <v>1000000000</v>
      </c>
      <c r="AJ63" s="1138">
        <f t="shared" si="16"/>
        <v>0</v>
      </c>
      <c r="AK63" s="1139">
        <f t="shared" si="5"/>
        <v>0</v>
      </c>
      <c r="AL63" s="1135"/>
      <c r="AM63" s="1140"/>
      <c r="AN63" s="1141" t="s">
        <v>10</v>
      </c>
      <c r="AO63" s="1229" t="s">
        <v>899</v>
      </c>
      <c r="AP63" s="1230"/>
      <c r="AQ63" s="1037"/>
    </row>
    <row r="64" spans="1:43" ht="62.25" customHeight="1" thickBot="1">
      <c r="A64" s="961" t="s">
        <v>455</v>
      </c>
      <c r="B64" s="962"/>
      <c r="C64" s="861"/>
      <c r="D64" s="826"/>
      <c r="E64" s="963"/>
      <c r="F64" s="861"/>
      <c r="G64" s="861"/>
      <c r="H64" s="964">
        <f>+(H65*15%)+(H67*25%)+(H68*25%)+(H69*35%)</f>
        <v>1</v>
      </c>
      <c r="I64" s="964">
        <f>+SUMPRODUCT(I65:I69,X65:X69)</f>
        <v>1</v>
      </c>
      <c r="J64" s="965"/>
      <c r="K64" s="962"/>
      <c r="L64" s="1098"/>
      <c r="M64" s="1098"/>
      <c r="N64" s="1098"/>
      <c r="O64" s="966"/>
      <c r="P64" s="966"/>
      <c r="Q64" s="966"/>
      <c r="R64" s="1099"/>
      <c r="S64" s="1100"/>
      <c r="T64" s="968"/>
      <c r="U64" s="969"/>
      <c r="V64" s="1231">
        <f>+SUMPRODUCT(V65:V69,W65:W69)</f>
        <v>0.60238095238095246</v>
      </c>
      <c r="W64" s="1102">
        <v>0.5</v>
      </c>
      <c r="X64" s="886">
        <v>0.5</v>
      </c>
      <c r="Y64" s="1143">
        <f>SUM(Y65:Y69)</f>
        <v>600000000</v>
      </c>
      <c r="Z64" s="1143">
        <f>SUM(Z65:Z69)</f>
        <v>1417500000</v>
      </c>
      <c r="AA64" s="1143">
        <f>SUM(AA65:AA69)</f>
        <v>592228644</v>
      </c>
      <c r="AB64" s="1144">
        <f t="shared" si="2"/>
        <v>0.98704773999999995</v>
      </c>
      <c r="AC64" s="1143">
        <f>SUM(AC65:AC69)</f>
        <v>585748345</v>
      </c>
      <c r="AD64" s="1149">
        <f t="shared" si="3"/>
        <v>0.97624724166666665</v>
      </c>
      <c r="AE64" s="1146">
        <f>SUM(AE65:AE69)</f>
        <v>6480299</v>
      </c>
      <c r="AF64" s="1101">
        <f>SUM(AF65:AF69)</f>
        <v>1375000000</v>
      </c>
      <c r="AG64" s="1143">
        <f>SUM(AG65:AG69)</f>
        <v>1375000000</v>
      </c>
      <c r="AH64" s="1173">
        <f t="shared" si="4"/>
        <v>1</v>
      </c>
      <c r="AI64" s="1143">
        <f>SUM(AI65:AI69)</f>
        <v>4730000000</v>
      </c>
      <c r="AJ64" s="1143">
        <f>SUM(AJ65:AJ69)</f>
        <v>2009728644</v>
      </c>
      <c r="AK64" s="1102">
        <f t="shared" si="5"/>
        <v>0.42488977674418604</v>
      </c>
      <c r="AL64" s="974"/>
      <c r="AM64" s="975"/>
      <c r="AN64" s="283"/>
      <c r="AO64" s="974"/>
      <c r="AP64" s="286"/>
      <c r="AQ64" s="286"/>
    </row>
    <row r="65" spans="1:43" ht="53.25" customHeight="1">
      <c r="A65" s="324" t="s">
        <v>549</v>
      </c>
      <c r="B65" s="428" t="s">
        <v>741</v>
      </c>
      <c r="C65" s="1232">
        <v>1</v>
      </c>
      <c r="D65" s="390">
        <v>0</v>
      </c>
      <c r="E65" s="978">
        <v>0</v>
      </c>
      <c r="F65" s="858">
        <v>0</v>
      </c>
      <c r="G65" s="865">
        <v>1</v>
      </c>
      <c r="H65" s="1090">
        <f t="shared" si="34"/>
        <v>1</v>
      </c>
      <c r="I65" s="1204">
        <v>0</v>
      </c>
      <c r="J65" s="981" t="s">
        <v>1478</v>
      </c>
      <c r="K65" s="1084"/>
      <c r="L65" s="1085"/>
      <c r="M65" s="1086"/>
      <c r="N65" s="1084"/>
      <c r="O65" s="1087"/>
      <c r="P65" s="1087"/>
      <c r="Q65" s="1087"/>
      <c r="R65" s="1088"/>
      <c r="S65" s="1151"/>
      <c r="T65" s="1152">
        <v>1</v>
      </c>
      <c r="U65" s="1059">
        <f>SUM(E65:G65)</f>
        <v>1</v>
      </c>
      <c r="V65" s="1104">
        <f>IF(U65/T65&gt;=100%,100%,U65/T65)</f>
        <v>1</v>
      </c>
      <c r="W65" s="1233">
        <v>0.1</v>
      </c>
      <c r="X65" s="884">
        <v>0</v>
      </c>
      <c r="Y65" s="1234">
        <v>0</v>
      </c>
      <c r="Z65" s="360">
        <v>300000000</v>
      </c>
      <c r="AA65" s="360">
        <v>0</v>
      </c>
      <c r="AB65" s="1106" t="e">
        <f t="shared" si="2"/>
        <v>#DIV/0!</v>
      </c>
      <c r="AC65" s="360">
        <v>0</v>
      </c>
      <c r="AD65" s="1059" t="e">
        <f t="shared" si="3"/>
        <v>#DIV/0!</v>
      </c>
      <c r="AE65" s="1108"/>
      <c r="AF65" s="1045">
        <v>300000000</v>
      </c>
      <c r="AG65" s="360">
        <v>300000000</v>
      </c>
      <c r="AH65" s="1089">
        <f t="shared" si="4"/>
        <v>1</v>
      </c>
      <c r="AI65" s="1110">
        <v>300000000</v>
      </c>
      <c r="AJ65" s="1110">
        <f t="shared" si="16"/>
        <v>300000000</v>
      </c>
      <c r="AK65" s="1107">
        <f t="shared" si="5"/>
        <v>1</v>
      </c>
      <c r="AL65" s="1108"/>
      <c r="AM65" s="1111"/>
      <c r="AN65" s="190" t="s">
        <v>302</v>
      </c>
      <c r="AO65" s="429" t="s">
        <v>900</v>
      </c>
      <c r="AP65" s="1047"/>
      <c r="AQ65" s="1047"/>
    </row>
    <row r="66" spans="1:43" ht="114.75">
      <c r="A66" s="324" t="s">
        <v>550</v>
      </c>
      <c r="B66" s="429" t="s">
        <v>17</v>
      </c>
      <c r="C66" s="1232">
        <v>0</v>
      </c>
      <c r="D66" s="390">
        <v>2</v>
      </c>
      <c r="E66" s="213">
        <v>0</v>
      </c>
      <c r="F66" s="147">
        <v>2</v>
      </c>
      <c r="G66" s="859"/>
      <c r="H66" s="1010" t="e">
        <f t="shared" si="34"/>
        <v>#DIV/0!</v>
      </c>
      <c r="I66" s="1011">
        <f t="shared" ref="I66:I67" si="39">IF(F66/D66&gt;=100%,100%,F66/D66)</f>
        <v>1</v>
      </c>
      <c r="J66" s="1012" t="s">
        <v>1479</v>
      </c>
      <c r="K66" s="1013"/>
      <c r="L66" s="1014"/>
      <c r="M66" s="1015"/>
      <c r="N66" s="1013"/>
      <c r="O66" s="1016"/>
      <c r="P66" s="1016"/>
      <c r="Q66" s="1016"/>
      <c r="R66" s="1017"/>
      <c r="S66" s="1018"/>
      <c r="T66" s="1121">
        <v>6</v>
      </c>
      <c r="U66" s="1008">
        <f>SUM(E66:G66)</f>
        <v>2</v>
      </c>
      <c r="V66" s="1235">
        <f t="shared" ref="V66:V69" si="40">IF(U66/T66&gt;=100%,100%,U66/T66)</f>
        <v>0.33333333333333331</v>
      </c>
      <c r="W66" s="1233">
        <v>0.2</v>
      </c>
      <c r="X66" s="881">
        <v>0.5</v>
      </c>
      <c r="Y66" s="523">
        <v>300000000</v>
      </c>
      <c r="Z66" s="365" t="s">
        <v>887</v>
      </c>
      <c r="AA66" s="359">
        <v>296110717</v>
      </c>
      <c r="AB66" s="1114">
        <f t="shared" si="2"/>
        <v>0.98703572333333334</v>
      </c>
      <c r="AC66" s="359">
        <v>292869958</v>
      </c>
      <c r="AD66" s="1115">
        <f t="shared" si="3"/>
        <v>0.97623319333333336</v>
      </c>
      <c r="AE66" s="1116">
        <f>+AA66-AC66</f>
        <v>3240759</v>
      </c>
      <c r="AF66" s="1206" t="s">
        <v>887</v>
      </c>
      <c r="AG66" s="365" t="s">
        <v>887</v>
      </c>
      <c r="AH66" s="1089" t="e">
        <f t="shared" si="4"/>
        <v>#VALUE!</v>
      </c>
      <c r="AI66" s="1118">
        <v>1200000000</v>
      </c>
      <c r="AJ66" s="1118">
        <f t="shared" si="16"/>
        <v>296110717</v>
      </c>
      <c r="AK66" s="1010">
        <f t="shared" si="5"/>
        <v>0.24675893083333333</v>
      </c>
      <c r="AL66" s="1116"/>
      <c r="AM66" s="1119"/>
      <c r="AN66" s="152" t="s">
        <v>16</v>
      </c>
      <c r="AO66" s="1236" t="s">
        <v>900</v>
      </c>
      <c r="AP66" s="93"/>
      <c r="AQ66" s="93"/>
    </row>
    <row r="67" spans="1:43" ht="78.75" customHeight="1">
      <c r="A67" s="324" t="s">
        <v>551</v>
      </c>
      <c r="B67" s="429" t="s">
        <v>742</v>
      </c>
      <c r="C67" s="1232">
        <v>1</v>
      </c>
      <c r="D67" s="390">
        <v>2</v>
      </c>
      <c r="E67" s="213">
        <v>0</v>
      </c>
      <c r="F67" s="147">
        <v>2</v>
      </c>
      <c r="G67" s="859">
        <v>1</v>
      </c>
      <c r="H67" s="1010">
        <f t="shared" si="34"/>
        <v>1</v>
      </c>
      <c r="I67" s="1011">
        <f t="shared" si="39"/>
        <v>1</v>
      </c>
      <c r="J67" s="1012" t="s">
        <v>1480</v>
      </c>
      <c r="K67" s="1013"/>
      <c r="L67" s="1014"/>
      <c r="M67" s="1015"/>
      <c r="N67" s="1013"/>
      <c r="O67" s="1016"/>
      <c r="P67" s="1016"/>
      <c r="Q67" s="1016"/>
      <c r="R67" s="1017"/>
      <c r="S67" s="1018"/>
      <c r="T67" s="1121">
        <v>4</v>
      </c>
      <c r="U67" s="1008">
        <f>SUM(E67:G67)</f>
        <v>3</v>
      </c>
      <c r="V67" s="1235">
        <f t="shared" si="40"/>
        <v>0.75</v>
      </c>
      <c r="W67" s="1233">
        <v>0.2</v>
      </c>
      <c r="X67" s="881">
        <v>0.5</v>
      </c>
      <c r="Y67" s="523">
        <v>300000000</v>
      </c>
      <c r="Z67" s="359">
        <v>220000000</v>
      </c>
      <c r="AA67" s="359">
        <v>296117927</v>
      </c>
      <c r="AB67" s="1114">
        <f t="shared" si="2"/>
        <v>0.98705975666666668</v>
      </c>
      <c r="AC67" s="359">
        <v>292878387</v>
      </c>
      <c r="AD67" s="1115">
        <f t="shared" si="3"/>
        <v>0.97626128999999995</v>
      </c>
      <c r="AE67" s="1116">
        <f>+AA67-AC67</f>
        <v>3239540</v>
      </c>
      <c r="AF67" s="1063">
        <v>220000000</v>
      </c>
      <c r="AG67" s="359">
        <v>220000000</v>
      </c>
      <c r="AH67" s="1089">
        <f t="shared" si="4"/>
        <v>1</v>
      </c>
      <c r="AI67" s="1118">
        <v>880000000</v>
      </c>
      <c r="AJ67" s="1118">
        <f t="shared" si="16"/>
        <v>516117927</v>
      </c>
      <c r="AK67" s="1115">
        <f t="shared" si="5"/>
        <v>0.58649764431818185</v>
      </c>
      <c r="AL67" s="1116"/>
      <c r="AM67" s="1119"/>
      <c r="AN67" s="152" t="s">
        <v>302</v>
      </c>
      <c r="AO67" s="1236" t="s">
        <v>901</v>
      </c>
      <c r="AP67" s="93"/>
      <c r="AQ67" s="93"/>
    </row>
    <row r="68" spans="1:43" ht="40.5" customHeight="1">
      <c r="A68" s="324" t="s">
        <v>552</v>
      </c>
      <c r="B68" s="429" t="s">
        <v>743</v>
      </c>
      <c r="C68" s="1232">
        <v>1</v>
      </c>
      <c r="D68" s="390">
        <v>0</v>
      </c>
      <c r="E68" s="213">
        <v>0</v>
      </c>
      <c r="F68" s="147"/>
      <c r="G68" s="859">
        <v>1</v>
      </c>
      <c r="H68" s="1010">
        <f t="shared" si="34"/>
        <v>1</v>
      </c>
      <c r="I68" s="1011">
        <v>0</v>
      </c>
      <c r="J68" s="1012" t="s">
        <v>1481</v>
      </c>
      <c r="K68" s="1013"/>
      <c r="L68" s="1014"/>
      <c r="M68" s="1015"/>
      <c r="N68" s="1013"/>
      <c r="O68" s="1016"/>
      <c r="P68" s="1016"/>
      <c r="Q68" s="1016"/>
      <c r="R68" s="1017"/>
      <c r="S68" s="1016"/>
      <c r="T68" s="1121">
        <v>1</v>
      </c>
      <c r="U68" s="1008">
        <f t="shared" ref="U68:U69" si="41">SUM(E68:G68)</f>
        <v>1</v>
      </c>
      <c r="V68" s="1235">
        <f t="shared" si="40"/>
        <v>1</v>
      </c>
      <c r="W68" s="1233">
        <v>0.2</v>
      </c>
      <c r="X68" s="881">
        <v>0</v>
      </c>
      <c r="Y68" s="522">
        <v>0</v>
      </c>
      <c r="Z68" s="359">
        <v>500000000</v>
      </c>
      <c r="AA68" s="359">
        <v>0</v>
      </c>
      <c r="AB68" s="1114" t="e">
        <f t="shared" si="2"/>
        <v>#DIV/0!</v>
      </c>
      <c r="AC68" s="359">
        <v>0</v>
      </c>
      <c r="AD68" s="1008" t="e">
        <f t="shared" si="3"/>
        <v>#DIV/0!</v>
      </c>
      <c r="AE68" s="1116"/>
      <c r="AF68" s="1063">
        <v>475000000</v>
      </c>
      <c r="AG68" s="359">
        <v>475000000</v>
      </c>
      <c r="AH68" s="1089">
        <f t="shared" si="4"/>
        <v>1</v>
      </c>
      <c r="AI68" s="1118">
        <v>600000000</v>
      </c>
      <c r="AJ68" s="1118">
        <f t="shared" si="16"/>
        <v>500000000</v>
      </c>
      <c r="AK68" s="1115">
        <f t="shared" si="5"/>
        <v>0.83333333333333337</v>
      </c>
      <c r="AL68" s="1116"/>
      <c r="AM68" s="1119"/>
      <c r="AN68" s="152" t="s">
        <v>302</v>
      </c>
      <c r="AO68" s="1236" t="s">
        <v>902</v>
      </c>
      <c r="AP68" s="93"/>
      <c r="AQ68" s="93"/>
    </row>
    <row r="69" spans="1:43" ht="47.25" customHeight="1" thickBot="1">
      <c r="A69" s="1237" t="s">
        <v>553</v>
      </c>
      <c r="B69" s="1238" t="s">
        <v>744</v>
      </c>
      <c r="C69" s="1239">
        <v>2</v>
      </c>
      <c r="D69" s="827">
        <v>0</v>
      </c>
      <c r="E69" s="870">
        <v>0</v>
      </c>
      <c r="F69" s="860"/>
      <c r="G69" s="860">
        <v>2</v>
      </c>
      <c r="H69" s="1021">
        <f t="shared" si="34"/>
        <v>1</v>
      </c>
      <c r="I69" s="1022">
        <v>0</v>
      </c>
      <c r="J69" s="1141" t="s">
        <v>1482</v>
      </c>
      <c r="K69" s="1023"/>
      <c r="L69" s="206"/>
      <c r="M69" s="207"/>
      <c r="N69" s="1023"/>
      <c r="O69" s="181"/>
      <c r="P69" s="181"/>
      <c r="Q69" s="181"/>
      <c r="R69" s="1024"/>
      <c r="S69" s="181"/>
      <c r="T69" s="236">
        <v>7</v>
      </c>
      <c r="U69" s="1130">
        <f t="shared" si="41"/>
        <v>2</v>
      </c>
      <c r="V69" s="1240">
        <f t="shared" si="40"/>
        <v>0.2857142857142857</v>
      </c>
      <c r="W69" s="1241">
        <v>0.3</v>
      </c>
      <c r="X69" s="477">
        <v>0</v>
      </c>
      <c r="Y69" s="1242">
        <v>0</v>
      </c>
      <c r="Z69" s="1028">
        <v>397500000</v>
      </c>
      <c r="AA69" s="1028">
        <v>0</v>
      </c>
      <c r="AB69" s="1029" t="e">
        <f t="shared" si="2"/>
        <v>#DIV/0!</v>
      </c>
      <c r="AC69" s="1028">
        <v>0</v>
      </c>
      <c r="AD69" s="1026" t="e">
        <f t="shared" si="3"/>
        <v>#DIV/0!</v>
      </c>
      <c r="AE69" s="175"/>
      <c r="AF69" s="1052">
        <v>380000000</v>
      </c>
      <c r="AG69" s="1028">
        <v>380000000</v>
      </c>
      <c r="AH69" s="1053">
        <f t="shared" si="4"/>
        <v>1</v>
      </c>
      <c r="AI69" s="1054">
        <v>1750000000</v>
      </c>
      <c r="AJ69" s="1054">
        <f>+SUM(Z69:AA69)</f>
        <v>397500000</v>
      </c>
      <c r="AK69" s="1139">
        <f t="shared" si="5"/>
        <v>0.22714285714285715</v>
      </c>
      <c r="AL69" s="175"/>
      <c r="AM69" s="173"/>
      <c r="AN69" s="189" t="s">
        <v>15</v>
      </c>
      <c r="AO69" s="1243" t="s">
        <v>901</v>
      </c>
      <c r="AP69" s="1244"/>
      <c r="AQ69" s="1245"/>
    </row>
    <row r="70" spans="1:43" s="617" customFormat="1" ht="54" customHeight="1" thickBot="1">
      <c r="A70" s="1065" t="s">
        <v>424</v>
      </c>
      <c r="B70" s="1066"/>
      <c r="C70" s="862"/>
      <c r="D70" s="835"/>
      <c r="E70" s="1067"/>
      <c r="F70" s="862"/>
      <c r="G70" s="862"/>
      <c r="H70" s="1198">
        <f>+(H71*0%)+(H74*0%)+(H76*100%)</f>
        <v>0.8</v>
      </c>
      <c r="I70" s="1077">
        <f>+(I71*X71)+(I74*X74)+(I76*X76)</f>
        <v>0.3</v>
      </c>
      <c r="J70" s="1069"/>
      <c r="K70" s="1066"/>
      <c r="L70" s="1071"/>
      <c r="M70" s="1069"/>
      <c r="N70" s="1069"/>
      <c r="O70" s="1071"/>
      <c r="P70" s="1071"/>
      <c r="Q70" s="1071"/>
      <c r="R70" s="1072"/>
      <c r="S70" s="1071"/>
      <c r="T70" s="1074"/>
      <c r="U70" s="1075"/>
      <c r="V70" s="1246">
        <f>+(V71*W71)+(V74*W74)+(V76*W76)</f>
        <v>0.15</v>
      </c>
      <c r="W70" s="1077">
        <v>0.3</v>
      </c>
      <c r="X70" s="883">
        <v>0.3</v>
      </c>
      <c r="Y70" s="1078">
        <f>+Y71+Y74+Y76</f>
        <v>623875573</v>
      </c>
      <c r="Z70" s="1078">
        <f>+Z71+Z74+Z76</f>
        <v>837503911</v>
      </c>
      <c r="AA70" s="1078">
        <f>+AA71+AA74+AA76</f>
        <v>620295093.20000005</v>
      </c>
      <c r="AB70" s="1079">
        <f t="shared" si="2"/>
        <v>0.9942609072145866</v>
      </c>
      <c r="AC70" s="1078">
        <f>+AC71+AC74+AC76</f>
        <v>272712026</v>
      </c>
      <c r="AD70" s="1247">
        <f t="shared" si="3"/>
        <v>0.43712566704386741</v>
      </c>
      <c r="AE70" s="1066">
        <f>+AE71+AE74+AE76</f>
        <v>347583067.19999999</v>
      </c>
      <c r="AF70" s="1069">
        <f>+AF71+AF74+AF76</f>
        <v>22463300</v>
      </c>
      <c r="AG70" s="1078">
        <f>+AG71+AG74+AG76</f>
        <v>20152235</v>
      </c>
      <c r="AH70" s="1080">
        <f t="shared" si="4"/>
        <v>0.89711818833386014</v>
      </c>
      <c r="AI70" s="1078">
        <f t="shared" ref="AI70:AJ70" si="42">+AI71+AI74+AI76</f>
        <v>4850000000</v>
      </c>
      <c r="AJ70" s="1078">
        <f t="shared" si="42"/>
        <v>1457799004.2</v>
      </c>
      <c r="AK70" s="1247">
        <f t="shared" si="5"/>
        <v>0.30057711426804123</v>
      </c>
      <c r="AL70" s="1071"/>
      <c r="AM70" s="1071" t="s">
        <v>299</v>
      </c>
      <c r="AN70" s="1069"/>
      <c r="AO70" s="1066"/>
      <c r="AP70" s="1248"/>
      <c r="AQ70" s="1248"/>
    </row>
    <row r="71" spans="1:43" ht="52.5" customHeight="1" thickBot="1">
      <c r="A71" s="961" t="s">
        <v>456</v>
      </c>
      <c r="B71" s="962"/>
      <c r="C71" s="861"/>
      <c r="D71" s="826"/>
      <c r="E71" s="963"/>
      <c r="F71" s="861"/>
      <c r="G71" s="861"/>
      <c r="H71" s="964">
        <v>0</v>
      </c>
      <c r="I71" s="964">
        <f>+SUMPRODUCT(I72:I73,X72:X73)</f>
        <v>1</v>
      </c>
      <c r="J71" s="965"/>
      <c r="K71" s="962"/>
      <c r="L71" s="966"/>
      <c r="M71" s="965"/>
      <c r="N71" s="965"/>
      <c r="O71" s="966"/>
      <c r="P71" s="966"/>
      <c r="Q71" s="966"/>
      <c r="R71" s="1099"/>
      <c r="S71" s="966"/>
      <c r="T71" s="968"/>
      <c r="U71" s="969"/>
      <c r="V71" s="1199">
        <f>+SUMPRODUCT(V72:V73,W72:W73)</f>
        <v>9.9999999999999992E-2</v>
      </c>
      <c r="W71" s="964">
        <v>0.3</v>
      </c>
      <c r="X71" s="879">
        <v>0.3</v>
      </c>
      <c r="Y71" s="971">
        <f>SUM(Y72:Y73)</f>
        <v>100000000</v>
      </c>
      <c r="Z71" s="971">
        <f>SUM(Z72:Z73)</f>
        <v>0</v>
      </c>
      <c r="AA71" s="971">
        <f>SUM(AA72:AA73)</f>
        <v>98322560</v>
      </c>
      <c r="AB71" s="972">
        <f t="shared" si="2"/>
        <v>0.98322560000000003</v>
      </c>
      <c r="AC71" s="971">
        <f>SUM(AC72:AC73)</f>
        <v>7145145</v>
      </c>
      <c r="AD71" s="1102">
        <f t="shared" si="3"/>
        <v>7.145145E-2</v>
      </c>
      <c r="AE71" s="1146">
        <f>SUM(AE72:AE73)</f>
        <v>91177415</v>
      </c>
      <c r="AF71" s="1101">
        <f>SUM(AF72:AF73)</f>
        <v>0</v>
      </c>
      <c r="AG71" s="1143">
        <f>SUM(AG72:AG73)</f>
        <v>0</v>
      </c>
      <c r="AH71" s="1173" t="e">
        <f t="shared" si="4"/>
        <v>#DIV/0!</v>
      </c>
      <c r="AI71" s="1143">
        <f t="shared" ref="AI71:AJ71" si="43">SUM(AI72:AI73)</f>
        <v>1450000000</v>
      </c>
      <c r="AJ71" s="1143">
        <f t="shared" si="43"/>
        <v>98322560</v>
      </c>
      <c r="AK71" s="1102">
        <f t="shared" si="5"/>
        <v>6.780866206896552E-2</v>
      </c>
      <c r="AL71" s="974"/>
      <c r="AM71" s="975"/>
      <c r="AN71" s="283"/>
      <c r="AO71" s="974"/>
      <c r="AP71" s="286"/>
      <c r="AQ71" s="286"/>
    </row>
    <row r="72" spans="1:43" ht="95.25" customHeight="1">
      <c r="A72" s="325" t="s">
        <v>554</v>
      </c>
      <c r="B72" s="430" t="s">
        <v>745</v>
      </c>
      <c r="C72" s="1249">
        <v>0</v>
      </c>
      <c r="D72" s="391">
        <v>1</v>
      </c>
      <c r="E72" s="978">
        <v>0</v>
      </c>
      <c r="F72" s="865">
        <v>1</v>
      </c>
      <c r="G72" s="865"/>
      <c r="H72" s="1090" t="e">
        <f t="shared" ref="H72:H73" si="44">IF((E72+G72)/C72&gt;=100%,100%,(E72+G72)/C72)</f>
        <v>#DIV/0!</v>
      </c>
      <c r="I72" s="1204">
        <f t="shared" ref="I72" si="45">IF(F72/D72&gt;=100%,100%,F72/D72)</f>
        <v>1</v>
      </c>
      <c r="J72" s="1250" t="s">
        <v>1483</v>
      </c>
      <c r="K72" s="1251"/>
      <c r="L72" s="1085"/>
      <c r="M72" s="1086"/>
      <c r="N72" s="1084"/>
      <c r="O72" s="1252"/>
      <c r="P72" s="1252"/>
      <c r="Q72" s="1252"/>
      <c r="R72" s="1088"/>
      <c r="S72" s="1252"/>
      <c r="T72" s="1253">
        <v>3</v>
      </c>
      <c r="U72" s="1059">
        <f>SUM(E72:G72)</f>
        <v>1</v>
      </c>
      <c r="V72" s="1104">
        <f>IF(U72/T72&gt;=100%,100%,U72/T72)</f>
        <v>0.33333333333333331</v>
      </c>
      <c r="W72" s="1254">
        <v>0.3</v>
      </c>
      <c r="X72" s="884">
        <v>1</v>
      </c>
      <c r="Y72" s="1255">
        <v>100000000</v>
      </c>
      <c r="Z72" s="1256" t="s">
        <v>887</v>
      </c>
      <c r="AA72" s="1255">
        <v>98322560</v>
      </c>
      <c r="AB72" s="1106">
        <f t="shared" si="2"/>
        <v>0.98322560000000003</v>
      </c>
      <c r="AC72" s="1255">
        <v>7145145</v>
      </c>
      <c r="AD72" s="1257">
        <f t="shared" si="3"/>
        <v>7.145145E-2</v>
      </c>
      <c r="AE72" s="1108">
        <f>+AA72-AC72</f>
        <v>91177415</v>
      </c>
      <c r="AF72" s="1258" t="s">
        <v>887</v>
      </c>
      <c r="AG72" s="1256" t="s">
        <v>887</v>
      </c>
      <c r="AH72" s="1089" t="e">
        <f t="shared" si="4"/>
        <v>#VALUE!</v>
      </c>
      <c r="AI72" s="1110">
        <v>450000000</v>
      </c>
      <c r="AJ72" s="1110">
        <f t="shared" si="16"/>
        <v>98322560</v>
      </c>
      <c r="AK72" s="1257">
        <f t="shared" si="5"/>
        <v>0.21849457777777778</v>
      </c>
      <c r="AL72" s="1259"/>
      <c r="AM72" s="1111"/>
      <c r="AN72" s="190" t="s">
        <v>19</v>
      </c>
      <c r="AO72" s="2307" t="s">
        <v>903</v>
      </c>
      <c r="AP72" s="1047"/>
      <c r="AQ72" s="1047"/>
    </row>
    <row r="73" spans="1:43" ht="51" customHeight="1" thickBot="1">
      <c r="A73" s="1260" t="s">
        <v>555</v>
      </c>
      <c r="B73" s="1261" t="s">
        <v>746</v>
      </c>
      <c r="C73" s="1262">
        <v>0</v>
      </c>
      <c r="D73" s="828">
        <v>0</v>
      </c>
      <c r="E73" s="870">
        <v>0</v>
      </c>
      <c r="F73" s="866">
        <v>0</v>
      </c>
      <c r="G73" s="866"/>
      <c r="H73" s="1139" t="e">
        <f t="shared" si="44"/>
        <v>#DIV/0!</v>
      </c>
      <c r="I73" s="1218">
        <v>0</v>
      </c>
      <c r="J73" s="1141"/>
      <c r="K73" s="1219"/>
      <c r="L73" s="1220"/>
      <c r="M73" s="1221"/>
      <c r="N73" s="1219"/>
      <c r="O73" s="1222"/>
      <c r="P73" s="1222"/>
      <c r="Q73" s="1222"/>
      <c r="R73" s="1223"/>
      <c r="S73" s="1222"/>
      <c r="T73" s="1130">
        <v>4</v>
      </c>
      <c r="U73" s="1130">
        <f>SUM(E73:G73)</f>
        <v>0</v>
      </c>
      <c r="V73" s="1131">
        <f>IF(U73/T73&gt;=100%,100%,U73/T73)</f>
        <v>0</v>
      </c>
      <c r="W73" s="1263">
        <v>0.7</v>
      </c>
      <c r="X73" s="885">
        <v>0</v>
      </c>
      <c r="Y73" s="1264" t="s">
        <v>887</v>
      </c>
      <c r="Z73" s="1265" t="s">
        <v>887</v>
      </c>
      <c r="AA73" s="1266">
        <v>0</v>
      </c>
      <c r="AB73" s="1133" t="e">
        <f t="shared" ref="AB73:AB136" si="46">+AA73/Y73</f>
        <v>#VALUE!</v>
      </c>
      <c r="AC73" s="1266">
        <v>0</v>
      </c>
      <c r="AD73" s="1130" t="e">
        <f t="shared" ref="AD73:AD136" si="47">+AC73/Y73</f>
        <v>#VALUE!</v>
      </c>
      <c r="AE73" s="1135"/>
      <c r="AF73" s="1267" t="s">
        <v>887</v>
      </c>
      <c r="AG73" s="1265" t="s">
        <v>887</v>
      </c>
      <c r="AH73" s="1136" t="e">
        <f t="shared" ref="AH73:AH136" si="48">+AG73/AF73</f>
        <v>#VALUE!</v>
      </c>
      <c r="AI73" s="1138">
        <v>1000000000</v>
      </c>
      <c r="AJ73" s="1138">
        <f t="shared" si="16"/>
        <v>0</v>
      </c>
      <c r="AK73" s="1139">
        <f t="shared" si="5"/>
        <v>0</v>
      </c>
      <c r="AL73" s="1135"/>
      <c r="AM73" s="1140"/>
      <c r="AN73" s="189" t="s">
        <v>19</v>
      </c>
      <c r="AO73" s="2307"/>
      <c r="AP73" s="1037"/>
      <c r="AQ73" s="1037"/>
    </row>
    <row r="74" spans="1:43" ht="48" customHeight="1" thickBot="1">
      <c r="A74" s="961" t="s">
        <v>457</v>
      </c>
      <c r="B74" s="962"/>
      <c r="C74" s="861"/>
      <c r="D74" s="826"/>
      <c r="E74" s="963"/>
      <c r="F74" s="861"/>
      <c r="G74" s="861"/>
      <c r="H74" s="964">
        <v>0</v>
      </c>
      <c r="I74" s="964">
        <f>+SUMPRODUCT(I75:I75,X75:X75)</f>
        <v>0</v>
      </c>
      <c r="J74" s="965"/>
      <c r="K74" s="962"/>
      <c r="L74" s="966"/>
      <c r="M74" s="965"/>
      <c r="N74" s="965"/>
      <c r="O74" s="966"/>
      <c r="P74" s="966"/>
      <c r="Q74" s="966"/>
      <c r="R74" s="1099"/>
      <c r="S74" s="966"/>
      <c r="T74" s="968"/>
      <c r="U74" s="969"/>
      <c r="V74" s="1199">
        <f>+SUMPRODUCT(V75:V75,W75:W75)</f>
        <v>0</v>
      </c>
      <c r="W74" s="964">
        <v>0.4</v>
      </c>
      <c r="X74" s="879">
        <v>0</v>
      </c>
      <c r="Y74" s="971">
        <f>SUM(Y75:Y75)</f>
        <v>0</v>
      </c>
      <c r="Z74" s="971">
        <f>SUM(Z75:Z75)</f>
        <v>0</v>
      </c>
      <c r="AA74" s="971">
        <f>SUM(AA75:AA75)</f>
        <v>0</v>
      </c>
      <c r="AB74" s="972" t="e">
        <f t="shared" si="46"/>
        <v>#DIV/0!</v>
      </c>
      <c r="AC74" s="971">
        <f>SUM(AC75:AC75)</f>
        <v>0</v>
      </c>
      <c r="AD74" s="964" t="e">
        <f t="shared" si="47"/>
        <v>#DIV/0!</v>
      </c>
      <c r="AE74" s="974">
        <f>SUM(AE75:AE75)</f>
        <v>0</v>
      </c>
      <c r="AF74" s="965">
        <f>SUM(AF75:AF75)</f>
        <v>0</v>
      </c>
      <c r="AG74" s="971">
        <f>SUM(AG75:AG75)</f>
        <v>0</v>
      </c>
      <c r="AH74" s="967" t="e">
        <f t="shared" si="48"/>
        <v>#DIV/0!</v>
      </c>
      <c r="AI74" s="971">
        <f>SUM(AI75:AI75)</f>
        <v>2000000000</v>
      </c>
      <c r="AJ74" s="971">
        <f>SUM(AJ75:AJ75)</f>
        <v>0</v>
      </c>
      <c r="AK74" s="964">
        <f t="shared" si="5"/>
        <v>0</v>
      </c>
      <c r="AL74" s="974"/>
      <c r="AM74" s="975"/>
      <c r="AN74" s="283"/>
      <c r="AO74" s="974"/>
      <c r="AP74" s="286"/>
      <c r="AQ74" s="286"/>
    </row>
    <row r="75" spans="1:43" ht="38.25" customHeight="1" thickBot="1">
      <c r="A75" s="1268" t="s">
        <v>556</v>
      </c>
      <c r="B75" s="432" t="s">
        <v>747</v>
      </c>
      <c r="C75" s="1262">
        <v>0</v>
      </c>
      <c r="D75" s="828">
        <v>0</v>
      </c>
      <c r="E75" s="1269">
        <v>0</v>
      </c>
      <c r="F75" s="867">
        <v>0</v>
      </c>
      <c r="G75" s="867"/>
      <c r="H75" s="1270" t="e">
        <f t="shared" ref="H75:H78" si="49">IF((E75+G75)/C75&gt;=100%,100%,(E75+G75)/C75)</f>
        <v>#DIV/0!</v>
      </c>
      <c r="I75" s="1271">
        <v>0</v>
      </c>
      <c r="J75" s="1272"/>
      <c r="K75" s="1273"/>
      <c r="L75" s="1274"/>
      <c r="M75" s="1275"/>
      <c r="N75" s="1273"/>
      <c r="O75" s="1276"/>
      <c r="P75" s="1276"/>
      <c r="Q75" s="1276"/>
      <c r="R75" s="1277"/>
      <c r="S75" s="1276"/>
      <c r="T75" s="1278">
        <v>3</v>
      </c>
      <c r="U75" s="1278">
        <f>SUM(E75:G75)</f>
        <v>0</v>
      </c>
      <c r="V75" s="1027">
        <f>IF(U75/T75&gt;=100%,100%,U75/T75)</f>
        <v>0</v>
      </c>
      <c r="W75" s="1279">
        <v>1</v>
      </c>
      <c r="X75" s="888">
        <v>0</v>
      </c>
      <c r="Y75" s="1280">
        <v>0</v>
      </c>
      <c r="Z75" s="1281" t="s">
        <v>887</v>
      </c>
      <c r="AA75" s="1281" t="s">
        <v>887</v>
      </c>
      <c r="AB75" s="1282" t="e">
        <f t="shared" si="46"/>
        <v>#VALUE!</v>
      </c>
      <c r="AC75" s="1281" t="s">
        <v>887</v>
      </c>
      <c r="AD75" s="1278" t="e">
        <f t="shared" si="47"/>
        <v>#VALUE!</v>
      </c>
      <c r="AE75" s="1283"/>
      <c r="AF75" s="1284" t="s">
        <v>887</v>
      </c>
      <c r="AG75" s="1281" t="s">
        <v>887</v>
      </c>
      <c r="AH75" s="1053" t="e">
        <f t="shared" si="48"/>
        <v>#VALUE!</v>
      </c>
      <c r="AI75" s="1285">
        <v>2000000000</v>
      </c>
      <c r="AJ75" s="1285">
        <f t="shared" si="16"/>
        <v>0</v>
      </c>
      <c r="AK75" s="1257">
        <f t="shared" ref="AK75:AK138" si="50">+AJ75/AI75</f>
        <v>0</v>
      </c>
      <c r="AL75" s="1283"/>
      <c r="AM75" s="1286"/>
      <c r="AN75" s="1272" t="s">
        <v>19</v>
      </c>
      <c r="AO75" s="1287" t="s">
        <v>905</v>
      </c>
      <c r="AP75" s="1175"/>
      <c r="AQ75" s="1175"/>
    </row>
    <row r="76" spans="1:43" ht="46.5" customHeight="1" thickBot="1">
      <c r="A76" s="961" t="s">
        <v>458</v>
      </c>
      <c r="B76" s="962"/>
      <c r="C76" s="861"/>
      <c r="D76" s="826"/>
      <c r="E76" s="963"/>
      <c r="F76" s="861"/>
      <c r="G76" s="861"/>
      <c r="H76" s="964">
        <f>+(H77*W77)+(H78*W78)</f>
        <v>0.8</v>
      </c>
      <c r="I76" s="964">
        <f>+SUMPRODUCT(I77:I78,X77:X78)</f>
        <v>0</v>
      </c>
      <c r="J76" s="965"/>
      <c r="K76" s="962"/>
      <c r="L76" s="1288"/>
      <c r="M76" s="1289"/>
      <c r="N76" s="962"/>
      <c r="O76" s="966"/>
      <c r="P76" s="966"/>
      <c r="Q76" s="966"/>
      <c r="R76" s="1099"/>
      <c r="S76" s="966"/>
      <c r="T76" s="968"/>
      <c r="U76" s="969"/>
      <c r="V76" s="1199">
        <f>+SUMPRODUCT(V77:V78,W77:W78)</f>
        <v>0.4</v>
      </c>
      <c r="W76" s="964">
        <v>0.3</v>
      </c>
      <c r="X76" s="879">
        <v>0.7</v>
      </c>
      <c r="Y76" s="971">
        <f>SUM(Y77:Y78)</f>
        <v>523875573</v>
      </c>
      <c r="Z76" s="971">
        <f>SUM(Z77:Z78)</f>
        <v>837503911</v>
      </c>
      <c r="AA76" s="971">
        <f>SUM(AA77:AA78)</f>
        <v>521972533.19999999</v>
      </c>
      <c r="AB76" s="972">
        <f t="shared" si="46"/>
        <v>0.99636738206917697</v>
      </c>
      <c r="AC76" s="971">
        <f>SUM(AC77:AC78)</f>
        <v>265566881</v>
      </c>
      <c r="AD76" s="973">
        <f t="shared" si="47"/>
        <v>0.50692739781551144</v>
      </c>
      <c r="AE76" s="974">
        <f>SUM(AE77:AE78)</f>
        <v>256405652.19999999</v>
      </c>
      <c r="AF76" s="965">
        <f>SUM(AF77:AF78)</f>
        <v>22463300</v>
      </c>
      <c r="AG76" s="971">
        <f>SUM(AG77:AG78)</f>
        <v>20152235</v>
      </c>
      <c r="AH76" s="967">
        <f t="shared" si="48"/>
        <v>0.89711818833386014</v>
      </c>
      <c r="AI76" s="971">
        <f>SUM(AI77:AI78)</f>
        <v>1400000000</v>
      </c>
      <c r="AJ76" s="971">
        <f>SUM(AJ77:AJ78)</f>
        <v>1359476444.2</v>
      </c>
      <c r="AK76" s="973">
        <f t="shared" si="50"/>
        <v>0.97105460300000002</v>
      </c>
      <c r="AL76" s="975"/>
      <c r="AM76" s="975"/>
      <c r="AN76" s="283"/>
      <c r="AO76" s="974"/>
      <c r="AP76" s="286"/>
      <c r="AQ76" s="286"/>
    </row>
    <row r="77" spans="1:43" ht="81.75" customHeight="1">
      <c r="A77" s="327" t="s">
        <v>557</v>
      </c>
      <c r="B77" s="433" t="s">
        <v>748</v>
      </c>
      <c r="C77" s="1249">
        <v>2</v>
      </c>
      <c r="D77" s="391">
        <v>0</v>
      </c>
      <c r="E77" s="978">
        <v>2</v>
      </c>
      <c r="F77" s="858">
        <v>0</v>
      </c>
      <c r="G77" s="858"/>
      <c r="H77" s="821">
        <f t="shared" si="49"/>
        <v>1</v>
      </c>
      <c r="I77" s="980">
        <v>0</v>
      </c>
      <c r="J77" s="1290"/>
      <c r="K77" s="1084"/>
      <c r="L77" s="1085"/>
      <c r="M77" s="1086"/>
      <c r="N77" s="1084"/>
      <c r="O77" s="1087"/>
      <c r="P77" s="1087"/>
      <c r="Q77" s="1087"/>
      <c r="R77" s="1088"/>
      <c r="S77" s="1087"/>
      <c r="T77" s="1253">
        <v>4</v>
      </c>
      <c r="U77" s="1059">
        <f>SUM(E77:G77)</f>
        <v>2</v>
      </c>
      <c r="V77" s="1104">
        <f t="shared" ref="V77:V78" si="51">IF(U77/T77&gt;=100%,100%,U77/T77)</f>
        <v>0.5</v>
      </c>
      <c r="W77" s="1291">
        <v>0.8</v>
      </c>
      <c r="X77" s="884">
        <v>0</v>
      </c>
      <c r="Y77" s="1292">
        <v>0</v>
      </c>
      <c r="Z77" s="1292">
        <f>450000000+387503911</f>
        <v>837503911</v>
      </c>
      <c r="AA77" s="1292">
        <v>0</v>
      </c>
      <c r="AB77" s="1106" t="e">
        <f t="shared" si="46"/>
        <v>#DIV/0!</v>
      </c>
      <c r="AC77" s="1292">
        <v>0</v>
      </c>
      <c r="AD77" s="1059" t="e">
        <f t="shared" si="47"/>
        <v>#DIV/0!</v>
      </c>
      <c r="AE77" s="1293"/>
      <c r="AF77" s="1294">
        <v>22463300</v>
      </c>
      <c r="AG77" s="1292">
        <v>20152235</v>
      </c>
      <c r="AH77" s="1089">
        <f t="shared" si="48"/>
        <v>0.89711818833386014</v>
      </c>
      <c r="AI77" s="1109">
        <v>1000000000</v>
      </c>
      <c r="AJ77" s="1109">
        <f t="shared" ref="AJ77:AJ78" si="52">+SUM(Z77:AA77)</f>
        <v>837503911</v>
      </c>
      <c r="AK77" s="1107">
        <f t="shared" si="50"/>
        <v>0.83750391099999999</v>
      </c>
      <c r="AL77" s="1111"/>
      <c r="AM77" s="191"/>
      <c r="AN77" s="190" t="s">
        <v>19</v>
      </c>
      <c r="AO77" s="1295" t="s">
        <v>903</v>
      </c>
      <c r="AP77" s="1047"/>
      <c r="AQ77" s="1047"/>
    </row>
    <row r="78" spans="1:43" ht="81" customHeight="1" thickBot="1">
      <c r="A78" s="1296" t="s">
        <v>558</v>
      </c>
      <c r="B78" s="1297" t="s">
        <v>749</v>
      </c>
      <c r="C78" s="1262">
        <v>1</v>
      </c>
      <c r="D78" s="828">
        <v>1</v>
      </c>
      <c r="E78" s="870">
        <v>0</v>
      </c>
      <c r="F78" s="860">
        <v>0</v>
      </c>
      <c r="G78" s="860"/>
      <c r="H78" s="1021">
        <f t="shared" si="49"/>
        <v>0</v>
      </c>
      <c r="I78" s="1022">
        <f t="shared" ref="I78" si="53">IF(F78/D78&gt;=100%,100%,F78/D78)</f>
        <v>0</v>
      </c>
      <c r="J78" s="1250" t="s">
        <v>1484</v>
      </c>
      <c r="K78" s="1251"/>
      <c r="L78" s="1220"/>
      <c r="M78" s="1221"/>
      <c r="N78" s="1219"/>
      <c r="O78" s="1252"/>
      <c r="P78" s="1252"/>
      <c r="Q78" s="1252"/>
      <c r="R78" s="1223"/>
      <c r="S78" s="1252"/>
      <c r="T78" s="1130">
        <v>4</v>
      </c>
      <c r="U78" s="1130">
        <f>SUM(E78:G78)</f>
        <v>0</v>
      </c>
      <c r="V78" s="1131">
        <f t="shared" si="51"/>
        <v>0</v>
      </c>
      <c r="W78" s="1298">
        <v>0.2</v>
      </c>
      <c r="X78" s="885">
        <v>1</v>
      </c>
      <c r="Y78" s="1299">
        <v>523875573</v>
      </c>
      <c r="Z78" s="1300">
        <v>0</v>
      </c>
      <c r="AA78" s="1300">
        <v>521972533.19999999</v>
      </c>
      <c r="AB78" s="1133">
        <f t="shared" si="46"/>
        <v>0.99636738206917697</v>
      </c>
      <c r="AC78" s="1300">
        <v>265566881</v>
      </c>
      <c r="AD78" s="1134">
        <f t="shared" si="47"/>
        <v>0.50692739781551144</v>
      </c>
      <c r="AE78" s="1301">
        <f>+AA78-AC78</f>
        <v>256405652.19999999</v>
      </c>
      <c r="AF78" s="1302">
        <v>0</v>
      </c>
      <c r="AG78" s="1300">
        <v>0</v>
      </c>
      <c r="AH78" s="1136" t="e">
        <f t="shared" si="48"/>
        <v>#DIV/0!</v>
      </c>
      <c r="AI78" s="1137">
        <v>400000000</v>
      </c>
      <c r="AJ78" s="1137">
        <f t="shared" si="52"/>
        <v>521972533.19999999</v>
      </c>
      <c r="AK78" s="1134">
        <f t="shared" si="50"/>
        <v>1.3049313329999999</v>
      </c>
      <c r="AL78" s="1140"/>
      <c r="AM78" s="173"/>
      <c r="AN78" s="189" t="s">
        <v>19</v>
      </c>
      <c r="AO78" s="1303" t="s">
        <v>903</v>
      </c>
      <c r="AP78" s="1037"/>
      <c r="AQ78" s="1037"/>
    </row>
    <row r="79" spans="1:43" ht="90.75" customHeight="1" thickBot="1">
      <c r="A79" s="1065" t="s">
        <v>425</v>
      </c>
      <c r="B79" s="1304"/>
      <c r="C79" s="868"/>
      <c r="D79" s="829"/>
      <c r="E79" s="1305"/>
      <c r="F79" s="868"/>
      <c r="G79" s="868"/>
      <c r="H79" s="1306">
        <f>+(H80*70%)+(H92*0%)+(H97*30%)</f>
        <v>0.68500000000000005</v>
      </c>
      <c r="I79" s="1307">
        <f>+(I80*X80)+(I92*X92)+(I97*X97)</f>
        <v>0.66400000000000003</v>
      </c>
      <c r="J79" s="1308"/>
      <c r="K79" s="1304"/>
      <c r="L79" s="1309"/>
      <c r="M79" s="1308"/>
      <c r="N79" s="1308"/>
      <c r="O79" s="1309"/>
      <c r="P79" s="1309"/>
      <c r="Q79" s="1309"/>
      <c r="R79" s="1310"/>
      <c r="S79" s="1309"/>
      <c r="T79" s="1311"/>
      <c r="U79" s="1312"/>
      <c r="V79" s="1313">
        <f>+(V80*W80)+(V92*W92)+(V97*W97)</f>
        <v>0.3263907103825136</v>
      </c>
      <c r="W79" s="1077">
        <v>0.4</v>
      </c>
      <c r="X79" s="883">
        <v>0.4</v>
      </c>
      <c r="Y79" s="1078">
        <f>+Y80+Y92+Y97</f>
        <v>2842000000</v>
      </c>
      <c r="Z79" s="1078">
        <f>+Z80+Z92+Z97</f>
        <v>213135000</v>
      </c>
      <c r="AA79" s="1078">
        <f>+AA80+AA92+AA97</f>
        <v>2513740137</v>
      </c>
      <c r="AB79" s="1079">
        <f t="shared" si="46"/>
        <v>0.88449688142153415</v>
      </c>
      <c r="AC79" s="1078">
        <f>+AC80+AC92+AC97</f>
        <v>1959280320</v>
      </c>
      <c r="AD79" s="1068">
        <f t="shared" si="47"/>
        <v>0.68940194229415908</v>
      </c>
      <c r="AE79" s="1066">
        <f>+AE80+AE92+AE97</f>
        <v>554459817</v>
      </c>
      <c r="AF79" s="1069">
        <f>+AF80+AF92+AF97</f>
        <v>110935000</v>
      </c>
      <c r="AG79" s="1078">
        <f>+AG80+AG92+AG97</f>
        <v>110935000</v>
      </c>
      <c r="AH79" s="1314">
        <f t="shared" si="48"/>
        <v>1</v>
      </c>
      <c r="AI79" s="1078">
        <f t="shared" ref="AI79:AJ79" si="54">+AI80+AI92+AI97</f>
        <v>11367160427</v>
      </c>
      <c r="AJ79" s="1078">
        <f t="shared" si="54"/>
        <v>2726875137</v>
      </c>
      <c r="AK79" s="1077">
        <f t="shared" si="50"/>
        <v>0.23989061775911541</v>
      </c>
      <c r="AL79" s="1071"/>
      <c r="AM79" s="1071" t="s">
        <v>294</v>
      </c>
      <c r="AN79" s="1069"/>
      <c r="AO79" s="1066"/>
      <c r="AP79" s="1315"/>
      <c r="AQ79" s="1315"/>
    </row>
    <row r="80" spans="1:43" ht="55.5" customHeight="1" thickBot="1">
      <c r="A80" s="961" t="s">
        <v>459</v>
      </c>
      <c r="B80" s="962"/>
      <c r="C80" s="861"/>
      <c r="D80" s="826"/>
      <c r="E80" s="963"/>
      <c r="F80" s="861"/>
      <c r="G80" s="861"/>
      <c r="H80" s="964">
        <f>+(H81*31%)+(H83*30%)+(H88*24%)+(H90*15%)</f>
        <v>0.55000000000000004</v>
      </c>
      <c r="I80" s="964">
        <f>+SUMPRODUCT(I81:I91,X81:X91)</f>
        <v>0.52</v>
      </c>
      <c r="J80" s="965"/>
      <c r="K80" s="962"/>
      <c r="L80" s="966"/>
      <c r="M80" s="965"/>
      <c r="N80" s="965"/>
      <c r="O80" s="966"/>
      <c r="P80" s="966"/>
      <c r="Q80" s="966"/>
      <c r="R80" s="1099"/>
      <c r="S80" s="966"/>
      <c r="T80" s="968"/>
      <c r="U80" s="969"/>
      <c r="V80" s="1199">
        <f>+SUMPRODUCT(V81:V91,W81:W91)</f>
        <v>0.2283333333333333</v>
      </c>
      <c r="W80" s="964">
        <v>0.7</v>
      </c>
      <c r="X80" s="879">
        <v>0.7</v>
      </c>
      <c r="Y80" s="971">
        <f>SUM(Y81:Y91)</f>
        <v>2012000000</v>
      </c>
      <c r="Z80" s="971">
        <f>SUM(Z81:Z91)</f>
        <v>124485000</v>
      </c>
      <c r="AA80" s="971">
        <f>SUM(AA81:AA91)</f>
        <v>1702980006</v>
      </c>
      <c r="AB80" s="972">
        <f t="shared" si="46"/>
        <v>0.84641153379721668</v>
      </c>
      <c r="AC80" s="971">
        <f>SUM(AC81:AC91)</f>
        <v>1488878058</v>
      </c>
      <c r="AD80" s="973">
        <f t="shared" si="47"/>
        <v>0.73999903479125251</v>
      </c>
      <c r="AE80" s="974">
        <f>SUM(AE81:AE91)</f>
        <v>214101948</v>
      </c>
      <c r="AF80" s="965">
        <f>SUM(AF81:AF91)</f>
        <v>92985000</v>
      </c>
      <c r="AG80" s="971">
        <f>SUM(AG81:AG91)</f>
        <v>92985000</v>
      </c>
      <c r="AH80" s="967">
        <f t="shared" si="48"/>
        <v>1</v>
      </c>
      <c r="AI80" s="971">
        <f t="shared" ref="AI80:AJ80" si="55">SUM(AI81:AI91)</f>
        <v>9407160427</v>
      </c>
      <c r="AJ80" s="971">
        <f t="shared" si="55"/>
        <v>1827465006</v>
      </c>
      <c r="AK80" s="964">
        <f t="shared" si="50"/>
        <v>0.19426319134038511</v>
      </c>
      <c r="AL80" s="975"/>
      <c r="AM80" s="975"/>
      <c r="AN80" s="283"/>
      <c r="AO80" s="974"/>
      <c r="AP80" s="286"/>
      <c r="AQ80" s="286"/>
    </row>
    <row r="81" spans="1:43" ht="167.25" customHeight="1">
      <c r="A81" s="1316" t="s">
        <v>559</v>
      </c>
      <c r="B81" s="1317" t="s">
        <v>752</v>
      </c>
      <c r="C81" s="1202">
        <v>1</v>
      </c>
      <c r="D81" s="388">
        <v>2</v>
      </c>
      <c r="E81" s="1203">
        <v>0</v>
      </c>
      <c r="F81" s="865">
        <v>0</v>
      </c>
      <c r="G81" s="865">
        <v>1</v>
      </c>
      <c r="H81" s="1090">
        <f t="shared" ref="H81:H91" si="56">IF((E81+G81)/C81&gt;=100%,100%,(E81+G81)/C81)</f>
        <v>1</v>
      </c>
      <c r="I81" s="1204">
        <f t="shared" ref="I81:I91" si="57">IF(F81/D81&gt;=100%,100%,F81/D81)</f>
        <v>0</v>
      </c>
      <c r="J81" s="1318" t="s">
        <v>1485</v>
      </c>
      <c r="K81" s="1084"/>
      <c r="L81" s="1085"/>
      <c r="M81" s="1086"/>
      <c r="N81" s="1084"/>
      <c r="O81" s="1087"/>
      <c r="P81" s="1087"/>
      <c r="Q81" s="1087"/>
      <c r="R81" s="1088"/>
      <c r="S81" s="1087"/>
      <c r="T81" s="1059">
        <v>3</v>
      </c>
      <c r="U81" s="1059">
        <f>SUM(E81:G81)</f>
        <v>1</v>
      </c>
      <c r="V81" s="1104">
        <f>IF(U81/T81&gt;=100%,100%,U81/T81)</f>
        <v>0.33333333333333331</v>
      </c>
      <c r="W81" s="478">
        <v>0.1</v>
      </c>
      <c r="X81" s="884">
        <v>0.2</v>
      </c>
      <c r="Y81" s="527">
        <v>550000000</v>
      </c>
      <c r="Z81" s="360">
        <v>80985000</v>
      </c>
      <c r="AA81" s="360">
        <v>541127629</v>
      </c>
      <c r="AB81" s="1106">
        <f t="shared" si="46"/>
        <v>0.98386841636363631</v>
      </c>
      <c r="AC81" s="360">
        <v>533734832</v>
      </c>
      <c r="AD81" s="1107">
        <f t="shared" si="47"/>
        <v>0.97042696727272726</v>
      </c>
      <c r="AE81" s="1108">
        <f>+AA81-AC81</f>
        <v>7392797</v>
      </c>
      <c r="AF81" s="1045">
        <v>49485000</v>
      </c>
      <c r="AG81" s="360">
        <v>49485000</v>
      </c>
      <c r="AH81" s="1089">
        <f t="shared" si="48"/>
        <v>1</v>
      </c>
      <c r="AI81" s="1110">
        <v>960000000</v>
      </c>
      <c r="AJ81" s="1110">
        <f>+SUM(Z81:AA81)</f>
        <v>622112629</v>
      </c>
      <c r="AK81" s="1107">
        <f t="shared" si="50"/>
        <v>0.64803398854166672</v>
      </c>
      <c r="AL81" s="1111"/>
      <c r="AM81" s="1111"/>
      <c r="AN81" s="981" t="s">
        <v>14</v>
      </c>
      <c r="AO81" s="427" t="s">
        <v>901</v>
      </c>
      <c r="AP81" s="1047"/>
      <c r="AQ81" s="1047"/>
    </row>
    <row r="82" spans="1:43" ht="63" customHeight="1">
      <c r="A82" s="329" t="s">
        <v>560</v>
      </c>
      <c r="B82" s="435" t="s">
        <v>753</v>
      </c>
      <c r="C82" s="1202">
        <v>0</v>
      </c>
      <c r="D82" s="388">
        <v>0</v>
      </c>
      <c r="E82" s="1009">
        <v>0</v>
      </c>
      <c r="F82" s="859">
        <v>0</v>
      </c>
      <c r="G82" s="859"/>
      <c r="H82" s="1010" t="e">
        <f t="shared" si="56"/>
        <v>#DIV/0!</v>
      </c>
      <c r="I82" s="1011">
        <v>0</v>
      </c>
      <c r="J82" s="1012"/>
      <c r="K82" s="1013"/>
      <c r="L82" s="1014"/>
      <c r="M82" s="1015"/>
      <c r="N82" s="1013"/>
      <c r="O82" s="1016"/>
      <c r="P82" s="1016"/>
      <c r="Q82" s="1016"/>
      <c r="R82" s="1017"/>
      <c r="S82" s="1016"/>
      <c r="T82" s="1008">
        <v>3</v>
      </c>
      <c r="U82" s="1008">
        <f t="shared" ref="U82:U91" si="58">SUM(E82:G82)</f>
        <v>0</v>
      </c>
      <c r="V82" s="1104">
        <f t="shared" ref="V82:V84" si="59">IF(U82/T82&gt;=100%,100%,U82/T82)</f>
        <v>0</v>
      </c>
      <c r="W82" s="1178">
        <v>0.13</v>
      </c>
      <c r="X82" s="881">
        <v>0</v>
      </c>
      <c r="Y82" s="528">
        <v>0</v>
      </c>
      <c r="Z82" s="359">
        <v>0</v>
      </c>
      <c r="AA82" s="359">
        <v>0</v>
      </c>
      <c r="AB82" s="1114" t="e">
        <f t="shared" si="46"/>
        <v>#DIV/0!</v>
      </c>
      <c r="AC82" s="359">
        <v>0</v>
      </c>
      <c r="AD82" s="1008" t="e">
        <f t="shared" si="47"/>
        <v>#DIV/0!</v>
      </c>
      <c r="AE82" s="1116"/>
      <c r="AF82" s="1063">
        <v>0</v>
      </c>
      <c r="AG82" s="359">
        <v>0</v>
      </c>
      <c r="AH82" s="1089" t="e">
        <f t="shared" si="48"/>
        <v>#DIV/0!</v>
      </c>
      <c r="AI82" s="1118">
        <v>1200000000</v>
      </c>
      <c r="AJ82" s="1118">
        <f t="shared" ref="AJ82:AJ91" si="60">+SUM(Z82:AA82)</f>
        <v>0</v>
      </c>
      <c r="AK82" s="1010">
        <f t="shared" si="50"/>
        <v>0</v>
      </c>
      <c r="AL82" s="1119"/>
      <c r="AM82" s="1119"/>
      <c r="AN82" s="1012" t="s">
        <v>14</v>
      </c>
      <c r="AO82" s="1209" t="s">
        <v>901</v>
      </c>
      <c r="AP82" s="93"/>
      <c r="AQ82" s="93"/>
    </row>
    <row r="83" spans="1:43" ht="109.5" customHeight="1" thickBot="1">
      <c r="A83" s="329" t="s">
        <v>561</v>
      </c>
      <c r="B83" s="435" t="s">
        <v>754</v>
      </c>
      <c r="C83" s="1202">
        <v>0.1</v>
      </c>
      <c r="D83" s="388">
        <v>0.1</v>
      </c>
      <c r="E83" s="1009">
        <v>0</v>
      </c>
      <c r="F83" s="859">
        <v>0</v>
      </c>
      <c r="G83" s="859"/>
      <c r="H83" s="1010">
        <f t="shared" si="56"/>
        <v>0</v>
      </c>
      <c r="I83" s="1011">
        <v>0</v>
      </c>
      <c r="J83" s="1012" t="s">
        <v>1486</v>
      </c>
      <c r="K83" s="1013"/>
      <c r="L83" s="1014"/>
      <c r="M83" s="1015"/>
      <c r="N83" s="1013"/>
      <c r="O83" s="1016"/>
      <c r="P83" s="1016"/>
      <c r="Q83" s="1016"/>
      <c r="R83" s="1017"/>
      <c r="S83" s="1016"/>
      <c r="T83" s="1008">
        <v>200</v>
      </c>
      <c r="U83" s="1008">
        <f t="shared" si="58"/>
        <v>0</v>
      </c>
      <c r="V83" s="1104">
        <f t="shared" si="59"/>
        <v>0</v>
      </c>
      <c r="W83" s="1178">
        <v>0.1</v>
      </c>
      <c r="X83" s="881">
        <v>0.18</v>
      </c>
      <c r="Y83" s="1319">
        <v>92000000</v>
      </c>
      <c r="Z83" s="1320">
        <v>43500000</v>
      </c>
      <c r="AA83" s="359">
        <v>57995812</v>
      </c>
      <c r="AB83" s="1114">
        <f t="shared" si="46"/>
        <v>0.63038926086956526</v>
      </c>
      <c r="AC83" s="1319">
        <v>36224932</v>
      </c>
      <c r="AD83" s="1010">
        <f t="shared" si="47"/>
        <v>0.39374926086956524</v>
      </c>
      <c r="AE83" s="1116">
        <f>+AA83-AC83</f>
        <v>21770880</v>
      </c>
      <c r="AF83" s="1063">
        <v>43500000</v>
      </c>
      <c r="AG83" s="359">
        <v>43500000</v>
      </c>
      <c r="AH83" s="1089">
        <f t="shared" si="48"/>
        <v>1</v>
      </c>
      <c r="AI83" s="1208">
        <v>1047160427</v>
      </c>
      <c r="AJ83" s="1118">
        <f t="shared" si="60"/>
        <v>101495812</v>
      </c>
      <c r="AK83" s="1010">
        <f t="shared" si="50"/>
        <v>9.6924797178188249E-2</v>
      </c>
      <c r="AL83" s="1119"/>
      <c r="AM83" s="1119"/>
      <c r="AN83" s="1012" t="s">
        <v>18</v>
      </c>
      <c r="AO83" s="1209" t="s">
        <v>901</v>
      </c>
      <c r="AP83" s="93"/>
      <c r="AQ83" s="93"/>
    </row>
    <row r="84" spans="1:43" ht="51" customHeight="1">
      <c r="A84" s="329" t="s">
        <v>562</v>
      </c>
      <c r="B84" s="436" t="s">
        <v>750</v>
      </c>
      <c r="C84" s="1202">
        <v>0</v>
      </c>
      <c r="D84" s="388">
        <v>0</v>
      </c>
      <c r="E84" s="1009">
        <v>0</v>
      </c>
      <c r="F84" s="859">
        <v>0</v>
      </c>
      <c r="G84" s="859"/>
      <c r="H84" s="1010" t="e">
        <f t="shared" si="56"/>
        <v>#DIV/0!</v>
      </c>
      <c r="I84" s="1011">
        <v>0</v>
      </c>
      <c r="J84" s="1012"/>
      <c r="K84" s="1013"/>
      <c r="L84" s="1014"/>
      <c r="M84" s="1015"/>
      <c r="N84" s="1013"/>
      <c r="O84" s="1016"/>
      <c r="P84" s="1016"/>
      <c r="Q84" s="1016"/>
      <c r="R84" s="1017"/>
      <c r="S84" s="1016"/>
      <c r="T84" s="1008">
        <v>100</v>
      </c>
      <c r="U84" s="1008">
        <f t="shared" si="58"/>
        <v>0</v>
      </c>
      <c r="V84" s="1104">
        <f t="shared" si="59"/>
        <v>0</v>
      </c>
      <c r="W84" s="1178">
        <v>0.18</v>
      </c>
      <c r="X84" s="881">
        <v>0</v>
      </c>
      <c r="Y84" s="528">
        <v>0</v>
      </c>
      <c r="Z84" s="359">
        <v>0</v>
      </c>
      <c r="AA84" s="359">
        <v>0</v>
      </c>
      <c r="AB84" s="1114" t="e">
        <f t="shared" si="46"/>
        <v>#DIV/0!</v>
      </c>
      <c r="AC84" s="359">
        <v>0</v>
      </c>
      <c r="AD84" s="1008" t="e">
        <f t="shared" si="47"/>
        <v>#DIV/0!</v>
      </c>
      <c r="AE84" s="1116"/>
      <c r="AF84" s="1063">
        <v>0</v>
      </c>
      <c r="AG84" s="359">
        <v>0</v>
      </c>
      <c r="AH84" s="1089" t="e">
        <f t="shared" si="48"/>
        <v>#DIV/0!</v>
      </c>
      <c r="AI84" s="1118">
        <v>1700000000</v>
      </c>
      <c r="AJ84" s="1118">
        <f t="shared" si="60"/>
        <v>0</v>
      </c>
      <c r="AK84" s="1010">
        <f t="shared" si="50"/>
        <v>0</v>
      </c>
      <c r="AL84" s="1119"/>
      <c r="AM84" s="1119"/>
      <c r="AN84" s="1012" t="s">
        <v>302</v>
      </c>
      <c r="AO84" s="1209" t="s">
        <v>906</v>
      </c>
      <c r="AP84" s="93"/>
      <c r="AQ84" s="93"/>
    </row>
    <row r="85" spans="1:43" ht="46.5" customHeight="1">
      <c r="A85" s="329" t="s">
        <v>563</v>
      </c>
      <c r="B85" s="435" t="s">
        <v>755</v>
      </c>
      <c r="C85" s="1202">
        <v>0</v>
      </c>
      <c r="D85" s="388">
        <v>0</v>
      </c>
      <c r="E85" s="1009">
        <v>0</v>
      </c>
      <c r="F85" s="859">
        <v>0</v>
      </c>
      <c r="G85" s="859"/>
      <c r="H85" s="1010" t="e">
        <f t="shared" si="56"/>
        <v>#DIV/0!</v>
      </c>
      <c r="I85" s="1011">
        <v>0</v>
      </c>
      <c r="J85" s="1012"/>
      <c r="K85" s="1013"/>
      <c r="L85" s="1014"/>
      <c r="M85" s="1015"/>
      <c r="N85" s="1013"/>
      <c r="O85" s="1016"/>
      <c r="P85" s="1016"/>
      <c r="Q85" s="1016"/>
      <c r="R85" s="1017"/>
      <c r="S85" s="1016"/>
      <c r="T85" s="1008">
        <v>1500</v>
      </c>
      <c r="U85" s="1008">
        <f t="shared" si="58"/>
        <v>0</v>
      </c>
      <c r="V85" s="1104">
        <f>IF(U85/T85&gt;=100%,100%,U85/T85)</f>
        <v>0</v>
      </c>
      <c r="W85" s="1178">
        <v>0.1</v>
      </c>
      <c r="X85" s="881">
        <v>0</v>
      </c>
      <c r="Y85" s="528">
        <v>0</v>
      </c>
      <c r="Z85" s="359">
        <v>0</v>
      </c>
      <c r="AA85" s="359">
        <v>0</v>
      </c>
      <c r="AB85" s="1114" t="e">
        <f t="shared" si="46"/>
        <v>#DIV/0!</v>
      </c>
      <c r="AC85" s="359">
        <v>0</v>
      </c>
      <c r="AD85" s="1008" t="e">
        <f t="shared" si="47"/>
        <v>#DIV/0!</v>
      </c>
      <c r="AE85" s="1116"/>
      <c r="AF85" s="1063">
        <v>0</v>
      </c>
      <c r="AG85" s="359">
        <v>0</v>
      </c>
      <c r="AH85" s="1089" t="e">
        <f t="shared" si="48"/>
        <v>#DIV/0!</v>
      </c>
      <c r="AI85" s="1208">
        <v>800000000</v>
      </c>
      <c r="AJ85" s="1118">
        <f t="shared" si="60"/>
        <v>0</v>
      </c>
      <c r="AK85" s="1010">
        <f t="shared" si="50"/>
        <v>0</v>
      </c>
      <c r="AL85" s="1119"/>
      <c r="AM85" s="1119"/>
      <c r="AN85" s="1012" t="s">
        <v>11</v>
      </c>
      <c r="AO85" s="1209" t="s">
        <v>906</v>
      </c>
      <c r="AP85" s="93"/>
      <c r="AQ85" s="93"/>
    </row>
    <row r="86" spans="1:43" ht="57.75" customHeight="1">
      <c r="A86" s="329" t="s">
        <v>564</v>
      </c>
      <c r="B86" s="435" t="s">
        <v>756</v>
      </c>
      <c r="C86" s="1202">
        <v>0</v>
      </c>
      <c r="D86" s="388">
        <v>0</v>
      </c>
      <c r="E86" s="1009">
        <v>0</v>
      </c>
      <c r="F86" s="859">
        <v>0</v>
      </c>
      <c r="G86" s="859"/>
      <c r="H86" s="1010" t="e">
        <f t="shared" si="56"/>
        <v>#DIV/0!</v>
      </c>
      <c r="I86" s="1011">
        <v>0</v>
      </c>
      <c r="J86" s="1012"/>
      <c r="K86" s="1013"/>
      <c r="L86" s="1014"/>
      <c r="M86" s="1015"/>
      <c r="N86" s="1013"/>
      <c r="O86" s="1016"/>
      <c r="P86" s="1016"/>
      <c r="Q86" s="1016"/>
      <c r="R86" s="1017"/>
      <c r="S86" s="1016"/>
      <c r="T86" s="1008">
        <v>4</v>
      </c>
      <c r="U86" s="1008">
        <f t="shared" si="58"/>
        <v>0</v>
      </c>
      <c r="V86" s="1104">
        <f t="shared" ref="V86:V87" si="61">IF(U86/T86&gt;=100%,100%,U86/T86)</f>
        <v>0</v>
      </c>
      <c r="W86" s="1178">
        <v>0.08</v>
      </c>
      <c r="X86" s="881">
        <v>0</v>
      </c>
      <c r="Y86" s="528">
        <v>0</v>
      </c>
      <c r="Z86" s="359">
        <v>0</v>
      </c>
      <c r="AA86" s="359">
        <v>0</v>
      </c>
      <c r="AB86" s="1114" t="e">
        <f t="shared" si="46"/>
        <v>#DIV/0!</v>
      </c>
      <c r="AC86" s="359">
        <v>0</v>
      </c>
      <c r="AD86" s="1008" t="e">
        <f t="shared" si="47"/>
        <v>#DIV/0!</v>
      </c>
      <c r="AE86" s="1116"/>
      <c r="AF86" s="1063">
        <v>0</v>
      </c>
      <c r="AG86" s="359">
        <v>0</v>
      </c>
      <c r="AH86" s="1089" t="e">
        <f t="shared" si="48"/>
        <v>#DIV/0!</v>
      </c>
      <c r="AI86" s="1208">
        <v>800000000</v>
      </c>
      <c r="AJ86" s="1118">
        <f t="shared" si="60"/>
        <v>0</v>
      </c>
      <c r="AK86" s="1010">
        <f t="shared" si="50"/>
        <v>0</v>
      </c>
      <c r="AL86" s="1119"/>
      <c r="AM86" s="1119"/>
      <c r="AN86" s="1012" t="s">
        <v>14</v>
      </c>
      <c r="AO86" s="2308" t="s">
        <v>901</v>
      </c>
      <c r="AP86" s="93"/>
      <c r="AQ86" s="93"/>
    </row>
    <row r="87" spans="1:43" ht="87" customHeight="1">
      <c r="A87" s="329" t="s">
        <v>566</v>
      </c>
      <c r="B87" s="435" t="s">
        <v>757</v>
      </c>
      <c r="C87" s="1202">
        <v>0</v>
      </c>
      <c r="D87" s="388">
        <v>2</v>
      </c>
      <c r="E87" s="1009">
        <v>0</v>
      </c>
      <c r="F87" s="859">
        <v>2</v>
      </c>
      <c r="G87" s="859"/>
      <c r="H87" s="1010" t="e">
        <f t="shared" si="56"/>
        <v>#DIV/0!</v>
      </c>
      <c r="I87" s="1011">
        <f t="shared" si="57"/>
        <v>1</v>
      </c>
      <c r="J87" s="1012" t="s">
        <v>931</v>
      </c>
      <c r="K87" s="1013"/>
      <c r="L87" s="1014"/>
      <c r="M87" s="1015"/>
      <c r="N87" s="1013"/>
      <c r="O87" s="1016"/>
      <c r="P87" s="1016"/>
      <c r="Q87" s="1016"/>
      <c r="R87" s="1017"/>
      <c r="S87" s="1016"/>
      <c r="T87" s="1008">
        <v>4</v>
      </c>
      <c r="U87" s="1008">
        <f t="shared" si="58"/>
        <v>2</v>
      </c>
      <c r="V87" s="1104">
        <f t="shared" si="61"/>
        <v>0.5</v>
      </c>
      <c r="W87" s="1178">
        <v>0.08</v>
      </c>
      <c r="X87" s="881">
        <v>0.16</v>
      </c>
      <c r="Y87" s="527">
        <v>300000000</v>
      </c>
      <c r="Z87" s="359">
        <v>0</v>
      </c>
      <c r="AA87" s="359">
        <v>295651488</v>
      </c>
      <c r="AB87" s="1114">
        <f t="shared" si="46"/>
        <v>0.98550495999999999</v>
      </c>
      <c r="AC87" s="359">
        <v>163351145</v>
      </c>
      <c r="AD87" s="1115">
        <f t="shared" si="47"/>
        <v>0.5445038166666667</v>
      </c>
      <c r="AE87" s="1116">
        <f>+AA87-AC87</f>
        <v>132300343</v>
      </c>
      <c r="AF87" s="1063">
        <v>0</v>
      </c>
      <c r="AG87" s="359">
        <v>0</v>
      </c>
      <c r="AH87" s="1089" t="e">
        <f t="shared" si="48"/>
        <v>#DIV/0!</v>
      </c>
      <c r="AI87" s="1118">
        <v>800000000</v>
      </c>
      <c r="AJ87" s="1118">
        <f>+SUM(Z87:AA87)</f>
        <v>295651488</v>
      </c>
      <c r="AK87" s="1010">
        <f t="shared" si="50"/>
        <v>0.36956435999999998</v>
      </c>
      <c r="AL87" s="1119"/>
      <c r="AM87" s="1119"/>
      <c r="AN87" s="1012" t="s">
        <v>14</v>
      </c>
      <c r="AO87" s="2309"/>
      <c r="AP87" s="93"/>
      <c r="AQ87" s="93"/>
    </row>
    <row r="88" spans="1:43" ht="117" customHeight="1">
      <c r="A88" s="329" t="s">
        <v>1487</v>
      </c>
      <c r="B88" s="435" t="s">
        <v>758</v>
      </c>
      <c r="C88" s="1202">
        <v>2</v>
      </c>
      <c r="D88" s="388">
        <v>2</v>
      </c>
      <c r="E88" s="1009">
        <v>1</v>
      </c>
      <c r="F88" s="859">
        <v>2</v>
      </c>
      <c r="G88" s="667">
        <v>1</v>
      </c>
      <c r="H88" s="1010">
        <f t="shared" si="56"/>
        <v>1</v>
      </c>
      <c r="I88" s="1011">
        <f t="shared" si="57"/>
        <v>1</v>
      </c>
      <c r="J88" s="1012" t="s">
        <v>1488</v>
      </c>
      <c r="K88" s="1013"/>
      <c r="L88" s="1014"/>
      <c r="M88" s="1015"/>
      <c r="N88" s="1013"/>
      <c r="O88" s="1016"/>
      <c r="P88" s="1016"/>
      <c r="Q88" s="1016"/>
      <c r="R88" s="1017"/>
      <c r="S88" s="1016"/>
      <c r="T88" s="1008">
        <v>4</v>
      </c>
      <c r="U88" s="1008">
        <f t="shared" si="58"/>
        <v>4</v>
      </c>
      <c r="V88" s="1104">
        <f>IF(U88/T88&gt;=100%,100%,U88/T88)</f>
        <v>1</v>
      </c>
      <c r="W88" s="1178">
        <v>0.08</v>
      </c>
      <c r="X88" s="881">
        <v>0.16</v>
      </c>
      <c r="Y88" s="527">
        <v>350000000</v>
      </c>
      <c r="Z88" s="359">
        <v>0</v>
      </c>
      <c r="AA88" s="359">
        <v>345340879</v>
      </c>
      <c r="AB88" s="1114">
        <f t="shared" si="46"/>
        <v>0.98668822571428572</v>
      </c>
      <c r="AC88" s="359">
        <v>313958452</v>
      </c>
      <c r="AD88" s="1115">
        <f t="shared" si="47"/>
        <v>0.89702414857142854</v>
      </c>
      <c r="AE88" s="1116">
        <f>+AA88-AC88</f>
        <v>31382427</v>
      </c>
      <c r="AF88" s="1063">
        <v>0</v>
      </c>
      <c r="AG88" s="359">
        <v>0</v>
      </c>
      <c r="AH88" s="1089" t="e">
        <f t="shared" si="48"/>
        <v>#DIV/0!</v>
      </c>
      <c r="AI88" s="1118">
        <v>800000000</v>
      </c>
      <c r="AJ88" s="1118">
        <f t="shared" si="60"/>
        <v>345340879</v>
      </c>
      <c r="AK88" s="1010">
        <f t="shared" si="50"/>
        <v>0.43167609875000001</v>
      </c>
      <c r="AL88" s="1119"/>
      <c r="AM88" s="1119"/>
      <c r="AN88" s="1012" t="s">
        <v>14</v>
      </c>
      <c r="AO88" s="1209" t="s">
        <v>891</v>
      </c>
      <c r="AP88" s="93"/>
      <c r="AQ88" s="93"/>
    </row>
    <row r="89" spans="1:43" ht="85.5" customHeight="1">
      <c r="A89" s="329" t="s">
        <v>567</v>
      </c>
      <c r="B89" s="435" t="s">
        <v>759</v>
      </c>
      <c r="C89" s="1202">
        <v>0</v>
      </c>
      <c r="D89" s="388">
        <v>2</v>
      </c>
      <c r="E89" s="1009">
        <v>0</v>
      </c>
      <c r="F89" s="859">
        <v>2</v>
      </c>
      <c r="G89" s="859"/>
      <c r="H89" s="1010" t="e">
        <f t="shared" si="56"/>
        <v>#DIV/0!</v>
      </c>
      <c r="I89" s="1011">
        <f t="shared" si="57"/>
        <v>1</v>
      </c>
      <c r="J89" s="1012" t="s">
        <v>932</v>
      </c>
      <c r="K89" s="1013"/>
      <c r="L89" s="1014"/>
      <c r="M89" s="1015"/>
      <c r="N89" s="1013"/>
      <c r="O89" s="1016"/>
      <c r="P89" s="1016"/>
      <c r="Q89" s="1016"/>
      <c r="R89" s="1017"/>
      <c r="S89" s="1016"/>
      <c r="T89" s="1008">
        <v>2</v>
      </c>
      <c r="U89" s="1008">
        <f t="shared" si="58"/>
        <v>2</v>
      </c>
      <c r="V89" s="1104">
        <f t="shared" ref="V89:V91" si="62">IF(U89/T89&gt;=100%,100%,U89/T89)</f>
        <v>1</v>
      </c>
      <c r="W89" s="1178">
        <v>0.05</v>
      </c>
      <c r="X89" s="881">
        <v>0.1</v>
      </c>
      <c r="Y89" s="527">
        <v>300000000</v>
      </c>
      <c r="Z89" s="359">
        <v>0</v>
      </c>
      <c r="AA89" s="359">
        <v>247208620</v>
      </c>
      <c r="AB89" s="1114">
        <f t="shared" si="46"/>
        <v>0.82402873333333337</v>
      </c>
      <c r="AC89" s="359">
        <v>238066644</v>
      </c>
      <c r="AD89" s="1115">
        <f t="shared" si="47"/>
        <v>0.79355547999999998</v>
      </c>
      <c r="AE89" s="1116">
        <f>+AA89-AC89</f>
        <v>9141976</v>
      </c>
      <c r="AF89" s="1063">
        <v>0</v>
      </c>
      <c r="AG89" s="359">
        <v>0</v>
      </c>
      <c r="AH89" s="1089" t="e">
        <f t="shared" si="48"/>
        <v>#DIV/0!</v>
      </c>
      <c r="AI89" s="1118">
        <v>400000000</v>
      </c>
      <c r="AJ89" s="1118">
        <f t="shared" si="60"/>
        <v>247208620</v>
      </c>
      <c r="AK89" s="1115">
        <f t="shared" si="50"/>
        <v>0.61802155000000003</v>
      </c>
      <c r="AL89" s="1119"/>
      <c r="AM89" s="1119"/>
      <c r="AN89" s="1012" t="s">
        <v>14</v>
      </c>
      <c r="AO89" s="1209" t="s">
        <v>904</v>
      </c>
      <c r="AP89" s="93"/>
      <c r="AQ89" s="93"/>
    </row>
    <row r="90" spans="1:43" ht="74.25" customHeight="1" thickBot="1">
      <c r="A90" s="329" t="s">
        <v>568</v>
      </c>
      <c r="B90" s="435" t="s">
        <v>760</v>
      </c>
      <c r="C90" s="1202">
        <v>1</v>
      </c>
      <c r="D90" s="388">
        <v>1</v>
      </c>
      <c r="E90" s="1009">
        <v>0</v>
      </c>
      <c r="F90" s="859">
        <v>0</v>
      </c>
      <c r="G90" s="859">
        <v>0</v>
      </c>
      <c r="H90" s="1010">
        <f t="shared" si="56"/>
        <v>0</v>
      </c>
      <c r="I90" s="1011">
        <f t="shared" si="57"/>
        <v>0</v>
      </c>
      <c r="J90" s="1012" t="s">
        <v>933</v>
      </c>
      <c r="K90" s="1013"/>
      <c r="L90" s="1014"/>
      <c r="M90" s="1015"/>
      <c r="N90" s="1013"/>
      <c r="O90" s="1016"/>
      <c r="P90" s="1016"/>
      <c r="Q90" s="1016"/>
      <c r="R90" s="1017"/>
      <c r="S90" s="1016"/>
      <c r="T90" s="1008">
        <v>2</v>
      </c>
      <c r="U90" s="1008">
        <f t="shared" si="58"/>
        <v>0</v>
      </c>
      <c r="V90" s="1104">
        <f t="shared" si="62"/>
        <v>0</v>
      </c>
      <c r="W90" s="1178">
        <v>0.05</v>
      </c>
      <c r="X90" s="881">
        <v>0.1</v>
      </c>
      <c r="Y90" s="527">
        <v>220000000</v>
      </c>
      <c r="Z90" s="359">
        <v>0</v>
      </c>
      <c r="AA90" s="359">
        <v>18451051</v>
      </c>
      <c r="AB90" s="1114">
        <f t="shared" si="46"/>
        <v>8.3868413636363631E-2</v>
      </c>
      <c r="AC90" s="359">
        <v>11676317</v>
      </c>
      <c r="AD90" s="1010">
        <f t="shared" si="47"/>
        <v>5.3074168181818183E-2</v>
      </c>
      <c r="AE90" s="1116">
        <f>+AA90-AC90</f>
        <v>6774734</v>
      </c>
      <c r="AF90" s="1063">
        <v>0</v>
      </c>
      <c r="AG90" s="359">
        <v>0</v>
      </c>
      <c r="AH90" s="1089" t="e">
        <f t="shared" si="48"/>
        <v>#DIV/0!</v>
      </c>
      <c r="AI90" s="1118">
        <v>500000000</v>
      </c>
      <c r="AJ90" s="1118">
        <f>+SUM(Z90:AA90)</f>
        <v>18451051</v>
      </c>
      <c r="AK90" s="1010">
        <f t="shared" si="50"/>
        <v>3.6902101999999999E-2</v>
      </c>
      <c r="AL90" s="1119"/>
      <c r="AM90" s="1119"/>
      <c r="AN90" s="1012" t="s">
        <v>14</v>
      </c>
      <c r="AO90" s="2310" t="s">
        <v>904</v>
      </c>
      <c r="AP90" s="93"/>
      <c r="AQ90" s="93"/>
    </row>
    <row r="91" spans="1:43" ht="124.5" customHeight="1" thickBot="1">
      <c r="A91" s="1321" t="s">
        <v>569</v>
      </c>
      <c r="B91" s="1322" t="s">
        <v>751</v>
      </c>
      <c r="C91" s="1211">
        <v>0</v>
      </c>
      <c r="D91" s="389">
        <v>2</v>
      </c>
      <c r="E91" s="1217">
        <v>0</v>
      </c>
      <c r="F91" s="866">
        <v>2</v>
      </c>
      <c r="G91" s="866"/>
      <c r="H91" s="1139" t="e">
        <f t="shared" si="56"/>
        <v>#DIV/0!</v>
      </c>
      <c r="I91" s="1218">
        <f t="shared" si="57"/>
        <v>1</v>
      </c>
      <c r="J91" s="1141" t="s">
        <v>1489</v>
      </c>
      <c r="K91" s="1219"/>
      <c r="L91" s="1220"/>
      <c r="M91" s="1221"/>
      <c r="N91" s="1219"/>
      <c r="O91" s="1222"/>
      <c r="P91" s="1222"/>
      <c r="Q91" s="1222"/>
      <c r="R91" s="1223"/>
      <c r="S91" s="1222"/>
      <c r="T91" s="1130">
        <v>4</v>
      </c>
      <c r="U91" s="1130">
        <f t="shared" si="58"/>
        <v>2</v>
      </c>
      <c r="V91" s="1131">
        <f t="shared" si="62"/>
        <v>0.5</v>
      </c>
      <c r="W91" s="1183">
        <v>0.05</v>
      </c>
      <c r="X91" s="885">
        <v>0.1</v>
      </c>
      <c r="Y91" s="1323">
        <v>200000000</v>
      </c>
      <c r="Z91" s="1028">
        <v>0</v>
      </c>
      <c r="AA91" s="1028">
        <v>197204527</v>
      </c>
      <c r="AB91" s="1133">
        <f t="shared" si="46"/>
        <v>0.98602263499999998</v>
      </c>
      <c r="AC91" s="1028">
        <v>191865736</v>
      </c>
      <c r="AD91" s="1134">
        <f t="shared" si="47"/>
        <v>0.95932868000000004</v>
      </c>
      <c r="AE91" s="1135">
        <f>+AA91-AC91</f>
        <v>5338791</v>
      </c>
      <c r="AF91" s="1052">
        <v>0</v>
      </c>
      <c r="AG91" s="1028">
        <v>0</v>
      </c>
      <c r="AH91" s="1136" t="e">
        <f t="shared" si="48"/>
        <v>#DIV/0!</v>
      </c>
      <c r="AI91" s="1138">
        <v>400000000</v>
      </c>
      <c r="AJ91" s="1138">
        <f t="shared" si="60"/>
        <v>197204527</v>
      </c>
      <c r="AK91" s="1139">
        <f t="shared" si="50"/>
        <v>0.49301131749999999</v>
      </c>
      <c r="AL91" s="1140"/>
      <c r="AM91" s="1140"/>
      <c r="AN91" s="1141" t="s">
        <v>302</v>
      </c>
      <c r="AO91" s="2289"/>
      <c r="AP91" s="1037"/>
      <c r="AQ91" s="1037"/>
    </row>
    <row r="92" spans="1:43" ht="54" customHeight="1" thickBot="1">
      <c r="A92" s="961" t="s">
        <v>460</v>
      </c>
      <c r="B92" s="962"/>
      <c r="C92" s="861"/>
      <c r="D92" s="826"/>
      <c r="E92" s="963"/>
      <c r="F92" s="861"/>
      <c r="G92" s="861"/>
      <c r="H92" s="964">
        <v>0</v>
      </c>
      <c r="I92" s="964">
        <f>+SUMPRODUCT(I93:I96,X93:X96)</f>
        <v>1</v>
      </c>
      <c r="J92" s="965"/>
      <c r="K92" s="962"/>
      <c r="L92" s="966"/>
      <c r="M92" s="965"/>
      <c r="N92" s="965"/>
      <c r="O92" s="966"/>
      <c r="P92" s="966"/>
      <c r="Q92" s="966"/>
      <c r="R92" s="1099"/>
      <c r="S92" s="966"/>
      <c r="T92" s="968"/>
      <c r="U92" s="969"/>
      <c r="V92" s="1199">
        <f>+SUMPRODUCT(V93:V96,W93:W96)</f>
        <v>0.58278688524590161</v>
      </c>
      <c r="W92" s="964">
        <v>0.2</v>
      </c>
      <c r="X92" s="879">
        <v>0.2</v>
      </c>
      <c r="Y92" s="971">
        <f>SUM(Y93:Y96)</f>
        <v>730000000</v>
      </c>
      <c r="Z92" s="971">
        <f>SUM(Z93:Z96)</f>
        <v>0</v>
      </c>
      <c r="AA92" s="971">
        <f>SUM(AA93:AA96)</f>
        <v>719594635</v>
      </c>
      <c r="AB92" s="972">
        <f t="shared" si="46"/>
        <v>0.98574607534246572</v>
      </c>
      <c r="AC92" s="971">
        <f>SUM(AC93:AC96)</f>
        <v>396251203</v>
      </c>
      <c r="AD92" s="973">
        <f t="shared" si="47"/>
        <v>0.54280986712328771</v>
      </c>
      <c r="AE92" s="974">
        <f>SUM(AE93:AE96)</f>
        <v>323343432</v>
      </c>
      <c r="AF92" s="965">
        <f>SUM(AF93:AF96)</f>
        <v>0</v>
      </c>
      <c r="AG92" s="971">
        <f>SUM(AG93:AG96)</f>
        <v>0</v>
      </c>
      <c r="AH92" s="967" t="e">
        <f t="shared" si="48"/>
        <v>#DIV/0!</v>
      </c>
      <c r="AI92" s="971">
        <f>SUM(AI93:AI96)</f>
        <v>1560000000</v>
      </c>
      <c r="AJ92" s="971">
        <f>SUM(AJ93:AJ96)</f>
        <v>719594635</v>
      </c>
      <c r="AK92" s="1102">
        <f t="shared" si="50"/>
        <v>0.46127861217948718</v>
      </c>
      <c r="AL92" s="975"/>
      <c r="AM92" s="975"/>
      <c r="AN92" s="283"/>
      <c r="AO92" s="974"/>
      <c r="AP92" s="286"/>
      <c r="AQ92" s="286"/>
    </row>
    <row r="93" spans="1:43" ht="59.25" customHeight="1">
      <c r="A93" s="327" t="s">
        <v>570</v>
      </c>
      <c r="B93" s="430" t="s">
        <v>761</v>
      </c>
      <c r="C93" s="1249">
        <v>0</v>
      </c>
      <c r="D93" s="391">
        <v>1</v>
      </c>
      <c r="E93" s="293">
        <v>0</v>
      </c>
      <c r="F93" s="858">
        <v>1</v>
      </c>
      <c r="G93" s="858"/>
      <c r="H93" s="821" t="e">
        <f t="shared" ref="H93:H96" si="63">IF((E93+G93)/C93&gt;=100%,100%,(E93+G93)/C93)</f>
        <v>#DIV/0!</v>
      </c>
      <c r="I93" s="980">
        <f t="shared" ref="I93:I96" si="64">IF(F93/D93&gt;=100%,100%,F93/D93)</f>
        <v>1</v>
      </c>
      <c r="J93" s="190" t="s">
        <v>1490</v>
      </c>
      <c r="K93" s="982"/>
      <c r="L93" s="983"/>
      <c r="M93" s="984"/>
      <c r="N93" s="982"/>
      <c r="O93" s="204"/>
      <c r="P93" s="204"/>
      <c r="Q93" s="204"/>
      <c r="R93" s="985"/>
      <c r="S93" s="204"/>
      <c r="T93" s="293">
        <v>1</v>
      </c>
      <c r="U93" s="986">
        <f>SUM(E93:G93)</f>
        <v>1</v>
      </c>
      <c r="V93" s="153">
        <f t="shared" ref="V93:V96" si="65">IF(U93/T93&gt;=100%,100%,U93/T93)</f>
        <v>1</v>
      </c>
      <c r="W93" s="478">
        <v>0.2</v>
      </c>
      <c r="X93" s="473">
        <v>0.2</v>
      </c>
      <c r="Y93" s="526">
        <v>150000000</v>
      </c>
      <c r="Z93" s="360">
        <v>0</v>
      </c>
      <c r="AA93" s="526">
        <v>148136352</v>
      </c>
      <c r="AB93" s="1106">
        <f t="shared" si="46"/>
        <v>0.98757567999999996</v>
      </c>
      <c r="AC93" s="526">
        <v>140580493</v>
      </c>
      <c r="AD93" s="1107">
        <f t="shared" si="47"/>
        <v>0.93720328666666664</v>
      </c>
      <c r="AE93" s="1108">
        <f>+AA93-AC93</f>
        <v>7555859</v>
      </c>
      <c r="AF93" s="1045">
        <v>0</v>
      </c>
      <c r="AG93" s="360">
        <v>0</v>
      </c>
      <c r="AH93" s="1089" t="e">
        <f t="shared" si="48"/>
        <v>#DIV/0!</v>
      </c>
      <c r="AI93" s="1110">
        <v>150000000</v>
      </c>
      <c r="AJ93" s="1110">
        <f t="shared" ref="AJ93:AJ96" si="66">+SUM(Z93:AA93)</f>
        <v>148136352</v>
      </c>
      <c r="AK93" s="1107">
        <f t="shared" si="50"/>
        <v>0.98757567999999996</v>
      </c>
      <c r="AL93" s="1111"/>
      <c r="AM93" s="191"/>
      <c r="AN93" s="190" t="s">
        <v>23</v>
      </c>
      <c r="AO93" s="2299" t="s">
        <v>901</v>
      </c>
      <c r="AP93" s="1047"/>
      <c r="AQ93" s="1047"/>
    </row>
    <row r="94" spans="1:43" ht="80.25" customHeight="1">
      <c r="A94" s="327" t="s">
        <v>571</v>
      </c>
      <c r="B94" s="431" t="s">
        <v>762</v>
      </c>
      <c r="C94" s="1249">
        <v>0</v>
      </c>
      <c r="D94" s="391">
        <v>21</v>
      </c>
      <c r="E94" s="293">
        <v>0</v>
      </c>
      <c r="F94" s="147">
        <v>27</v>
      </c>
      <c r="G94" s="147"/>
      <c r="H94" s="180" t="e">
        <f t="shared" si="63"/>
        <v>#DIV/0!</v>
      </c>
      <c r="I94" s="642">
        <f t="shared" si="64"/>
        <v>1</v>
      </c>
      <c r="J94" s="152" t="s">
        <v>1491</v>
      </c>
      <c r="K94" s="146"/>
      <c r="L94" s="101"/>
      <c r="M94" s="104"/>
      <c r="N94" s="146"/>
      <c r="O94" s="149"/>
      <c r="P94" s="149"/>
      <c r="Q94" s="149"/>
      <c r="R94" s="150"/>
      <c r="S94" s="149"/>
      <c r="T94" s="228">
        <v>61</v>
      </c>
      <c r="U94" s="242">
        <f t="shared" ref="U94:U96" si="67">SUM(E94:G94)</f>
        <v>27</v>
      </c>
      <c r="V94" s="153">
        <f t="shared" si="65"/>
        <v>0.44262295081967212</v>
      </c>
      <c r="W94" s="1178">
        <v>0.3</v>
      </c>
      <c r="X94" s="475">
        <v>0.3</v>
      </c>
      <c r="Y94" s="530">
        <v>210000000</v>
      </c>
      <c r="Z94" s="359">
        <v>0</v>
      </c>
      <c r="AA94" s="530">
        <v>206893921</v>
      </c>
      <c r="AB94" s="1114">
        <f t="shared" si="46"/>
        <v>0.98520914761904765</v>
      </c>
      <c r="AC94" s="530">
        <v>36560820</v>
      </c>
      <c r="AD94" s="1010">
        <f t="shared" si="47"/>
        <v>0.17409914285714287</v>
      </c>
      <c r="AE94" s="1116">
        <f>+AA94-AC94</f>
        <v>170333101</v>
      </c>
      <c r="AF94" s="1063">
        <v>0</v>
      </c>
      <c r="AG94" s="359">
        <v>0</v>
      </c>
      <c r="AH94" s="1089" t="e">
        <f t="shared" si="48"/>
        <v>#DIV/0!</v>
      </c>
      <c r="AI94" s="1118">
        <v>610000000</v>
      </c>
      <c r="AJ94" s="1118">
        <f t="shared" si="66"/>
        <v>206893921</v>
      </c>
      <c r="AK94" s="1010">
        <f t="shared" si="50"/>
        <v>0.33917036229508196</v>
      </c>
      <c r="AL94" s="1119"/>
      <c r="AM94" s="157"/>
      <c r="AN94" s="152" t="s">
        <v>23</v>
      </c>
      <c r="AO94" s="2289"/>
      <c r="AP94" s="93"/>
      <c r="AQ94" s="93"/>
    </row>
    <row r="95" spans="1:43" ht="90" customHeight="1">
      <c r="A95" s="327" t="s">
        <v>572</v>
      </c>
      <c r="B95" s="431" t="s">
        <v>763</v>
      </c>
      <c r="C95" s="1249">
        <v>0</v>
      </c>
      <c r="D95" s="391">
        <v>1</v>
      </c>
      <c r="E95" s="293">
        <v>0</v>
      </c>
      <c r="F95" s="147">
        <v>1</v>
      </c>
      <c r="G95" s="147"/>
      <c r="H95" s="180" t="e">
        <f t="shared" si="63"/>
        <v>#DIV/0!</v>
      </c>
      <c r="I95" s="642">
        <f t="shared" si="64"/>
        <v>1</v>
      </c>
      <c r="J95" s="1012" t="s">
        <v>1492</v>
      </c>
      <c r="K95" s="146"/>
      <c r="L95" s="101"/>
      <c r="M95" s="104"/>
      <c r="N95" s="146"/>
      <c r="O95" s="149"/>
      <c r="P95" s="149"/>
      <c r="Q95" s="149"/>
      <c r="R95" s="150"/>
      <c r="S95" s="149"/>
      <c r="T95" s="228">
        <v>2</v>
      </c>
      <c r="U95" s="242">
        <f t="shared" si="67"/>
        <v>1</v>
      </c>
      <c r="V95" s="153">
        <f t="shared" si="65"/>
        <v>0.5</v>
      </c>
      <c r="W95" s="1178">
        <v>0.3</v>
      </c>
      <c r="X95" s="475">
        <v>0.3</v>
      </c>
      <c r="Y95" s="530">
        <v>220000000</v>
      </c>
      <c r="Z95" s="359">
        <v>0</v>
      </c>
      <c r="AA95" s="530">
        <v>216893921</v>
      </c>
      <c r="AB95" s="1114">
        <f t="shared" si="46"/>
        <v>0.98588145909090907</v>
      </c>
      <c r="AC95" s="530">
        <v>210960820</v>
      </c>
      <c r="AD95" s="1115">
        <f t="shared" si="47"/>
        <v>0.95891281818181817</v>
      </c>
      <c r="AE95" s="1116">
        <f>+AA95-AC95</f>
        <v>5933101</v>
      </c>
      <c r="AF95" s="1063">
        <v>0</v>
      </c>
      <c r="AG95" s="359">
        <v>0</v>
      </c>
      <c r="AH95" s="1089" t="e">
        <f t="shared" si="48"/>
        <v>#DIV/0!</v>
      </c>
      <c r="AI95" s="1324">
        <v>500000000</v>
      </c>
      <c r="AJ95" s="1118">
        <f t="shared" si="66"/>
        <v>216893921</v>
      </c>
      <c r="AK95" s="1010">
        <f t="shared" si="50"/>
        <v>0.43378784199999998</v>
      </c>
      <c r="AL95" s="1119"/>
      <c r="AM95" s="157"/>
      <c r="AN95" s="152" t="s">
        <v>23</v>
      </c>
      <c r="AO95" s="2289"/>
      <c r="AP95" s="93"/>
      <c r="AQ95" s="93"/>
    </row>
    <row r="96" spans="1:43" ht="75" customHeight="1" thickBot="1">
      <c r="A96" s="1296" t="s">
        <v>573</v>
      </c>
      <c r="B96" s="1261" t="s">
        <v>764</v>
      </c>
      <c r="C96" s="1262">
        <v>0</v>
      </c>
      <c r="D96" s="828">
        <v>1</v>
      </c>
      <c r="E96" s="1325">
        <v>0</v>
      </c>
      <c r="F96" s="860">
        <v>1</v>
      </c>
      <c r="G96" s="860"/>
      <c r="H96" s="1021" t="e">
        <f t="shared" si="63"/>
        <v>#DIV/0!</v>
      </c>
      <c r="I96" s="1030">
        <f t="shared" si="64"/>
        <v>1</v>
      </c>
      <c r="J96" s="1272" t="s">
        <v>1493</v>
      </c>
      <c r="K96" s="1273"/>
      <c r="L96" s="206"/>
      <c r="M96" s="207"/>
      <c r="N96" s="1023"/>
      <c r="O96" s="1276"/>
      <c r="P96" s="1276"/>
      <c r="Q96" s="1276"/>
      <c r="R96" s="1024"/>
      <c r="S96" s="1276"/>
      <c r="T96" s="1326">
        <v>2</v>
      </c>
      <c r="U96" s="1026">
        <f t="shared" si="67"/>
        <v>1</v>
      </c>
      <c r="V96" s="1027">
        <f t="shared" si="65"/>
        <v>0.5</v>
      </c>
      <c r="W96" s="1183">
        <v>0.2</v>
      </c>
      <c r="X96" s="889">
        <v>0.2</v>
      </c>
      <c r="Y96" s="1327">
        <v>150000000</v>
      </c>
      <c r="Z96" s="1028">
        <v>0</v>
      </c>
      <c r="AA96" s="1327">
        <v>147670441</v>
      </c>
      <c r="AB96" s="1133">
        <f t="shared" si="46"/>
        <v>0.98446960666666672</v>
      </c>
      <c r="AC96" s="1327">
        <v>8149070</v>
      </c>
      <c r="AD96" s="1139">
        <f t="shared" si="47"/>
        <v>5.4327133333333333E-2</v>
      </c>
      <c r="AE96" s="1135">
        <f>+AA96-AC96</f>
        <v>139521371</v>
      </c>
      <c r="AF96" s="1052">
        <v>0</v>
      </c>
      <c r="AG96" s="1028">
        <v>0</v>
      </c>
      <c r="AH96" s="1136" t="e">
        <f t="shared" si="48"/>
        <v>#DIV/0!</v>
      </c>
      <c r="AI96" s="1138">
        <v>300000000</v>
      </c>
      <c r="AJ96" s="1138">
        <f t="shared" si="66"/>
        <v>147670441</v>
      </c>
      <c r="AK96" s="1139">
        <f t="shared" si="50"/>
        <v>0.49223480333333336</v>
      </c>
      <c r="AL96" s="1328"/>
      <c r="AM96" s="173"/>
      <c r="AN96" s="189" t="s">
        <v>23</v>
      </c>
      <c r="AO96" s="2289"/>
      <c r="AP96" s="1037"/>
      <c r="AQ96" s="1037"/>
    </row>
    <row r="97" spans="1:43" ht="72.75" customHeight="1" thickBot="1">
      <c r="A97" s="961" t="s">
        <v>461</v>
      </c>
      <c r="B97" s="962"/>
      <c r="C97" s="861"/>
      <c r="D97" s="826"/>
      <c r="E97" s="963"/>
      <c r="F97" s="861"/>
      <c r="G97" s="861"/>
      <c r="H97" s="964">
        <f>+(H98*W98)</f>
        <v>1</v>
      </c>
      <c r="I97" s="973">
        <f>+SUMPRODUCT(I98:I98,X98:X98)</f>
        <v>1</v>
      </c>
      <c r="J97" s="965"/>
      <c r="K97" s="962"/>
      <c r="L97" s="966"/>
      <c r="M97" s="965"/>
      <c r="N97" s="965"/>
      <c r="O97" s="966"/>
      <c r="P97" s="966"/>
      <c r="Q97" s="966"/>
      <c r="R97" s="1099"/>
      <c r="S97" s="966"/>
      <c r="T97" s="968"/>
      <c r="U97" s="969">
        <f>SUM(E97:G97)</f>
        <v>0</v>
      </c>
      <c r="V97" s="1199">
        <f>+SUMPRODUCT(V98:V98,W98:W98)</f>
        <v>0.5</v>
      </c>
      <c r="W97" s="964">
        <v>0.1</v>
      </c>
      <c r="X97" s="879">
        <v>0.1</v>
      </c>
      <c r="Y97" s="971">
        <f>SUM(Y98)</f>
        <v>100000000</v>
      </c>
      <c r="Z97" s="971">
        <f>SUM(Z98:Z98)</f>
        <v>88650000</v>
      </c>
      <c r="AA97" s="971">
        <f>SUM(AA98:AA98)</f>
        <v>91165496</v>
      </c>
      <c r="AB97" s="972">
        <f t="shared" si="46"/>
        <v>0.91165496000000001</v>
      </c>
      <c r="AC97" s="971">
        <f>SUM(AC98:AC98)</f>
        <v>74151059</v>
      </c>
      <c r="AD97" s="973">
        <f t="shared" si="47"/>
        <v>0.74151058999999997</v>
      </c>
      <c r="AE97" s="974">
        <f>SUM(AE98:AE98)</f>
        <v>17014437</v>
      </c>
      <c r="AF97" s="965">
        <f>SUM(AF98:AF98)</f>
        <v>17950000</v>
      </c>
      <c r="AG97" s="971">
        <f>SUM(AG98:AG98)</f>
        <v>17950000</v>
      </c>
      <c r="AH97" s="967">
        <f t="shared" si="48"/>
        <v>1</v>
      </c>
      <c r="AI97" s="971">
        <f>SUM(AI98:AI98)</f>
        <v>400000000</v>
      </c>
      <c r="AJ97" s="971">
        <f>SUM(AJ98:AJ98)</f>
        <v>179815496</v>
      </c>
      <c r="AK97" s="964">
        <f t="shared" si="50"/>
        <v>0.44953873999999999</v>
      </c>
      <c r="AL97" s="975"/>
      <c r="AM97" s="975"/>
      <c r="AN97" s="283"/>
      <c r="AO97" s="974"/>
      <c r="AP97" s="286"/>
      <c r="AQ97" s="286"/>
    </row>
    <row r="98" spans="1:43" ht="112.5" customHeight="1" thickBot="1">
      <c r="A98" s="1215" t="s">
        <v>574</v>
      </c>
      <c r="B98" s="1329" t="s">
        <v>765</v>
      </c>
      <c r="C98" s="1330">
        <v>1</v>
      </c>
      <c r="D98" s="830">
        <v>1</v>
      </c>
      <c r="E98" s="1269">
        <v>1</v>
      </c>
      <c r="F98" s="867">
        <v>1</v>
      </c>
      <c r="G98" s="867"/>
      <c r="H98" s="1270">
        <f t="shared" ref="H98" si="68">IF((E98+G98)/C98&gt;=100%,100%,(E98+G98)/C98)</f>
        <v>1</v>
      </c>
      <c r="I98" s="1331">
        <f t="shared" ref="I98" si="69">IF(F98/D98&gt;=100%,100%,F98/D98)</f>
        <v>1</v>
      </c>
      <c r="J98" s="1272" t="s">
        <v>1494</v>
      </c>
      <c r="K98" s="1273"/>
      <c r="L98" s="1274"/>
      <c r="M98" s="1275"/>
      <c r="N98" s="1273"/>
      <c r="O98" s="1276"/>
      <c r="P98" s="1276"/>
      <c r="Q98" s="1276"/>
      <c r="R98" s="1277"/>
      <c r="S98" s="1276"/>
      <c r="T98" s="1326">
        <v>4</v>
      </c>
      <c r="U98" s="1278">
        <f>SUM(E98:G98)</f>
        <v>2</v>
      </c>
      <c r="V98" s="1027">
        <f t="shared" ref="V98" si="70">IF(U98/T98&gt;=100%,100%,U98/T98)</f>
        <v>0.5</v>
      </c>
      <c r="W98" s="1279">
        <v>1</v>
      </c>
      <c r="X98" s="888">
        <v>1</v>
      </c>
      <c r="Y98" s="1332">
        <v>100000000</v>
      </c>
      <c r="Z98" s="1332">
        <v>88650000</v>
      </c>
      <c r="AA98" s="1332">
        <v>91165496</v>
      </c>
      <c r="AB98" s="1282">
        <f t="shared" si="46"/>
        <v>0.91165496000000001</v>
      </c>
      <c r="AC98" s="1332">
        <v>74151059</v>
      </c>
      <c r="AD98" s="1331">
        <f t="shared" si="47"/>
        <v>0.74151058999999997</v>
      </c>
      <c r="AE98" s="1283">
        <f>+AA98-AC98</f>
        <v>17014437</v>
      </c>
      <c r="AF98" s="1333">
        <v>17950000</v>
      </c>
      <c r="AG98" s="1332">
        <v>17950000</v>
      </c>
      <c r="AH98" s="1053">
        <f t="shared" si="48"/>
        <v>1</v>
      </c>
      <c r="AI98" s="1285">
        <v>400000000</v>
      </c>
      <c r="AJ98" s="1285">
        <f>+SUM(Z98:AA98)</f>
        <v>179815496</v>
      </c>
      <c r="AK98" s="1257">
        <f t="shared" si="50"/>
        <v>0.44953873999999999</v>
      </c>
      <c r="AL98" s="1286"/>
      <c r="AM98" s="1286"/>
      <c r="AN98" s="1272" t="s">
        <v>302</v>
      </c>
      <c r="AO98" s="1216" t="s">
        <v>901</v>
      </c>
      <c r="AP98" s="1175"/>
      <c r="AQ98" s="1175"/>
    </row>
    <row r="99" spans="1:43" ht="54" customHeight="1" thickBot="1">
      <c r="A99" s="919" t="s">
        <v>885</v>
      </c>
      <c r="B99" s="1185"/>
      <c r="C99" s="869"/>
      <c r="D99" s="1186"/>
      <c r="E99" s="1187"/>
      <c r="F99" s="869"/>
      <c r="G99" s="869"/>
      <c r="H99" s="924">
        <f>+(H100*W100)+(H117*W117)+(H134*W134)+(H140*W140)</f>
        <v>0.95625000000000004</v>
      </c>
      <c r="I99" s="924">
        <f>+(I100*X100)+(I117*X117)+(I134*X134)+(I140*X140)</f>
        <v>0.91249999999999998</v>
      </c>
      <c r="J99" s="924"/>
      <c r="K99" s="1334">
        <f t="shared" ref="K99:R99" si="71">+(K100*AA100)</f>
        <v>0</v>
      </c>
      <c r="L99" s="924">
        <f t="shared" si="71"/>
        <v>0</v>
      </c>
      <c r="M99" s="924">
        <f t="shared" si="71"/>
        <v>0</v>
      </c>
      <c r="N99" s="924">
        <f t="shared" si="71"/>
        <v>0</v>
      </c>
      <c r="O99" s="924">
        <f t="shared" si="71"/>
        <v>0</v>
      </c>
      <c r="P99" s="924">
        <f t="shared" si="71"/>
        <v>0</v>
      </c>
      <c r="Q99" s="924">
        <f t="shared" si="71"/>
        <v>0</v>
      </c>
      <c r="R99" s="924">
        <f t="shared" si="71"/>
        <v>0</v>
      </c>
      <c r="S99" s="924"/>
      <c r="T99" s="924"/>
      <c r="U99" s="924"/>
      <c r="V99" s="932">
        <f>+(V100*W100)+(V117*W117)+(V134*W134)+(V140*W140)</f>
        <v>0.54704470693779905</v>
      </c>
      <c r="W99" s="933">
        <v>0.15</v>
      </c>
      <c r="X99" s="877">
        <v>0.15</v>
      </c>
      <c r="Y99" s="934">
        <f>+Y100+Y117+Y134+Y140</f>
        <v>5430000000</v>
      </c>
      <c r="Z99" s="934">
        <f>+Z100+Z117+Z134+Z140</f>
        <v>1833038631</v>
      </c>
      <c r="AA99" s="935">
        <f>+AA100+AA117+AA134+AA140</f>
        <v>5358674824.6800003</v>
      </c>
      <c r="AB99" s="929">
        <f t="shared" si="46"/>
        <v>0.98686460859668512</v>
      </c>
      <c r="AC99" s="934">
        <f>+AC100+AC117+AC134+AC140</f>
        <v>4196895217</v>
      </c>
      <c r="AD99" s="936">
        <f t="shared" si="47"/>
        <v>0.77290887974217315</v>
      </c>
      <c r="AE99" s="920">
        <f>+AE100+AE117+AE134+AE140</f>
        <v>1161779607.6800001</v>
      </c>
      <c r="AF99" s="937">
        <f>+AF100+AF117+AF134+AF140</f>
        <v>900914523</v>
      </c>
      <c r="AG99" s="934">
        <f>+AG100+AG117+AG134+AG140</f>
        <v>751671583</v>
      </c>
      <c r="AH99" s="1195">
        <f t="shared" si="48"/>
        <v>0.83434284142403592</v>
      </c>
      <c r="AI99" s="934">
        <f t="shared" ref="AI99:AJ99" si="72">+AI100+AI117+AI134+AI140</f>
        <v>30000000000</v>
      </c>
      <c r="AJ99" s="934">
        <f t="shared" si="72"/>
        <v>7191713455.6800003</v>
      </c>
      <c r="AK99" s="933">
        <f t="shared" si="50"/>
        <v>0.23972378185600002</v>
      </c>
      <c r="AL99" s="939"/>
      <c r="AM99" s="939"/>
      <c r="AN99" s="937"/>
      <c r="AO99" s="920"/>
      <c r="AP99" s="1196"/>
      <c r="AQ99" s="1196"/>
    </row>
    <row r="100" spans="1:43" s="617" customFormat="1" ht="51" customHeight="1" thickBot="1">
      <c r="A100" s="1065" t="s">
        <v>426</v>
      </c>
      <c r="B100" s="1066"/>
      <c r="C100" s="862"/>
      <c r="D100" s="835"/>
      <c r="E100" s="1067"/>
      <c r="F100" s="862"/>
      <c r="G100" s="862"/>
      <c r="H100" s="1198">
        <f>+(H101*W101)+(H105*W105)+(H111*W111)+(H114*W114)</f>
        <v>0.875</v>
      </c>
      <c r="I100" s="1068">
        <f>+(I101*X101)+(I105*X105)+(I111*X111)+(I114*X114)</f>
        <v>0.75</v>
      </c>
      <c r="J100" s="1069"/>
      <c r="K100" s="1066"/>
      <c r="L100" s="1071"/>
      <c r="M100" s="1069"/>
      <c r="N100" s="1069"/>
      <c r="O100" s="1071"/>
      <c r="P100" s="1071"/>
      <c r="Q100" s="1071"/>
      <c r="R100" s="1072"/>
      <c r="S100" s="1071"/>
      <c r="T100" s="1074"/>
      <c r="U100" s="1075"/>
      <c r="V100" s="1076">
        <f>+(V101*W101)+(V105*W105)+(V111*W111)+(V114*W114)</f>
        <v>0.4167916951469583</v>
      </c>
      <c r="W100" s="1077">
        <v>0.35</v>
      </c>
      <c r="X100" s="883">
        <v>0.35</v>
      </c>
      <c r="Y100" s="1078">
        <f>+Y101+Y105+Y111+Y114</f>
        <v>2320000000</v>
      </c>
      <c r="Z100" s="1078">
        <f>+Z101+Z105+Z111+Z114</f>
        <v>833538631</v>
      </c>
      <c r="AA100" s="1078">
        <f>+AA101+AA105+AA111+AA114</f>
        <v>2288896506</v>
      </c>
      <c r="AB100" s="1079">
        <f t="shared" si="46"/>
        <v>0.98659332155172419</v>
      </c>
      <c r="AC100" s="1078">
        <f>+AC101+AC105+AC111+AC114</f>
        <v>1918434383</v>
      </c>
      <c r="AD100" s="1068">
        <f t="shared" si="47"/>
        <v>0.82691137198275866</v>
      </c>
      <c r="AE100" s="1066">
        <f>+AE101+AE105+AE111+AE114</f>
        <v>370462123</v>
      </c>
      <c r="AF100" s="1069">
        <f>+AF101+AF105+AF111+AF114</f>
        <v>58664523</v>
      </c>
      <c r="AG100" s="1078">
        <f>+AG101+AG105+AG111+AG114</f>
        <v>55671583</v>
      </c>
      <c r="AH100" s="1080">
        <f t="shared" si="48"/>
        <v>0.94898211309073455</v>
      </c>
      <c r="AI100" s="1078">
        <f t="shared" ref="AI100:AJ100" si="73">+AI101+AI105+AI111+AI114</f>
        <v>14030000000</v>
      </c>
      <c r="AJ100" s="1078">
        <f t="shared" si="73"/>
        <v>3122435137</v>
      </c>
      <c r="AK100" s="1077">
        <f t="shared" si="50"/>
        <v>0.22255417940128297</v>
      </c>
      <c r="AL100" s="1071"/>
      <c r="AM100" s="1071" t="s">
        <v>300</v>
      </c>
      <c r="AN100" s="1069"/>
      <c r="AO100" s="1066"/>
      <c r="AP100" s="1082"/>
      <c r="AQ100" s="1082"/>
    </row>
    <row r="101" spans="1:43" ht="40.5" customHeight="1" thickBot="1">
      <c r="A101" s="961" t="s">
        <v>462</v>
      </c>
      <c r="B101" s="962"/>
      <c r="C101" s="861"/>
      <c r="D101" s="826"/>
      <c r="E101" s="963"/>
      <c r="F101" s="861"/>
      <c r="G101" s="861"/>
      <c r="H101" s="964">
        <f>+(H102*50%)+(H104*50%)</f>
        <v>0.5</v>
      </c>
      <c r="I101" s="973">
        <f>+SUMPRODUCT(I102:I104,X102:X104)</f>
        <v>0.25</v>
      </c>
      <c r="J101" s="965"/>
      <c r="K101" s="962"/>
      <c r="L101" s="966"/>
      <c r="M101" s="965"/>
      <c r="N101" s="965"/>
      <c r="O101" s="966"/>
      <c r="P101" s="966"/>
      <c r="Q101" s="966"/>
      <c r="R101" s="1099"/>
      <c r="S101" s="966"/>
      <c r="T101" s="968"/>
      <c r="U101" s="969"/>
      <c r="V101" s="1231">
        <f>+SUMPRODUCT(V102:V104,W102:W104)</f>
        <v>0.125</v>
      </c>
      <c r="W101" s="964">
        <v>0.25</v>
      </c>
      <c r="X101" s="879">
        <v>0.25</v>
      </c>
      <c r="Y101" s="971">
        <f>SUM(Y102:Y104)</f>
        <v>300000000</v>
      </c>
      <c r="Z101" s="971">
        <f>SUM(Z102:Z104)</f>
        <v>47000000</v>
      </c>
      <c r="AA101" s="971">
        <f>SUM(AA102:AA104)</f>
        <v>294634047</v>
      </c>
      <c r="AB101" s="972">
        <f t="shared" si="46"/>
        <v>0.98211349000000003</v>
      </c>
      <c r="AC101" s="971">
        <f>SUM(AC102:AC104)</f>
        <v>227384801</v>
      </c>
      <c r="AD101" s="973">
        <f t="shared" si="47"/>
        <v>0.75794933666666664</v>
      </c>
      <c r="AE101" s="974">
        <f>SUM(AE102:AE104)</f>
        <v>67249246</v>
      </c>
      <c r="AF101" s="965">
        <f>SUM(AF102:AF104)</f>
        <v>20000000</v>
      </c>
      <c r="AG101" s="971">
        <f>SUM(AG102:AG104)</f>
        <v>20000000</v>
      </c>
      <c r="AH101" s="967">
        <f t="shared" si="48"/>
        <v>1</v>
      </c>
      <c r="AI101" s="971">
        <f t="shared" ref="AI101:AJ101" si="74">SUM(AI102:AI104)</f>
        <v>2740000000</v>
      </c>
      <c r="AJ101" s="971">
        <f t="shared" si="74"/>
        <v>341634047</v>
      </c>
      <c r="AK101" s="1102">
        <f t="shared" si="50"/>
        <v>0.12468395875912409</v>
      </c>
      <c r="AL101" s="975"/>
      <c r="AM101" s="975"/>
      <c r="AN101" s="283"/>
      <c r="AO101" s="974"/>
      <c r="AP101" s="286"/>
      <c r="AQ101" s="286"/>
    </row>
    <row r="102" spans="1:43" ht="87" customHeight="1">
      <c r="A102" s="333" t="s">
        <v>575</v>
      </c>
      <c r="B102" s="430" t="s">
        <v>766</v>
      </c>
      <c r="C102" s="1335">
        <v>5</v>
      </c>
      <c r="D102" s="392">
        <v>17</v>
      </c>
      <c r="E102" s="978">
        <v>0</v>
      </c>
      <c r="F102" s="858">
        <v>0</v>
      </c>
      <c r="G102" s="858">
        <v>0</v>
      </c>
      <c r="H102" s="821">
        <f t="shared" ref="H102:H104" si="75">IF((E102+G102)/C102&gt;=100%,100%,(E102+G102)/C102)</f>
        <v>0</v>
      </c>
      <c r="I102" s="988">
        <f t="shared" ref="I102:I104" si="76">IF(F102/D102&gt;=100%,100%,F102/D102)</f>
        <v>0</v>
      </c>
      <c r="J102" s="190" t="s">
        <v>1495</v>
      </c>
      <c r="K102" s="982"/>
      <c r="L102" s="983"/>
      <c r="M102" s="984"/>
      <c r="N102" s="982"/>
      <c r="O102" s="204"/>
      <c r="P102" s="204"/>
      <c r="Q102" s="204"/>
      <c r="R102" s="985"/>
      <c r="S102" s="204"/>
      <c r="T102" s="1152">
        <v>22</v>
      </c>
      <c r="U102" s="1059">
        <f>SUM(E102:G102)</f>
        <v>0</v>
      </c>
      <c r="V102" s="1104">
        <f>IF(U102/T102&gt;=100%,100%,U102/T102)</f>
        <v>0</v>
      </c>
      <c r="W102" s="1336">
        <v>0.25</v>
      </c>
      <c r="X102" s="491">
        <v>0.25</v>
      </c>
      <c r="Y102" s="531">
        <v>150000000</v>
      </c>
      <c r="Z102" s="366">
        <v>47000000</v>
      </c>
      <c r="AA102" s="531">
        <v>147263496</v>
      </c>
      <c r="AB102" s="1106">
        <f t="shared" si="46"/>
        <v>0.98175663999999996</v>
      </c>
      <c r="AC102" s="531">
        <v>128772454</v>
      </c>
      <c r="AD102" s="1107">
        <f t="shared" si="47"/>
        <v>0.85848302666666665</v>
      </c>
      <c r="AE102" s="1108">
        <f>+AA102-AC102</f>
        <v>18491042</v>
      </c>
      <c r="AF102" s="1337">
        <v>20000000</v>
      </c>
      <c r="AG102" s="366">
        <v>20000000</v>
      </c>
      <c r="AH102" s="1089">
        <f t="shared" si="48"/>
        <v>1</v>
      </c>
      <c r="AI102" s="1110">
        <v>660000000</v>
      </c>
      <c r="AJ102" s="1110">
        <f t="shared" ref="AJ102:AJ104" si="77">+SUM(Z102:AA102)</f>
        <v>194263496</v>
      </c>
      <c r="AK102" s="1090">
        <f t="shared" si="50"/>
        <v>0.29433863030303031</v>
      </c>
      <c r="AL102" s="1111"/>
      <c r="AM102" s="191"/>
      <c r="AN102" s="190" t="s">
        <v>30</v>
      </c>
      <c r="AO102" s="2296" t="s">
        <v>907</v>
      </c>
      <c r="AP102" s="1047"/>
      <c r="AQ102" s="1047"/>
    </row>
    <row r="103" spans="1:43" ht="127.5" customHeight="1">
      <c r="A103" s="333" t="s">
        <v>576</v>
      </c>
      <c r="B103" s="431" t="s">
        <v>767</v>
      </c>
      <c r="C103" s="1335">
        <v>0</v>
      </c>
      <c r="D103" s="392">
        <v>10</v>
      </c>
      <c r="E103" s="213">
        <v>0</v>
      </c>
      <c r="F103" s="147">
        <v>0</v>
      </c>
      <c r="G103" s="147"/>
      <c r="H103" s="180" t="e">
        <f t="shared" si="75"/>
        <v>#DIV/0!</v>
      </c>
      <c r="I103" s="642">
        <f t="shared" si="76"/>
        <v>0</v>
      </c>
      <c r="J103" s="152" t="s">
        <v>1496</v>
      </c>
      <c r="K103" s="146"/>
      <c r="L103" s="101"/>
      <c r="M103" s="104"/>
      <c r="N103" s="146"/>
      <c r="O103" s="149"/>
      <c r="P103" s="149"/>
      <c r="Q103" s="149"/>
      <c r="R103" s="150"/>
      <c r="S103" s="149"/>
      <c r="T103" s="1121">
        <v>44</v>
      </c>
      <c r="U103" s="1008">
        <f t="shared" ref="U103:U104" si="78">SUM(E103:G103)</f>
        <v>0</v>
      </c>
      <c r="V103" s="1104">
        <f t="shared" ref="V103:V104" si="79">IF(U103/T103&gt;=100%,100%,U103/T103)</f>
        <v>0</v>
      </c>
      <c r="W103" s="1336">
        <v>0.5</v>
      </c>
      <c r="X103" s="491">
        <v>0.5</v>
      </c>
      <c r="Y103" s="532">
        <v>100000000</v>
      </c>
      <c r="Z103" s="366">
        <v>0</v>
      </c>
      <c r="AA103" s="531">
        <v>98241360</v>
      </c>
      <c r="AB103" s="1114">
        <f t="shared" si="46"/>
        <v>0.9824136</v>
      </c>
      <c r="AC103" s="531">
        <v>77916973</v>
      </c>
      <c r="AD103" s="1115">
        <f t="shared" si="47"/>
        <v>0.77916973</v>
      </c>
      <c r="AE103" s="1116">
        <f>+AA103-AC103</f>
        <v>20324387</v>
      </c>
      <c r="AF103" s="1337">
        <v>0</v>
      </c>
      <c r="AG103" s="366">
        <v>0</v>
      </c>
      <c r="AH103" s="1089" t="e">
        <f t="shared" si="48"/>
        <v>#DIV/0!</v>
      </c>
      <c r="AI103" s="1118">
        <v>1580000000</v>
      </c>
      <c r="AJ103" s="1118">
        <f t="shared" si="77"/>
        <v>98241360</v>
      </c>
      <c r="AK103" s="1010">
        <f t="shared" si="50"/>
        <v>6.2178075949367091E-2</v>
      </c>
      <c r="AL103" s="1119"/>
      <c r="AM103" s="157"/>
      <c r="AN103" s="152" t="s">
        <v>30</v>
      </c>
      <c r="AO103" s="2289"/>
      <c r="AP103" s="93"/>
      <c r="AQ103" s="93"/>
    </row>
    <row r="104" spans="1:43" ht="72.75" customHeight="1" thickBot="1">
      <c r="A104" s="1338" t="s">
        <v>577</v>
      </c>
      <c r="B104" s="1261" t="s">
        <v>768</v>
      </c>
      <c r="C104" s="1339">
        <v>1</v>
      </c>
      <c r="D104" s="831">
        <v>1</v>
      </c>
      <c r="E104" s="870">
        <v>0</v>
      </c>
      <c r="F104" s="860">
        <v>1</v>
      </c>
      <c r="G104" s="860">
        <v>1</v>
      </c>
      <c r="H104" s="1021">
        <f t="shared" si="75"/>
        <v>1</v>
      </c>
      <c r="I104" s="1030">
        <f t="shared" si="76"/>
        <v>1</v>
      </c>
      <c r="J104" s="189" t="s">
        <v>1497</v>
      </c>
      <c r="K104" s="1023"/>
      <c r="L104" s="206"/>
      <c r="M104" s="207"/>
      <c r="N104" s="1023"/>
      <c r="O104" s="181"/>
      <c r="P104" s="181"/>
      <c r="Q104" s="181"/>
      <c r="R104" s="1024"/>
      <c r="S104" s="181"/>
      <c r="T104" s="1129">
        <v>4</v>
      </c>
      <c r="U104" s="1130">
        <f t="shared" si="78"/>
        <v>2</v>
      </c>
      <c r="V104" s="1131">
        <f t="shared" si="79"/>
        <v>0.5</v>
      </c>
      <c r="W104" s="1340">
        <v>0.25</v>
      </c>
      <c r="X104" s="890">
        <v>0.25</v>
      </c>
      <c r="Y104" s="1341">
        <v>50000000</v>
      </c>
      <c r="Z104" s="1342">
        <v>0</v>
      </c>
      <c r="AA104" s="1341">
        <v>49129191</v>
      </c>
      <c r="AB104" s="1133">
        <f t="shared" si="46"/>
        <v>0.98258382</v>
      </c>
      <c r="AC104" s="1341">
        <v>20695374</v>
      </c>
      <c r="AD104" s="1139">
        <f t="shared" si="47"/>
        <v>0.41390747999999999</v>
      </c>
      <c r="AE104" s="1135">
        <f>+AA104-AC104</f>
        <v>28433817</v>
      </c>
      <c r="AF104" s="1343">
        <v>0</v>
      </c>
      <c r="AG104" s="1342">
        <v>0</v>
      </c>
      <c r="AH104" s="1136" t="e">
        <f t="shared" si="48"/>
        <v>#DIV/0!</v>
      </c>
      <c r="AI104" s="1138">
        <v>500000000</v>
      </c>
      <c r="AJ104" s="1138">
        <f t="shared" si="77"/>
        <v>49129191</v>
      </c>
      <c r="AK104" s="1139">
        <f t="shared" si="50"/>
        <v>9.8258382000000005E-2</v>
      </c>
      <c r="AL104" s="1140"/>
      <c r="AM104" s="173"/>
      <c r="AN104" s="189" t="s">
        <v>30</v>
      </c>
      <c r="AO104" s="2289"/>
      <c r="AP104" s="1037"/>
      <c r="AQ104" s="1037"/>
    </row>
    <row r="105" spans="1:43" ht="52.5" customHeight="1" thickBot="1">
      <c r="A105" s="961" t="s">
        <v>463</v>
      </c>
      <c r="B105" s="962"/>
      <c r="C105" s="861"/>
      <c r="D105" s="826"/>
      <c r="E105" s="963"/>
      <c r="F105" s="861"/>
      <c r="G105" s="861"/>
      <c r="H105" s="964">
        <f>+(H106*50%)+(H107*30%)+(H108*20%)</f>
        <v>1</v>
      </c>
      <c r="I105" s="973">
        <f>+SUMPRODUCT(I106:I110,X106:X110)</f>
        <v>1</v>
      </c>
      <c r="J105" s="965"/>
      <c r="K105" s="962"/>
      <c r="L105" s="966"/>
      <c r="M105" s="965"/>
      <c r="N105" s="965"/>
      <c r="O105" s="966"/>
      <c r="P105" s="966"/>
      <c r="Q105" s="966"/>
      <c r="R105" s="1099"/>
      <c r="S105" s="966"/>
      <c r="T105" s="968"/>
      <c r="U105" s="969"/>
      <c r="V105" s="1199">
        <f>+SUMPRODUCT(V106:V110,W106:W110)</f>
        <v>0.49992481203007522</v>
      </c>
      <c r="W105" s="964">
        <v>0.25</v>
      </c>
      <c r="X105" s="879">
        <v>0.25</v>
      </c>
      <c r="Y105" s="971">
        <f>SUM(Y106:Y110)</f>
        <v>550000000</v>
      </c>
      <c r="Z105" s="971">
        <f>SUM(Z106:Z110)</f>
        <v>12000000</v>
      </c>
      <c r="AA105" s="971">
        <f>SUM(AA106:AA110)</f>
        <v>543221928</v>
      </c>
      <c r="AB105" s="1344">
        <f>+AA105/Y105</f>
        <v>0.98767623272727267</v>
      </c>
      <c r="AC105" s="971">
        <f t="shared" ref="AC105:AJ105" si="80">SUM(AC106:AC110)</f>
        <v>530000956</v>
      </c>
      <c r="AD105" s="973">
        <f t="shared" si="47"/>
        <v>0.96363810181818177</v>
      </c>
      <c r="AE105" s="974">
        <f t="shared" si="80"/>
        <v>13220972</v>
      </c>
      <c r="AF105" s="965">
        <f t="shared" si="80"/>
        <v>0</v>
      </c>
      <c r="AG105" s="971">
        <f t="shared" si="80"/>
        <v>0</v>
      </c>
      <c r="AH105" s="1345" t="e">
        <f t="shared" si="80"/>
        <v>#DIV/0!</v>
      </c>
      <c r="AI105" s="971">
        <f t="shared" si="80"/>
        <v>4520000000</v>
      </c>
      <c r="AJ105" s="971">
        <f t="shared" si="80"/>
        <v>555221928</v>
      </c>
      <c r="AK105" s="964">
        <f t="shared" si="50"/>
        <v>0.12283670973451327</v>
      </c>
      <c r="AL105" s="975"/>
      <c r="AM105" s="975"/>
      <c r="AN105" s="283"/>
      <c r="AO105" s="974"/>
      <c r="AP105" s="286"/>
      <c r="AQ105" s="286"/>
    </row>
    <row r="106" spans="1:43" ht="153" customHeight="1">
      <c r="A106" s="334" t="s">
        <v>578</v>
      </c>
      <c r="B106" s="1346" t="s">
        <v>769</v>
      </c>
      <c r="C106" s="1347">
        <v>15</v>
      </c>
      <c r="D106" s="832">
        <v>50</v>
      </c>
      <c r="E106" s="978">
        <v>0</v>
      </c>
      <c r="F106" s="858">
        <v>50</v>
      </c>
      <c r="G106" s="858">
        <v>15</v>
      </c>
      <c r="H106" s="1090">
        <f t="shared" ref="H106:H110" si="81">IF((E106+G106)/C106&gt;=100%,100%,(E106+G106)/C106)</f>
        <v>1</v>
      </c>
      <c r="I106" s="1107">
        <f t="shared" ref="I106:I109" si="82">IF(F106/D106&gt;=100%,100%,F106/D106)</f>
        <v>1</v>
      </c>
      <c r="J106" s="981" t="s">
        <v>1498</v>
      </c>
      <c r="K106" s="1084"/>
      <c r="L106" s="1085"/>
      <c r="M106" s="1086"/>
      <c r="N106" s="1084"/>
      <c r="O106" s="1087"/>
      <c r="P106" s="1087"/>
      <c r="Q106" s="1087"/>
      <c r="R106" s="1088"/>
      <c r="S106" s="1087"/>
      <c r="T106" s="1152">
        <v>133</v>
      </c>
      <c r="U106" s="1059">
        <f>SUM(E106:G106)</f>
        <v>65</v>
      </c>
      <c r="V106" s="1104">
        <f t="shared" ref="V106:V110" si="83">IF(U106/T106&gt;=100%,100%,U106/T106)</f>
        <v>0.48872180451127817</v>
      </c>
      <c r="W106" s="1348">
        <v>0.45</v>
      </c>
      <c r="X106" s="884">
        <v>0.47</v>
      </c>
      <c r="Y106" s="533">
        <v>200000000</v>
      </c>
      <c r="Z106" s="367">
        <v>12000000</v>
      </c>
      <c r="AA106" s="533">
        <v>197570441</v>
      </c>
      <c r="AB106" s="1106">
        <f t="shared" si="46"/>
        <v>0.98785220500000004</v>
      </c>
      <c r="AC106" s="533">
        <v>192958473</v>
      </c>
      <c r="AD106" s="1107">
        <f t="shared" si="47"/>
        <v>0.96479236499999999</v>
      </c>
      <c r="AE106" s="1108">
        <f>+AA106-AC106</f>
        <v>4611968</v>
      </c>
      <c r="AF106" s="1337">
        <v>0</v>
      </c>
      <c r="AG106" s="366">
        <v>0</v>
      </c>
      <c r="AH106" s="1089" t="e">
        <f t="shared" si="48"/>
        <v>#DIV/0!</v>
      </c>
      <c r="AI106" s="1110">
        <v>2600000000</v>
      </c>
      <c r="AJ106" s="1110">
        <f>+SUM(Z106:AA106)</f>
        <v>209570441</v>
      </c>
      <c r="AK106" s="1090">
        <f t="shared" si="50"/>
        <v>8.0604015769230763E-2</v>
      </c>
      <c r="AL106" s="1111"/>
      <c r="AM106" s="1111"/>
      <c r="AN106" s="190" t="s">
        <v>30</v>
      </c>
      <c r="AO106" s="1349" t="s">
        <v>907</v>
      </c>
      <c r="AP106" s="1047"/>
      <c r="AQ106" s="1047"/>
    </row>
    <row r="107" spans="1:43" ht="123.75" customHeight="1">
      <c r="A107" s="335" t="s">
        <v>579</v>
      </c>
      <c r="B107" s="431" t="s">
        <v>770</v>
      </c>
      <c r="C107" s="1350">
        <v>5</v>
      </c>
      <c r="D107" s="215">
        <v>20</v>
      </c>
      <c r="E107" s="213">
        <v>0</v>
      </c>
      <c r="F107" s="147">
        <v>20</v>
      </c>
      <c r="G107" s="147">
        <v>5</v>
      </c>
      <c r="H107" s="1010">
        <f t="shared" si="81"/>
        <v>1</v>
      </c>
      <c r="I107" s="1115">
        <f t="shared" si="82"/>
        <v>1</v>
      </c>
      <c r="J107" s="1012" t="s">
        <v>1499</v>
      </c>
      <c r="K107" s="1013"/>
      <c r="L107" s="1014"/>
      <c r="M107" s="1015"/>
      <c r="N107" s="1013"/>
      <c r="O107" s="1016"/>
      <c r="P107" s="1016"/>
      <c r="Q107" s="1016"/>
      <c r="R107" s="1017"/>
      <c r="S107" s="1016"/>
      <c r="T107" s="1121">
        <v>50</v>
      </c>
      <c r="U107" s="1008">
        <f>SUM(E107:G107)</f>
        <v>25</v>
      </c>
      <c r="V107" s="1104">
        <f t="shared" si="83"/>
        <v>0.5</v>
      </c>
      <c r="W107" s="1348">
        <v>0.25</v>
      </c>
      <c r="X107" s="881">
        <v>0.26</v>
      </c>
      <c r="Y107" s="533">
        <v>100000000</v>
      </c>
      <c r="Z107" s="366">
        <v>0</v>
      </c>
      <c r="AA107" s="533">
        <v>99068176</v>
      </c>
      <c r="AB107" s="1114">
        <f t="shared" si="46"/>
        <v>0.99068175999999997</v>
      </c>
      <c r="AC107" s="533">
        <v>97223390</v>
      </c>
      <c r="AD107" s="1115">
        <f t="shared" si="47"/>
        <v>0.97223389999999998</v>
      </c>
      <c r="AE107" s="1116">
        <f>+AA107-AC107</f>
        <v>1844786</v>
      </c>
      <c r="AF107" s="1337">
        <v>0</v>
      </c>
      <c r="AG107" s="366">
        <v>0</v>
      </c>
      <c r="AH107" s="1089" t="e">
        <f t="shared" si="48"/>
        <v>#DIV/0!</v>
      </c>
      <c r="AI107" s="1118">
        <v>1000000000</v>
      </c>
      <c r="AJ107" s="1118">
        <f t="shared" ref="AJ107:AJ110" si="84">+SUM(Z107:AA107)</f>
        <v>99068176</v>
      </c>
      <c r="AK107" s="1010">
        <f t="shared" si="50"/>
        <v>9.9068175999999994E-2</v>
      </c>
      <c r="AL107" s="1119"/>
      <c r="AM107" s="1119"/>
      <c r="AN107" s="152" t="s">
        <v>30</v>
      </c>
      <c r="AO107" s="1351" t="s">
        <v>907</v>
      </c>
      <c r="AP107" s="93"/>
      <c r="AQ107" s="93"/>
    </row>
    <row r="108" spans="1:43" ht="78.75" customHeight="1">
      <c r="A108" s="335" t="s">
        <v>580</v>
      </c>
      <c r="B108" s="431" t="s">
        <v>771</v>
      </c>
      <c r="C108" s="1350">
        <v>1</v>
      </c>
      <c r="D108" s="215">
        <v>1</v>
      </c>
      <c r="E108" s="213">
        <v>1</v>
      </c>
      <c r="F108" s="147">
        <v>1</v>
      </c>
      <c r="G108" s="147"/>
      <c r="H108" s="1010">
        <f t="shared" si="81"/>
        <v>1</v>
      </c>
      <c r="I108" s="1115">
        <f t="shared" si="82"/>
        <v>1</v>
      </c>
      <c r="J108" s="1012" t="s">
        <v>1500</v>
      </c>
      <c r="K108" s="1013"/>
      <c r="L108" s="1014"/>
      <c r="M108" s="1015"/>
      <c r="N108" s="1013"/>
      <c r="O108" s="1016"/>
      <c r="P108" s="1016"/>
      <c r="Q108" s="1016"/>
      <c r="R108" s="1017"/>
      <c r="S108" s="1016"/>
      <c r="T108" s="1121">
        <v>4</v>
      </c>
      <c r="U108" s="1008">
        <f>SUM(E108:G108)</f>
        <v>2</v>
      </c>
      <c r="V108" s="1104">
        <f t="shared" si="83"/>
        <v>0.5</v>
      </c>
      <c r="W108" s="1348">
        <v>0.15</v>
      </c>
      <c r="X108" s="881">
        <v>0.17</v>
      </c>
      <c r="Y108" s="533">
        <v>50000000</v>
      </c>
      <c r="Z108" s="367">
        <v>0</v>
      </c>
      <c r="AA108" s="533">
        <v>49378784</v>
      </c>
      <c r="AB108" s="1114">
        <f t="shared" si="46"/>
        <v>0.98757567999999996</v>
      </c>
      <c r="AC108" s="533">
        <v>48148926</v>
      </c>
      <c r="AD108" s="1115">
        <f t="shared" si="47"/>
        <v>0.96297851999999995</v>
      </c>
      <c r="AE108" s="1116">
        <f>+AA108-AC108</f>
        <v>1229858</v>
      </c>
      <c r="AF108" s="1337">
        <v>0</v>
      </c>
      <c r="AG108" s="366">
        <v>0</v>
      </c>
      <c r="AH108" s="1089" t="e">
        <f t="shared" si="48"/>
        <v>#DIV/0!</v>
      </c>
      <c r="AI108" s="1118">
        <v>400000000</v>
      </c>
      <c r="AJ108" s="1118">
        <f t="shared" si="84"/>
        <v>49378784</v>
      </c>
      <c r="AK108" s="1010">
        <f t="shared" si="50"/>
        <v>0.12344695999999999</v>
      </c>
      <c r="AL108" s="1119"/>
      <c r="AM108" s="1119"/>
      <c r="AN108" s="152" t="s">
        <v>30</v>
      </c>
      <c r="AO108" s="2300" t="s">
        <v>907</v>
      </c>
      <c r="AP108" s="93"/>
      <c r="AQ108" s="93"/>
    </row>
    <row r="109" spans="1:43" ht="65.25" customHeight="1">
      <c r="A109" s="336" t="s">
        <v>581</v>
      </c>
      <c r="B109" s="431" t="s">
        <v>772</v>
      </c>
      <c r="C109" s="1350">
        <v>0</v>
      </c>
      <c r="D109" s="215">
        <v>1</v>
      </c>
      <c r="E109" s="213">
        <v>0</v>
      </c>
      <c r="F109" s="147">
        <v>1</v>
      </c>
      <c r="G109" s="147"/>
      <c r="H109" s="1010" t="e">
        <f t="shared" si="81"/>
        <v>#DIV/0!</v>
      </c>
      <c r="I109" s="1115">
        <f t="shared" si="82"/>
        <v>1</v>
      </c>
      <c r="J109" s="1012" t="s">
        <v>1501</v>
      </c>
      <c r="K109" s="1013"/>
      <c r="L109" s="1014"/>
      <c r="M109" s="1015"/>
      <c r="N109" s="1013"/>
      <c r="O109" s="1016"/>
      <c r="P109" s="1016"/>
      <c r="Q109" s="1016"/>
      <c r="R109" s="1017"/>
      <c r="S109" s="1016"/>
      <c r="T109" s="1121">
        <v>1</v>
      </c>
      <c r="U109" s="1008">
        <f t="shared" ref="U109:U110" si="85">SUM(E109:G109)</f>
        <v>1</v>
      </c>
      <c r="V109" s="1104">
        <f t="shared" si="83"/>
        <v>1</v>
      </c>
      <c r="W109" s="1353">
        <v>0.08</v>
      </c>
      <c r="X109" s="881">
        <v>0.1</v>
      </c>
      <c r="Y109" s="533">
        <v>200000000</v>
      </c>
      <c r="Z109" s="483" t="s">
        <v>887</v>
      </c>
      <c r="AA109" s="533">
        <v>197204527</v>
      </c>
      <c r="AB109" s="1114">
        <f t="shared" si="46"/>
        <v>0.98602263499999998</v>
      </c>
      <c r="AC109" s="533">
        <v>191670167</v>
      </c>
      <c r="AD109" s="1115">
        <f t="shared" si="47"/>
        <v>0.95835083499999996</v>
      </c>
      <c r="AE109" s="1116">
        <f>+AA109-AC109</f>
        <v>5534360</v>
      </c>
      <c r="AF109" s="1337">
        <v>0</v>
      </c>
      <c r="AG109" s="366">
        <v>0</v>
      </c>
      <c r="AH109" s="1089" t="e">
        <f t="shared" si="48"/>
        <v>#DIV/0!</v>
      </c>
      <c r="AI109" s="1118">
        <v>400000000</v>
      </c>
      <c r="AJ109" s="1118">
        <f t="shared" si="84"/>
        <v>197204527</v>
      </c>
      <c r="AK109" s="1010">
        <f t="shared" si="50"/>
        <v>0.49301131749999999</v>
      </c>
      <c r="AL109" s="1119"/>
      <c r="AM109" s="1119"/>
      <c r="AN109" s="152" t="s">
        <v>30</v>
      </c>
      <c r="AO109" s="2289"/>
      <c r="AP109" s="93"/>
      <c r="AQ109" s="93"/>
    </row>
    <row r="110" spans="1:43" ht="64.5" customHeight="1" thickBot="1">
      <c r="A110" s="340" t="s">
        <v>582</v>
      </c>
      <c r="B110" s="1261" t="s">
        <v>773</v>
      </c>
      <c r="C110" s="1354">
        <v>0</v>
      </c>
      <c r="D110" s="833">
        <v>0</v>
      </c>
      <c r="E110" s="870">
        <v>0</v>
      </c>
      <c r="F110" s="860">
        <v>0</v>
      </c>
      <c r="G110" s="860"/>
      <c r="H110" s="1139" t="e">
        <f t="shared" si="81"/>
        <v>#DIV/0!</v>
      </c>
      <c r="I110" s="1134">
        <v>0</v>
      </c>
      <c r="J110" s="1141" t="s">
        <v>1501</v>
      </c>
      <c r="K110" s="1219"/>
      <c r="L110" s="1220"/>
      <c r="M110" s="1221"/>
      <c r="N110" s="1219"/>
      <c r="O110" s="1222"/>
      <c r="P110" s="1222"/>
      <c r="Q110" s="1222"/>
      <c r="R110" s="1223"/>
      <c r="S110" s="1222"/>
      <c r="T110" s="1129">
        <v>1</v>
      </c>
      <c r="U110" s="1130">
        <f t="shared" si="85"/>
        <v>0</v>
      </c>
      <c r="V110" s="1131">
        <f t="shared" si="83"/>
        <v>0</v>
      </c>
      <c r="W110" s="1355">
        <v>7.0000000000000007E-2</v>
      </c>
      <c r="X110" s="885">
        <v>0</v>
      </c>
      <c r="Y110" s="1356" t="s">
        <v>887</v>
      </c>
      <c r="Z110" s="1356" t="s">
        <v>887</v>
      </c>
      <c r="AA110" s="1356" t="s">
        <v>887</v>
      </c>
      <c r="AB110" s="1133" t="e">
        <f t="shared" si="46"/>
        <v>#VALUE!</v>
      </c>
      <c r="AC110" s="1356" t="s">
        <v>887</v>
      </c>
      <c r="AD110" s="1130" t="e">
        <f t="shared" si="47"/>
        <v>#VALUE!</v>
      </c>
      <c r="AE110" s="1135"/>
      <c r="AF110" s="1343">
        <v>0</v>
      </c>
      <c r="AG110" s="1342">
        <v>0</v>
      </c>
      <c r="AH110" s="1136" t="e">
        <f t="shared" si="48"/>
        <v>#DIV/0!</v>
      </c>
      <c r="AI110" s="1138">
        <v>120000000</v>
      </c>
      <c r="AJ110" s="1138">
        <f t="shared" si="84"/>
        <v>0</v>
      </c>
      <c r="AK110" s="1139">
        <f t="shared" si="50"/>
        <v>0</v>
      </c>
      <c r="AL110" s="1140"/>
      <c r="AM110" s="1140"/>
      <c r="AN110" s="189" t="s">
        <v>30</v>
      </c>
      <c r="AO110" s="2289"/>
      <c r="AP110" s="1037"/>
      <c r="AQ110" s="1037"/>
    </row>
    <row r="111" spans="1:43" ht="79.5" customHeight="1" thickBot="1">
      <c r="A111" s="1357" t="s">
        <v>464</v>
      </c>
      <c r="B111" s="962"/>
      <c r="C111" s="861"/>
      <c r="D111" s="826"/>
      <c r="E111" s="963"/>
      <c r="F111" s="861"/>
      <c r="G111" s="861"/>
      <c r="H111" s="964">
        <f>+(H112*100%)</f>
        <v>1</v>
      </c>
      <c r="I111" s="973">
        <f>+SUMPRODUCT(I112:I113,X112:X113)</f>
        <v>1</v>
      </c>
      <c r="J111" s="965"/>
      <c r="K111" s="962"/>
      <c r="L111" s="966"/>
      <c r="M111" s="965"/>
      <c r="N111" s="965"/>
      <c r="O111" s="966"/>
      <c r="P111" s="966"/>
      <c r="Q111" s="966"/>
      <c r="R111" s="1099"/>
      <c r="S111" s="966"/>
      <c r="T111" s="968"/>
      <c r="U111" s="969"/>
      <c r="V111" s="1199">
        <f>+SUMPRODUCT(V112:V113,W112:W113)</f>
        <v>0.41818181818181815</v>
      </c>
      <c r="W111" s="964">
        <v>0.25</v>
      </c>
      <c r="X111" s="879">
        <v>0.25</v>
      </c>
      <c r="Y111" s="971">
        <f>SUM(Y112:Y113)</f>
        <v>850000000</v>
      </c>
      <c r="Z111" s="971">
        <f>SUM(Z112:Z113)</f>
        <v>0</v>
      </c>
      <c r="AA111" s="971">
        <f>SUM(AA112:AA113)</f>
        <v>839271646</v>
      </c>
      <c r="AB111" s="972">
        <f t="shared" si="46"/>
        <v>0.98737840705882352</v>
      </c>
      <c r="AC111" s="971">
        <f>SUM(AC112:AC113)</f>
        <v>707325355</v>
      </c>
      <c r="AD111" s="973">
        <f t="shared" si="47"/>
        <v>0.83214747647058829</v>
      </c>
      <c r="AE111" s="974">
        <f>SUM(AE112:AE113)</f>
        <v>131946291</v>
      </c>
      <c r="AF111" s="965">
        <f>SUM(AF112:AF113)</f>
        <v>0</v>
      </c>
      <c r="AG111" s="971">
        <f>SUM(AG112:AG113)</f>
        <v>0</v>
      </c>
      <c r="AH111" s="967" t="e">
        <f t="shared" si="48"/>
        <v>#DIV/0!</v>
      </c>
      <c r="AI111" s="971">
        <f>SUM(AI112:AI113)</f>
        <v>3530000000</v>
      </c>
      <c r="AJ111" s="971">
        <f t="shared" ref="AJ111" si="86">SUM(AJ112:AJ113)</f>
        <v>839271646</v>
      </c>
      <c r="AK111" s="964">
        <f t="shared" si="50"/>
        <v>0.23775400736543909</v>
      </c>
      <c r="AL111" s="975"/>
      <c r="AM111" s="975"/>
      <c r="AN111" s="283"/>
      <c r="AO111" s="974"/>
      <c r="AP111" s="286"/>
      <c r="AQ111" s="286"/>
    </row>
    <row r="112" spans="1:43" ht="111.75" customHeight="1">
      <c r="A112" s="1358" t="s">
        <v>583</v>
      </c>
      <c r="B112" s="1346" t="s">
        <v>774</v>
      </c>
      <c r="C112" s="1335">
        <v>5</v>
      </c>
      <c r="D112" s="392">
        <v>10</v>
      </c>
      <c r="E112" s="978">
        <v>0</v>
      </c>
      <c r="F112" s="858">
        <v>10</v>
      </c>
      <c r="G112" s="858">
        <v>5</v>
      </c>
      <c r="H112" s="821">
        <f t="shared" ref="H112:H113" si="87">IF((E112+G112)/C112&gt;=100%,100%,(E112+G112)/C112)</f>
        <v>1</v>
      </c>
      <c r="I112" s="988">
        <f t="shared" ref="I112:I113" si="88">IF(F112/D112&gt;=100%,100%,F112/D112)</f>
        <v>1</v>
      </c>
      <c r="J112" s="981" t="s">
        <v>1502</v>
      </c>
      <c r="K112" s="1084"/>
      <c r="L112" s="1085"/>
      <c r="M112" s="1086"/>
      <c r="N112" s="1084"/>
      <c r="O112" s="1087"/>
      <c r="P112" s="1087"/>
      <c r="Q112" s="1087"/>
      <c r="R112" s="1088"/>
      <c r="S112" s="1087"/>
      <c r="T112" s="1152">
        <v>33</v>
      </c>
      <c r="U112" s="1059">
        <f>SUM(E112:G112)</f>
        <v>15</v>
      </c>
      <c r="V112" s="1104">
        <f t="shared" ref="V112:V113" si="89">IF(U112/T112&gt;=100%,100%,U112/T112)</f>
        <v>0.45454545454545453</v>
      </c>
      <c r="W112" s="1254">
        <v>0.7</v>
      </c>
      <c r="X112" s="891">
        <v>0.7</v>
      </c>
      <c r="Y112" s="531">
        <v>500000000</v>
      </c>
      <c r="Z112" s="367">
        <v>0</v>
      </c>
      <c r="AA112" s="531">
        <v>493930767</v>
      </c>
      <c r="AB112" s="1106">
        <f t="shared" si="46"/>
        <v>0.98786153399999999</v>
      </c>
      <c r="AC112" s="531">
        <v>371208408</v>
      </c>
      <c r="AD112" s="1107">
        <f t="shared" si="47"/>
        <v>0.74241681599999998</v>
      </c>
      <c r="AE112" s="1108">
        <f>+AA112-AC112</f>
        <v>122722359</v>
      </c>
      <c r="AF112" s="1359">
        <v>0</v>
      </c>
      <c r="AG112" s="367">
        <v>0</v>
      </c>
      <c r="AH112" s="1089" t="e">
        <f t="shared" si="48"/>
        <v>#DIV/0!</v>
      </c>
      <c r="AI112" s="1110">
        <v>2480000000</v>
      </c>
      <c r="AJ112" s="1110">
        <f>+SUM(Z112:AA112)</f>
        <v>493930767</v>
      </c>
      <c r="AK112" s="1090">
        <f t="shared" si="50"/>
        <v>0.19916563185483871</v>
      </c>
      <c r="AL112" s="1111"/>
      <c r="AM112" s="1111"/>
      <c r="AN112" s="190" t="s">
        <v>30</v>
      </c>
      <c r="AO112" s="1360" t="s">
        <v>907</v>
      </c>
      <c r="AP112" s="1047"/>
      <c r="AQ112" s="1047"/>
    </row>
    <row r="113" spans="1:43" ht="88.5" customHeight="1" thickBot="1">
      <c r="A113" s="1361" t="s">
        <v>584</v>
      </c>
      <c r="B113" s="1261" t="s">
        <v>775</v>
      </c>
      <c r="C113" s="1339">
        <v>0</v>
      </c>
      <c r="D113" s="831">
        <v>110</v>
      </c>
      <c r="E113" s="870">
        <v>0</v>
      </c>
      <c r="F113" s="860">
        <v>110</v>
      </c>
      <c r="G113" s="860"/>
      <c r="H113" s="1021" t="e">
        <f t="shared" si="87"/>
        <v>#DIV/0!</v>
      </c>
      <c r="I113" s="1030">
        <f t="shared" si="88"/>
        <v>1</v>
      </c>
      <c r="J113" s="1141" t="s">
        <v>1503</v>
      </c>
      <c r="K113" s="1219"/>
      <c r="L113" s="1220"/>
      <c r="M113" s="1221"/>
      <c r="N113" s="1219"/>
      <c r="O113" s="1222"/>
      <c r="P113" s="1222"/>
      <c r="Q113" s="1222"/>
      <c r="R113" s="1223"/>
      <c r="S113" s="1222"/>
      <c r="T113" s="1129">
        <v>330</v>
      </c>
      <c r="U113" s="1130">
        <f>SUM(E113:G113)</f>
        <v>110</v>
      </c>
      <c r="V113" s="1131">
        <f t="shared" si="89"/>
        <v>0.33333333333333331</v>
      </c>
      <c r="W113" s="1263">
        <v>0.3</v>
      </c>
      <c r="X113" s="892">
        <v>0.3</v>
      </c>
      <c r="Y113" s="1341">
        <v>350000000</v>
      </c>
      <c r="Z113" s="1362" t="s">
        <v>887</v>
      </c>
      <c r="AA113" s="1341">
        <v>345340879</v>
      </c>
      <c r="AB113" s="1133">
        <f t="shared" si="46"/>
        <v>0.98668822571428572</v>
      </c>
      <c r="AC113" s="1341">
        <v>336116947</v>
      </c>
      <c r="AD113" s="1134">
        <f t="shared" si="47"/>
        <v>0.96033413428571424</v>
      </c>
      <c r="AE113" s="1135">
        <f>+AA113-AC113</f>
        <v>9223932</v>
      </c>
      <c r="AF113" s="1363">
        <v>0</v>
      </c>
      <c r="AG113" s="1364">
        <v>0</v>
      </c>
      <c r="AH113" s="1136" t="e">
        <f t="shared" si="48"/>
        <v>#DIV/0!</v>
      </c>
      <c r="AI113" s="1138">
        <v>1050000000</v>
      </c>
      <c r="AJ113" s="1138">
        <f>+SUM(Z113:AA113)</f>
        <v>345340879</v>
      </c>
      <c r="AK113" s="1139">
        <f t="shared" si="50"/>
        <v>0.32889607523809522</v>
      </c>
      <c r="AL113" s="1140"/>
      <c r="AM113" s="1140"/>
      <c r="AN113" s="189" t="s">
        <v>22</v>
      </c>
      <c r="AO113" s="1365" t="s">
        <v>907</v>
      </c>
      <c r="AP113" s="1037"/>
      <c r="AQ113" s="1037"/>
    </row>
    <row r="114" spans="1:43" ht="57.75" customHeight="1" thickBot="1">
      <c r="A114" s="1357" t="s">
        <v>465</v>
      </c>
      <c r="B114" s="962"/>
      <c r="C114" s="861"/>
      <c r="D114" s="826"/>
      <c r="E114" s="1366"/>
      <c r="F114" s="861"/>
      <c r="G114" s="861"/>
      <c r="H114" s="964">
        <f>+SUMPRODUCT(H115:H116,W115:W116)</f>
        <v>1</v>
      </c>
      <c r="I114" s="973">
        <f>+SUMPRODUCT(I115:I116,X115:X116)</f>
        <v>0.75</v>
      </c>
      <c r="J114" s="965"/>
      <c r="K114" s="962"/>
      <c r="L114" s="966"/>
      <c r="M114" s="965"/>
      <c r="N114" s="965"/>
      <c r="O114" s="966"/>
      <c r="P114" s="966"/>
      <c r="Q114" s="966"/>
      <c r="R114" s="1099"/>
      <c r="S114" s="966"/>
      <c r="T114" s="968"/>
      <c r="U114" s="969"/>
      <c r="V114" s="1199">
        <f>+SUMPRODUCT(V115:V116,W115:W116)</f>
        <v>0.62406015037593976</v>
      </c>
      <c r="W114" s="964">
        <v>0.25</v>
      </c>
      <c r="X114" s="879">
        <v>0.25</v>
      </c>
      <c r="Y114" s="971">
        <f>SUM(Y115:Y116)</f>
        <v>620000000</v>
      </c>
      <c r="Z114" s="971">
        <f>SUM(Z115:Z116)</f>
        <v>774538631</v>
      </c>
      <c r="AA114" s="971">
        <f>SUM(AA115:AA116)</f>
        <v>611768885</v>
      </c>
      <c r="AB114" s="972">
        <f t="shared" si="46"/>
        <v>0.9867240080645161</v>
      </c>
      <c r="AC114" s="971">
        <f>SUM(AC115:AC116)</f>
        <v>453723271</v>
      </c>
      <c r="AD114" s="973">
        <f t="shared" si="47"/>
        <v>0.73181172741935485</v>
      </c>
      <c r="AE114" s="974">
        <f>SUM(AE115:AE116)</f>
        <v>158045614</v>
      </c>
      <c r="AF114" s="283">
        <f>SUM(AF115:AF116)</f>
        <v>38664523</v>
      </c>
      <c r="AG114" s="976">
        <f>SUM(AG115:AG116)</f>
        <v>35671583</v>
      </c>
      <c r="AH114" s="967">
        <f t="shared" si="48"/>
        <v>0.92259208784238722</v>
      </c>
      <c r="AI114" s="971">
        <f t="shared" ref="AI114:AJ114" si="90">SUM(AI115:AI116)</f>
        <v>3240000000</v>
      </c>
      <c r="AJ114" s="971">
        <f t="shared" si="90"/>
        <v>1386307516</v>
      </c>
      <c r="AK114" s="964">
        <f t="shared" si="50"/>
        <v>0.4278726901234568</v>
      </c>
      <c r="AL114" s="975"/>
      <c r="AM114" s="975"/>
      <c r="AN114" s="283"/>
      <c r="AO114" s="974"/>
      <c r="AP114" s="286"/>
      <c r="AQ114" s="286"/>
    </row>
    <row r="115" spans="1:43" ht="183.75" customHeight="1">
      <c r="A115" s="1367" t="s">
        <v>585</v>
      </c>
      <c r="B115" s="1346" t="s">
        <v>776</v>
      </c>
      <c r="C115" s="1368">
        <v>2</v>
      </c>
      <c r="D115" s="393">
        <v>2</v>
      </c>
      <c r="E115" s="978">
        <v>0</v>
      </c>
      <c r="F115" s="858">
        <v>0</v>
      </c>
      <c r="G115" s="979">
        <v>2</v>
      </c>
      <c r="H115" s="821">
        <f t="shared" ref="H115:H116" si="91">IF((E115+G115)/C115&gt;=100%,100%,(E115+G115)/C115)</f>
        <v>1</v>
      </c>
      <c r="I115" s="988">
        <f t="shared" ref="I115:I116" si="92">IF(F115/D115&gt;=100%,100%,F115/D115)</f>
        <v>0</v>
      </c>
      <c r="J115" s="981" t="s">
        <v>1504</v>
      </c>
      <c r="K115" s="1084"/>
      <c r="L115" s="1085"/>
      <c r="M115" s="1086"/>
      <c r="N115" s="1084"/>
      <c r="O115" s="1087"/>
      <c r="P115" s="1087"/>
      <c r="Q115" s="1087"/>
      <c r="R115" s="1088"/>
      <c r="S115" s="1087"/>
      <c r="T115" s="1152">
        <v>7</v>
      </c>
      <c r="U115" s="1059">
        <f>SUM(E115:G115)</f>
        <v>2</v>
      </c>
      <c r="V115" s="1104">
        <f t="shared" ref="V115:V116" si="93">IF(U115/T115&gt;=100%,100%,U115/T115)</f>
        <v>0.2857142857142857</v>
      </c>
      <c r="W115" s="1254">
        <v>0.25</v>
      </c>
      <c r="X115" s="891">
        <v>0.25</v>
      </c>
      <c r="Y115" s="534">
        <v>200000000</v>
      </c>
      <c r="Z115" s="368">
        <v>774538631</v>
      </c>
      <c r="AA115" s="534">
        <v>197204527</v>
      </c>
      <c r="AB115" s="1106">
        <f t="shared" si="46"/>
        <v>0.98602263499999998</v>
      </c>
      <c r="AC115" s="534">
        <v>151420167</v>
      </c>
      <c r="AD115" s="1107">
        <f t="shared" si="47"/>
        <v>0.75710083500000003</v>
      </c>
      <c r="AE115" s="1108">
        <f>+AA115-AC115</f>
        <v>45784360</v>
      </c>
      <c r="AF115" s="1369">
        <v>38664523</v>
      </c>
      <c r="AG115" s="368">
        <v>35671583</v>
      </c>
      <c r="AH115" s="1089">
        <f t="shared" si="48"/>
        <v>0.92259208784238722</v>
      </c>
      <c r="AI115" s="1110">
        <v>840000000</v>
      </c>
      <c r="AJ115" s="1110">
        <f t="shared" ref="AJ115:AJ116" si="94">+SUM(Z115:AA115)</f>
        <v>971743158</v>
      </c>
      <c r="AK115" s="1107">
        <f t="shared" si="50"/>
        <v>1.1568370928571428</v>
      </c>
      <c r="AL115" s="1111"/>
      <c r="AM115" s="191"/>
      <c r="AN115" s="190" t="s">
        <v>30</v>
      </c>
      <c r="AO115" s="2301" t="s">
        <v>905</v>
      </c>
      <c r="AP115" s="1047"/>
      <c r="AQ115" s="1047"/>
    </row>
    <row r="116" spans="1:43" ht="99" customHeight="1" thickBot="1">
      <c r="A116" s="1370" t="s">
        <v>586</v>
      </c>
      <c r="B116" s="1261" t="s">
        <v>777</v>
      </c>
      <c r="C116" s="1371">
        <v>25</v>
      </c>
      <c r="D116" s="834">
        <v>73</v>
      </c>
      <c r="E116" s="870">
        <v>0</v>
      </c>
      <c r="F116" s="860">
        <v>73</v>
      </c>
      <c r="G116" s="1372">
        <v>25</v>
      </c>
      <c r="H116" s="1021">
        <f t="shared" si="91"/>
        <v>1</v>
      </c>
      <c r="I116" s="1030">
        <f t="shared" si="92"/>
        <v>1</v>
      </c>
      <c r="J116" s="1141" t="s">
        <v>1505</v>
      </c>
      <c r="K116" s="1219"/>
      <c r="L116" s="1220"/>
      <c r="M116" s="1221"/>
      <c r="N116" s="1219"/>
      <c r="O116" s="1222"/>
      <c r="P116" s="1222"/>
      <c r="Q116" s="1222"/>
      <c r="R116" s="1223"/>
      <c r="S116" s="1222"/>
      <c r="T116" s="1129">
        <v>133</v>
      </c>
      <c r="U116" s="1130">
        <f>SUM(E116:G116)</f>
        <v>98</v>
      </c>
      <c r="V116" s="1131">
        <f t="shared" si="93"/>
        <v>0.73684210526315785</v>
      </c>
      <c r="W116" s="1263">
        <v>0.75</v>
      </c>
      <c r="X116" s="892">
        <v>0.75</v>
      </c>
      <c r="Y116" s="1373">
        <v>420000000</v>
      </c>
      <c r="Z116" s="1374">
        <v>0</v>
      </c>
      <c r="AA116" s="1373">
        <v>414564358</v>
      </c>
      <c r="AB116" s="1133">
        <f t="shared" si="46"/>
        <v>0.98705799523809523</v>
      </c>
      <c r="AC116" s="1373">
        <v>302303104</v>
      </c>
      <c r="AD116" s="1134">
        <f t="shared" si="47"/>
        <v>0.71976929523809519</v>
      </c>
      <c r="AE116" s="1135">
        <f>+AA116-AC116</f>
        <v>112261254</v>
      </c>
      <c r="AF116" s="1375">
        <v>0</v>
      </c>
      <c r="AG116" s="1374">
        <v>0</v>
      </c>
      <c r="AH116" s="1136" t="e">
        <f t="shared" si="48"/>
        <v>#DIV/0!</v>
      </c>
      <c r="AI116" s="1138">
        <v>2400000000</v>
      </c>
      <c r="AJ116" s="1138">
        <f t="shared" si="94"/>
        <v>414564358</v>
      </c>
      <c r="AK116" s="1139">
        <f t="shared" si="50"/>
        <v>0.17273514916666666</v>
      </c>
      <c r="AL116" s="1140"/>
      <c r="AM116" s="173"/>
      <c r="AN116" s="189" t="s">
        <v>22</v>
      </c>
      <c r="AO116" s="2289"/>
      <c r="AP116" s="1037"/>
      <c r="AQ116" s="1037"/>
    </row>
    <row r="117" spans="1:43" s="617" customFormat="1" ht="64.5" customHeight="1" thickBot="1">
      <c r="A117" s="1065" t="s">
        <v>427</v>
      </c>
      <c r="B117" s="1066"/>
      <c r="C117" s="862"/>
      <c r="D117" s="835"/>
      <c r="E117" s="1067"/>
      <c r="F117" s="862"/>
      <c r="G117" s="862"/>
      <c r="H117" s="1077">
        <f>+(H118*W118)+(H121*W121)+(H125*W125)+(H132*W132)</f>
        <v>1</v>
      </c>
      <c r="I117" s="1068">
        <f>+(I118*X118)+(I121*X121)+(I125*X125)+(I132*X132)</f>
        <v>1</v>
      </c>
      <c r="J117" s="1069"/>
      <c r="K117" s="1066"/>
      <c r="L117" s="1071"/>
      <c r="M117" s="1069"/>
      <c r="N117" s="1069"/>
      <c r="O117" s="1071"/>
      <c r="P117" s="1071"/>
      <c r="Q117" s="1071"/>
      <c r="R117" s="1072"/>
      <c r="S117" s="1071"/>
      <c r="T117" s="1074"/>
      <c r="U117" s="1075"/>
      <c r="V117" s="1246">
        <f>+(V118*W118)+(V121*W121)+(V125*W125)+(V132*W132)</f>
        <v>0.54619318181818188</v>
      </c>
      <c r="W117" s="1077">
        <v>0.35</v>
      </c>
      <c r="X117" s="883">
        <v>0.35</v>
      </c>
      <c r="Y117" s="1078">
        <f>+Y118+Y121+Y125+Y132</f>
        <v>1485000000</v>
      </c>
      <c r="Z117" s="1078">
        <f>+Z118+Z121+Z125+Z132</f>
        <v>874500000</v>
      </c>
      <c r="AA117" s="1078">
        <f>+AA118+AA121+AA125+AA132</f>
        <v>1463313971.6800001</v>
      </c>
      <c r="AB117" s="1079">
        <f t="shared" si="46"/>
        <v>0.98539661392592592</v>
      </c>
      <c r="AC117" s="1078">
        <f>+AC118+AC121+AC125+AC132</f>
        <v>1300268561</v>
      </c>
      <c r="AD117" s="1068">
        <f t="shared" si="47"/>
        <v>0.87560172457912455</v>
      </c>
      <c r="AE117" s="1066">
        <f>+AE118+AE121+AE125+AE132</f>
        <v>163045410.68000001</v>
      </c>
      <c r="AF117" s="1069">
        <f>+AF118+AF121+AF125+AF132</f>
        <v>780000000</v>
      </c>
      <c r="AG117" s="1078">
        <f>+AG118+AG121+AG125+AG132</f>
        <v>692000000</v>
      </c>
      <c r="AH117" s="1080">
        <f t="shared" si="48"/>
        <v>0.88717948717948714</v>
      </c>
      <c r="AI117" s="1078">
        <f t="shared" ref="AI117:AJ117" si="95">+AI118+AI121+AI125+AI132</f>
        <v>8610000000</v>
      </c>
      <c r="AJ117" s="1078">
        <f t="shared" si="95"/>
        <v>2337813971.6799998</v>
      </c>
      <c r="AK117" s="1077">
        <f t="shared" si="50"/>
        <v>0.27152310937049939</v>
      </c>
      <c r="AL117" s="1071"/>
      <c r="AM117" s="1071" t="s">
        <v>300</v>
      </c>
      <c r="AN117" s="1069"/>
      <c r="AO117" s="1066"/>
      <c r="AP117" s="1082"/>
      <c r="AQ117" s="1082"/>
    </row>
    <row r="118" spans="1:43" ht="57" customHeight="1" thickBot="1">
      <c r="A118" s="961" t="s">
        <v>466</v>
      </c>
      <c r="B118" s="962"/>
      <c r="C118" s="861"/>
      <c r="D118" s="826"/>
      <c r="E118" s="963"/>
      <c r="F118" s="861"/>
      <c r="G118" s="861"/>
      <c r="H118" s="964">
        <f>+(H119*100%)</f>
        <v>1</v>
      </c>
      <c r="I118" s="973">
        <f>+SUMPRODUCT(I119:I120,X119:X120)</f>
        <v>1</v>
      </c>
      <c r="J118" s="965"/>
      <c r="K118" s="962"/>
      <c r="L118" s="966"/>
      <c r="M118" s="965"/>
      <c r="N118" s="965"/>
      <c r="O118" s="966"/>
      <c r="P118" s="966"/>
      <c r="Q118" s="966"/>
      <c r="R118" s="1099"/>
      <c r="S118" s="966"/>
      <c r="T118" s="968"/>
      <c r="U118" s="969"/>
      <c r="V118" s="1199">
        <f>+SUMPRODUCT(V119:V120,W119:W120)</f>
        <v>0.72727272727272729</v>
      </c>
      <c r="W118" s="964">
        <v>0.25</v>
      </c>
      <c r="X118" s="879">
        <v>0.25</v>
      </c>
      <c r="Y118" s="971">
        <f>SUM(Y119:Y120)</f>
        <v>475000000</v>
      </c>
      <c r="Z118" s="971">
        <f>SUM(Z119:Z120)</f>
        <v>94500000</v>
      </c>
      <c r="AA118" s="971">
        <f>SUM(AA119:AA120)</f>
        <v>467921845</v>
      </c>
      <c r="AB118" s="972">
        <f t="shared" si="46"/>
        <v>0.98509862105263157</v>
      </c>
      <c r="AC118" s="971">
        <f>SUM(AC119:AC120)</f>
        <v>452912348</v>
      </c>
      <c r="AD118" s="973">
        <f t="shared" si="47"/>
        <v>0.95349967999999996</v>
      </c>
      <c r="AE118" s="974">
        <f>SUM(AE119:AE120)</f>
        <v>15009497</v>
      </c>
      <c r="AF118" s="965">
        <f>SUM(AF119:AF120)</f>
        <v>12000000</v>
      </c>
      <c r="AG118" s="971">
        <f>SUM(AG119:AG120)</f>
        <v>12000000</v>
      </c>
      <c r="AH118" s="967">
        <f t="shared" si="48"/>
        <v>1</v>
      </c>
      <c r="AI118" s="976">
        <f t="shared" ref="AI118:AJ118" si="96">SUM(AI119:AI120)</f>
        <v>2000000000</v>
      </c>
      <c r="AJ118" s="976">
        <f t="shared" si="96"/>
        <v>562421845</v>
      </c>
      <c r="AK118" s="964">
        <f t="shared" si="50"/>
        <v>0.28121092250000002</v>
      </c>
      <c r="AL118" s="975"/>
      <c r="AM118" s="975"/>
      <c r="AN118" s="283"/>
      <c r="AO118" s="974"/>
      <c r="AP118" s="286"/>
      <c r="AQ118" s="286"/>
    </row>
    <row r="119" spans="1:43" ht="105.75" customHeight="1">
      <c r="A119" s="339" t="s">
        <v>587</v>
      </c>
      <c r="B119" s="438" t="s">
        <v>778</v>
      </c>
      <c r="C119" s="1376">
        <v>1</v>
      </c>
      <c r="D119" s="478">
        <v>1</v>
      </c>
      <c r="E119" s="1377">
        <v>1</v>
      </c>
      <c r="F119" s="864">
        <v>1</v>
      </c>
      <c r="G119" s="858"/>
      <c r="H119" s="821">
        <f t="shared" ref="H119:H120" si="97">IF((E119+G119)/C119&gt;=100%,100%,(E119+G119)/C119)</f>
        <v>1</v>
      </c>
      <c r="I119" s="988">
        <f t="shared" ref="I119:I120" si="98">IF(F119/D119&gt;=100%,100%,F119/D119)</f>
        <v>1</v>
      </c>
      <c r="J119" s="190" t="s">
        <v>1506</v>
      </c>
      <c r="K119" s="982"/>
      <c r="L119" s="983"/>
      <c r="M119" s="984"/>
      <c r="N119" s="982"/>
      <c r="O119" s="204"/>
      <c r="P119" s="204"/>
      <c r="Q119" s="204"/>
      <c r="R119" s="985"/>
      <c r="S119" s="204"/>
      <c r="T119" s="1378">
        <v>1</v>
      </c>
      <c r="U119" s="986">
        <f>SUM(E119:G119)</f>
        <v>2</v>
      </c>
      <c r="V119" s="186">
        <f>IF(U119/T119&gt;=100%,100%,U119/T119)</f>
        <v>1</v>
      </c>
      <c r="W119" s="1379">
        <v>0.5</v>
      </c>
      <c r="X119" s="893">
        <v>0.5</v>
      </c>
      <c r="Y119" s="535">
        <v>250000000</v>
      </c>
      <c r="Z119" s="369">
        <v>94500000</v>
      </c>
      <c r="AA119" s="369">
        <v>246583312</v>
      </c>
      <c r="AB119" s="987">
        <f t="shared" si="46"/>
        <v>0.986333248</v>
      </c>
      <c r="AC119" s="369">
        <v>238819095</v>
      </c>
      <c r="AD119" s="988">
        <f t="shared" si="47"/>
        <v>0.95527638000000004</v>
      </c>
      <c r="AE119" s="1044">
        <f>+AA119-AC119</f>
        <v>7764217</v>
      </c>
      <c r="AF119" s="1380">
        <v>12000000</v>
      </c>
      <c r="AG119" s="369">
        <v>12000000</v>
      </c>
      <c r="AH119" s="614">
        <f t="shared" si="48"/>
        <v>1</v>
      </c>
      <c r="AI119" s="1046">
        <v>1000000000</v>
      </c>
      <c r="AJ119" s="1046">
        <f>+SUM(Z119:AA119)</f>
        <v>341083312</v>
      </c>
      <c r="AK119" s="1090">
        <f t="shared" si="50"/>
        <v>0.34108331200000003</v>
      </c>
      <c r="AL119" s="191"/>
      <c r="AM119" s="191"/>
      <c r="AN119" s="190" t="s">
        <v>30</v>
      </c>
      <c r="AO119" s="1381" t="s">
        <v>907</v>
      </c>
      <c r="AP119" s="1047"/>
      <c r="AQ119" s="1047"/>
    </row>
    <row r="120" spans="1:43" ht="69" customHeight="1" thickBot="1">
      <c r="A120" s="1382" t="s">
        <v>588</v>
      </c>
      <c r="B120" s="1383" t="s">
        <v>779</v>
      </c>
      <c r="C120" s="1384">
        <v>0</v>
      </c>
      <c r="D120" s="836">
        <v>10</v>
      </c>
      <c r="E120" s="1385">
        <v>0</v>
      </c>
      <c r="F120" s="870">
        <v>10</v>
      </c>
      <c r="G120" s="860"/>
      <c r="H120" s="1021" t="e">
        <f t="shared" si="97"/>
        <v>#DIV/0!</v>
      </c>
      <c r="I120" s="1030">
        <f t="shared" si="98"/>
        <v>1</v>
      </c>
      <c r="J120" s="189" t="s">
        <v>1507</v>
      </c>
      <c r="K120" s="1023"/>
      <c r="L120" s="206"/>
      <c r="M120" s="207"/>
      <c r="N120" s="1023"/>
      <c r="O120" s="181"/>
      <c r="P120" s="181"/>
      <c r="Q120" s="181"/>
      <c r="R120" s="1024"/>
      <c r="S120" s="181"/>
      <c r="T120" s="1386">
        <v>22</v>
      </c>
      <c r="U120" s="1026">
        <f>SUM(E120:G120)</f>
        <v>10</v>
      </c>
      <c r="V120" s="1387">
        <f>IF(U120/T120&gt;=100%,100%,U120/T120)</f>
        <v>0.45454545454545453</v>
      </c>
      <c r="W120" s="1388">
        <v>0.5</v>
      </c>
      <c r="X120" s="894">
        <v>0.5</v>
      </c>
      <c r="Y120" s="1389">
        <v>225000000</v>
      </c>
      <c r="Z120" s="1390">
        <v>0</v>
      </c>
      <c r="AA120" s="1390">
        <v>221338533</v>
      </c>
      <c r="AB120" s="1029">
        <f t="shared" si="46"/>
        <v>0.98372681333333334</v>
      </c>
      <c r="AC120" s="1390">
        <v>214093253</v>
      </c>
      <c r="AD120" s="1030">
        <f t="shared" si="47"/>
        <v>0.95152556888888884</v>
      </c>
      <c r="AE120" s="175">
        <f>+AA120-AC120</f>
        <v>7245280</v>
      </c>
      <c r="AF120" s="1391">
        <v>0</v>
      </c>
      <c r="AG120" s="1390">
        <v>0</v>
      </c>
      <c r="AH120" s="1053" t="e">
        <f t="shared" si="48"/>
        <v>#DIV/0!</v>
      </c>
      <c r="AI120" s="1054">
        <v>1000000000</v>
      </c>
      <c r="AJ120" s="1054">
        <f>+SUM(Z120:AA120)</f>
        <v>221338533</v>
      </c>
      <c r="AK120" s="1139">
        <f t="shared" si="50"/>
        <v>0.221338533</v>
      </c>
      <c r="AL120" s="173"/>
      <c r="AM120" s="173"/>
      <c r="AN120" s="189" t="s">
        <v>30</v>
      </c>
      <c r="AO120" s="1392" t="s">
        <v>907</v>
      </c>
      <c r="AP120" s="1037"/>
      <c r="AQ120" s="1037"/>
    </row>
    <row r="121" spans="1:43" ht="45.75" customHeight="1" thickBot="1">
      <c r="A121" s="961" t="s">
        <v>467</v>
      </c>
      <c r="B121" s="962"/>
      <c r="C121" s="861"/>
      <c r="D121" s="826"/>
      <c r="E121" s="963"/>
      <c r="F121" s="861"/>
      <c r="G121" s="861"/>
      <c r="H121" s="964">
        <f>+SUMPRODUCT(H122:H124,W122:W124)</f>
        <v>1</v>
      </c>
      <c r="I121" s="973">
        <f>+SUMPRODUCT(I122:I124,X122:X124)</f>
        <v>1</v>
      </c>
      <c r="J121" s="965"/>
      <c r="K121" s="962"/>
      <c r="L121" s="966"/>
      <c r="M121" s="965"/>
      <c r="N121" s="965"/>
      <c r="O121" s="966"/>
      <c r="P121" s="966"/>
      <c r="Q121" s="966"/>
      <c r="R121" s="1099"/>
      <c r="S121" s="966"/>
      <c r="T121" s="968"/>
      <c r="U121" s="969">
        <f>SUM(E121:G121)</f>
        <v>0</v>
      </c>
      <c r="V121" s="1199">
        <f>+SUMPRODUCT(V122:V124,W122:W124)</f>
        <v>0.48250000000000004</v>
      </c>
      <c r="W121" s="964">
        <v>0.25</v>
      </c>
      <c r="X121" s="879">
        <v>0.25</v>
      </c>
      <c r="Y121" s="971">
        <f>SUM(Y122:Y124)</f>
        <v>530000000</v>
      </c>
      <c r="Z121" s="971">
        <f>SUM(Z122:Z124)</f>
        <v>680000000</v>
      </c>
      <c r="AA121" s="971">
        <f>SUM(AA122:AA124)</f>
        <v>523011320</v>
      </c>
      <c r="AB121" s="972">
        <f t="shared" si="46"/>
        <v>0.98681381132075474</v>
      </c>
      <c r="AC121" s="971">
        <f>SUM(AC122:AC124)</f>
        <v>479175420</v>
      </c>
      <c r="AD121" s="973">
        <f t="shared" si="47"/>
        <v>0.90410456603773581</v>
      </c>
      <c r="AE121" s="974">
        <f>SUM(AE122:AE124)</f>
        <v>43835900</v>
      </c>
      <c r="AF121" s="965">
        <f>SUM(AF122:AF124)</f>
        <v>680000000</v>
      </c>
      <c r="AG121" s="971">
        <f>SUM(AG122:AG124)</f>
        <v>680000000</v>
      </c>
      <c r="AH121" s="967">
        <f t="shared" si="48"/>
        <v>1</v>
      </c>
      <c r="AI121" s="971">
        <f t="shared" ref="AI121:AJ121" si="99">SUM(AI122:AI124)</f>
        <v>3920000000</v>
      </c>
      <c r="AJ121" s="971">
        <f t="shared" si="99"/>
        <v>1203011320</v>
      </c>
      <c r="AK121" s="964">
        <f t="shared" si="50"/>
        <v>0.30689064285714285</v>
      </c>
      <c r="AL121" s="975"/>
      <c r="AM121" s="975"/>
      <c r="AN121" s="283"/>
      <c r="AO121" s="974"/>
      <c r="AP121" s="286"/>
      <c r="AQ121" s="286"/>
    </row>
    <row r="122" spans="1:43" ht="80.25" customHeight="1">
      <c r="A122" s="340" t="s">
        <v>589</v>
      </c>
      <c r="B122" s="1393" t="s">
        <v>780</v>
      </c>
      <c r="C122" s="1394">
        <v>2</v>
      </c>
      <c r="D122" s="397">
        <v>7</v>
      </c>
      <c r="E122" s="978">
        <v>0</v>
      </c>
      <c r="F122" s="858">
        <v>7</v>
      </c>
      <c r="G122" s="858">
        <v>2</v>
      </c>
      <c r="H122" s="821">
        <f t="shared" ref="H122:H124" si="100">IF((E122+G122)/C122&gt;=100%,100%,(E122+G122)/C122)</f>
        <v>1</v>
      </c>
      <c r="I122" s="988">
        <f t="shared" ref="I122:I124" si="101">IF(F122/D122&gt;=100%,100%,F122/D122)</f>
        <v>1</v>
      </c>
      <c r="J122" s="1272" t="s">
        <v>1508</v>
      </c>
      <c r="K122" s="1273"/>
      <c r="L122" s="983"/>
      <c r="M122" s="984"/>
      <c r="N122" s="982"/>
      <c r="O122" s="1276"/>
      <c r="P122" s="1276"/>
      <c r="Q122" s="1276"/>
      <c r="R122" s="985"/>
      <c r="S122" s="1276"/>
      <c r="T122" s="1326">
        <v>20</v>
      </c>
      <c r="U122" s="1059">
        <f>SUM(E122:G122)</f>
        <v>9</v>
      </c>
      <c r="V122" s="186">
        <f>IF(U122/T122&gt;=100%,100%,U122/T122)</f>
        <v>0.45</v>
      </c>
      <c r="W122" s="1379">
        <v>0.35</v>
      </c>
      <c r="X122" s="893">
        <v>0.35</v>
      </c>
      <c r="Y122" s="687">
        <f>350000000/2</f>
        <v>175000000</v>
      </c>
      <c r="Z122" s="1395">
        <v>480000000</v>
      </c>
      <c r="AA122" s="1395">
        <f>345340879/2</f>
        <v>172670439.5</v>
      </c>
      <c r="AB122" s="987">
        <f t="shared" si="46"/>
        <v>0.98668822571428572</v>
      </c>
      <c r="AC122" s="1395">
        <f>306116947/2</f>
        <v>153058473.5</v>
      </c>
      <c r="AD122" s="1331">
        <f t="shared" si="47"/>
        <v>0.8746198485714286</v>
      </c>
      <c r="AE122" s="1044">
        <f>+AA122-AC122</f>
        <v>19611966</v>
      </c>
      <c r="AF122" s="1396">
        <f>480000000/2</f>
        <v>240000000</v>
      </c>
      <c r="AG122" s="1395">
        <f>480000000/2</f>
        <v>240000000</v>
      </c>
      <c r="AH122" s="614">
        <f t="shared" si="48"/>
        <v>1</v>
      </c>
      <c r="AI122" s="1046">
        <v>2800000000</v>
      </c>
      <c r="AJ122" s="1110">
        <f>+SUM(Z122:AA122)</f>
        <v>652670439.5</v>
      </c>
      <c r="AK122" s="1090">
        <f t="shared" si="50"/>
        <v>0.23309658553571427</v>
      </c>
      <c r="AL122" s="1328"/>
      <c r="AM122" s="1111"/>
      <c r="AN122" s="190" t="s">
        <v>30</v>
      </c>
      <c r="AO122" s="2302" t="s">
        <v>908</v>
      </c>
      <c r="AP122" s="1047"/>
      <c r="AQ122" s="1047"/>
    </row>
    <row r="123" spans="1:43" ht="52.5" customHeight="1">
      <c r="A123" s="336" t="s">
        <v>590</v>
      </c>
      <c r="B123" s="440" t="s">
        <v>781</v>
      </c>
      <c r="C123" s="1394">
        <v>1</v>
      </c>
      <c r="D123" s="397">
        <v>1</v>
      </c>
      <c r="E123" s="213">
        <v>0</v>
      </c>
      <c r="F123" s="147">
        <v>1</v>
      </c>
      <c r="G123" s="147">
        <v>1</v>
      </c>
      <c r="H123" s="180">
        <f t="shared" si="100"/>
        <v>1</v>
      </c>
      <c r="I123" s="642">
        <f t="shared" si="101"/>
        <v>1</v>
      </c>
      <c r="J123" s="189" t="s">
        <v>1509</v>
      </c>
      <c r="K123" s="1023"/>
      <c r="L123" s="101"/>
      <c r="M123" s="104"/>
      <c r="N123" s="146"/>
      <c r="O123" s="181"/>
      <c r="P123" s="181"/>
      <c r="Q123" s="181"/>
      <c r="R123" s="150"/>
      <c r="S123" s="181"/>
      <c r="T123" s="236">
        <v>4</v>
      </c>
      <c r="U123" s="1008">
        <f t="shared" ref="U123:U124" si="102">SUM(E123:G123)</f>
        <v>2</v>
      </c>
      <c r="V123" s="186">
        <f t="shared" ref="V123:V124" si="103">IF(U123/T123&gt;=100%,100%,U123/T123)</f>
        <v>0.5</v>
      </c>
      <c r="W123" s="1397">
        <v>0.35</v>
      </c>
      <c r="X123" s="476">
        <v>0.35</v>
      </c>
      <c r="Y123" s="688">
        <f>350000000/2</f>
        <v>175000000</v>
      </c>
      <c r="Z123" s="628">
        <v>0</v>
      </c>
      <c r="AA123" s="627">
        <f>345340879/2</f>
        <v>172670439.5</v>
      </c>
      <c r="AB123" s="273">
        <f t="shared" si="46"/>
        <v>0.98668822571428572</v>
      </c>
      <c r="AC123" s="627">
        <f>306116947/2</f>
        <v>153058473.5</v>
      </c>
      <c r="AD123" s="1030">
        <f t="shared" si="47"/>
        <v>0.8746198485714286</v>
      </c>
      <c r="AE123" s="156">
        <f>+AA123-AC123</f>
        <v>19611966</v>
      </c>
      <c r="AF123" s="1398">
        <f>480000000/2</f>
        <v>240000000</v>
      </c>
      <c r="AG123" s="627">
        <f>480000000/2</f>
        <v>240000000</v>
      </c>
      <c r="AH123" s="614">
        <f t="shared" si="48"/>
        <v>1</v>
      </c>
      <c r="AI123" s="250">
        <v>320000000</v>
      </c>
      <c r="AJ123" s="1118">
        <f t="shared" ref="AJ123:AJ133" si="104">+SUM(Z123:AA123)</f>
        <v>172670439.5</v>
      </c>
      <c r="AK123" s="1134">
        <f t="shared" si="50"/>
        <v>0.53959512343750005</v>
      </c>
      <c r="AL123" s="1140"/>
      <c r="AM123" s="1119"/>
      <c r="AN123" s="152" t="s">
        <v>30</v>
      </c>
      <c r="AO123" s="2290"/>
      <c r="AP123" s="93"/>
      <c r="AQ123" s="93"/>
    </row>
    <row r="124" spans="1:43" ht="52.5" customHeight="1" thickBot="1">
      <c r="A124" s="1399" t="s">
        <v>591</v>
      </c>
      <c r="B124" s="441" t="s">
        <v>782</v>
      </c>
      <c r="C124" s="1400">
        <v>1</v>
      </c>
      <c r="D124" s="837">
        <v>1</v>
      </c>
      <c r="E124" s="870">
        <v>0</v>
      </c>
      <c r="F124" s="860">
        <v>1</v>
      </c>
      <c r="G124" s="860">
        <v>1</v>
      </c>
      <c r="H124" s="1021">
        <f t="shared" si="100"/>
        <v>1</v>
      </c>
      <c r="I124" s="1030">
        <f t="shared" si="101"/>
        <v>1</v>
      </c>
      <c r="J124" s="189" t="s">
        <v>1510</v>
      </c>
      <c r="K124" s="1023"/>
      <c r="L124" s="206"/>
      <c r="M124" s="207"/>
      <c r="N124" s="1023"/>
      <c r="O124" s="181"/>
      <c r="P124" s="181"/>
      <c r="Q124" s="181"/>
      <c r="R124" s="1024"/>
      <c r="S124" s="181"/>
      <c r="T124" s="236">
        <v>4</v>
      </c>
      <c r="U124" s="1130">
        <f t="shared" si="102"/>
        <v>2</v>
      </c>
      <c r="V124" s="1387">
        <f t="shared" si="103"/>
        <v>0.5</v>
      </c>
      <c r="W124" s="1388">
        <v>0.3</v>
      </c>
      <c r="X124" s="894">
        <v>0.3</v>
      </c>
      <c r="Y124" s="1401">
        <v>180000000</v>
      </c>
      <c r="Z124" s="1402">
        <v>200000000</v>
      </c>
      <c r="AA124" s="1403">
        <v>177670441</v>
      </c>
      <c r="AB124" s="1029">
        <f t="shared" si="46"/>
        <v>0.98705800555555556</v>
      </c>
      <c r="AC124" s="1403">
        <v>173058473</v>
      </c>
      <c r="AD124" s="1030">
        <f t="shared" si="47"/>
        <v>0.96143596111111107</v>
      </c>
      <c r="AE124" s="175">
        <f>+AA124-AC124</f>
        <v>4611968</v>
      </c>
      <c r="AF124" s="1404">
        <v>200000000</v>
      </c>
      <c r="AG124" s="1403">
        <v>200000000</v>
      </c>
      <c r="AH124" s="1053">
        <f t="shared" si="48"/>
        <v>1</v>
      </c>
      <c r="AI124" s="1054">
        <v>800000000</v>
      </c>
      <c r="AJ124" s="1138">
        <f t="shared" si="104"/>
        <v>377670441</v>
      </c>
      <c r="AK124" s="1139">
        <f t="shared" si="50"/>
        <v>0.47208805124999997</v>
      </c>
      <c r="AL124" s="1140"/>
      <c r="AM124" s="1140"/>
      <c r="AN124" s="189" t="s">
        <v>30</v>
      </c>
      <c r="AO124" s="1352" t="s">
        <v>890</v>
      </c>
      <c r="AP124" s="1037"/>
      <c r="AQ124" s="1037"/>
    </row>
    <row r="125" spans="1:43" ht="52.5" customHeight="1" thickBot="1">
      <c r="A125" s="961" t="s">
        <v>468</v>
      </c>
      <c r="B125" s="962"/>
      <c r="C125" s="861"/>
      <c r="D125" s="826"/>
      <c r="E125" s="963"/>
      <c r="F125" s="861"/>
      <c r="G125" s="861"/>
      <c r="H125" s="964">
        <f>+(H126*25%)+(H127*25%)+(H129*50%)</f>
        <v>1</v>
      </c>
      <c r="I125" s="973">
        <f>+SUMPRODUCT(I126:I131,X126:X131)</f>
        <v>1</v>
      </c>
      <c r="J125" s="965"/>
      <c r="K125" s="962"/>
      <c r="L125" s="966"/>
      <c r="M125" s="965"/>
      <c r="N125" s="965"/>
      <c r="O125" s="966"/>
      <c r="P125" s="966"/>
      <c r="Q125" s="966"/>
      <c r="R125" s="1099"/>
      <c r="S125" s="966"/>
      <c r="T125" s="968"/>
      <c r="U125" s="969">
        <f>SUM(E125:F125)</f>
        <v>0</v>
      </c>
      <c r="V125" s="1199">
        <f>+SUMPRODUCT(V126:V131,W126:W131)</f>
        <v>0.47499999999999998</v>
      </c>
      <c r="W125" s="964">
        <v>0.25</v>
      </c>
      <c r="X125" s="879">
        <v>0.25</v>
      </c>
      <c r="Y125" s="971">
        <f>SUM(Y126:Y131)</f>
        <v>380000000</v>
      </c>
      <c r="Z125" s="971">
        <f>SUM(Z126:Z131)</f>
        <v>100000000</v>
      </c>
      <c r="AA125" s="971">
        <f>SUM(AA126:AA131)</f>
        <v>373611664.68000001</v>
      </c>
      <c r="AB125" s="972">
        <f t="shared" si="46"/>
        <v>0.98318859126315794</v>
      </c>
      <c r="AC125" s="971">
        <f>SUM(AC126:AC131)</f>
        <v>272088917</v>
      </c>
      <c r="AD125" s="973">
        <f t="shared" si="47"/>
        <v>0.71602346578947373</v>
      </c>
      <c r="AE125" s="974">
        <f>SUM(AE126:AE131)</f>
        <v>101522747.67999999</v>
      </c>
      <c r="AF125" s="965">
        <f>SUM(AF126:AF131)</f>
        <v>88000000</v>
      </c>
      <c r="AG125" s="971">
        <f>SUM(AG126:AG131)</f>
        <v>0</v>
      </c>
      <c r="AH125" s="967">
        <f t="shared" si="48"/>
        <v>0</v>
      </c>
      <c r="AI125" s="971">
        <f t="shared" ref="AI125:AJ125" si="105">SUM(AI126:AI131)</f>
        <v>2290000000</v>
      </c>
      <c r="AJ125" s="971">
        <f t="shared" si="105"/>
        <v>473611664.68000001</v>
      </c>
      <c r="AK125" s="964">
        <f>+AJ125/AI125</f>
        <v>0.20681732082096072</v>
      </c>
      <c r="AL125" s="975"/>
      <c r="AM125" s="975"/>
      <c r="AN125" s="283"/>
      <c r="AO125" s="974"/>
      <c r="AP125" s="286"/>
      <c r="AQ125" s="286"/>
    </row>
    <row r="126" spans="1:43" ht="48.75" customHeight="1">
      <c r="A126" s="341" t="s">
        <v>592</v>
      </c>
      <c r="B126" s="1393" t="s">
        <v>783</v>
      </c>
      <c r="C126" s="1405">
        <v>1</v>
      </c>
      <c r="D126" s="398">
        <v>1</v>
      </c>
      <c r="E126" s="978">
        <v>1</v>
      </c>
      <c r="F126" s="858">
        <v>1</v>
      </c>
      <c r="G126" s="858"/>
      <c r="H126" s="821">
        <f t="shared" ref="H126:H131" si="106">IF((E126+G126)/C126&gt;=100%,100%,(E126+G126)/C126)</f>
        <v>1</v>
      </c>
      <c r="I126" s="988">
        <f t="shared" ref="I126:I131" si="107">IF(F126/D126&gt;=100%,100%,F126/D126)</f>
        <v>1</v>
      </c>
      <c r="J126" s="1272" t="s">
        <v>1511</v>
      </c>
      <c r="K126" s="1273"/>
      <c r="L126" s="983"/>
      <c r="M126" s="984"/>
      <c r="N126" s="982"/>
      <c r="O126" s="1276"/>
      <c r="P126" s="1276"/>
      <c r="Q126" s="1276"/>
      <c r="R126" s="985"/>
      <c r="S126" s="1276"/>
      <c r="T126" s="1326">
        <v>4</v>
      </c>
      <c r="U126" s="986">
        <f>SUM(E126:G126)</f>
        <v>2</v>
      </c>
      <c r="V126" s="186">
        <f t="shared" ref="V126:V131" si="108">IF(U126/T126&gt;=100%,100%,U126/T126)</f>
        <v>0.5</v>
      </c>
      <c r="W126" s="1406">
        <v>0.1</v>
      </c>
      <c r="X126" s="493">
        <v>0.1</v>
      </c>
      <c r="Y126" s="535">
        <f>110000000/2</f>
        <v>55000000</v>
      </c>
      <c r="Z126" s="628">
        <v>50000000</v>
      </c>
      <c r="AA126" s="628">
        <f>108446960/2</f>
        <v>54223480</v>
      </c>
      <c r="AB126" s="987">
        <f t="shared" si="46"/>
        <v>0.98588145454545451</v>
      </c>
      <c r="AC126" s="628">
        <f>100666859/2</f>
        <v>50333429.5</v>
      </c>
      <c r="AD126" s="1331">
        <f t="shared" si="47"/>
        <v>0.91515326363636362</v>
      </c>
      <c r="AE126" s="1044">
        <f t="shared" ref="AE126:AE131" si="109">+AA126-AC126</f>
        <v>3890050.5</v>
      </c>
      <c r="AF126" s="1407">
        <f>88000000/2</f>
        <v>44000000</v>
      </c>
      <c r="AG126" s="628">
        <v>0</v>
      </c>
      <c r="AH126" s="614">
        <f t="shared" si="48"/>
        <v>0</v>
      </c>
      <c r="AI126" s="1046">
        <v>200000000</v>
      </c>
      <c r="AJ126" s="1046">
        <f t="shared" si="104"/>
        <v>104223480</v>
      </c>
      <c r="AK126" s="1331">
        <f t="shared" si="50"/>
        <v>0.52111739999999995</v>
      </c>
      <c r="AL126" s="1286"/>
      <c r="AM126" s="191"/>
      <c r="AN126" s="190" t="s">
        <v>30</v>
      </c>
      <c r="AO126" s="2303" t="s">
        <v>890</v>
      </c>
      <c r="AP126" s="1047"/>
      <c r="AQ126" s="1047"/>
    </row>
    <row r="127" spans="1:43" ht="48.75" customHeight="1">
      <c r="A127" s="342" t="s">
        <v>593</v>
      </c>
      <c r="B127" s="440" t="s">
        <v>784</v>
      </c>
      <c r="C127" s="1405">
        <v>1</v>
      </c>
      <c r="D127" s="398">
        <v>1</v>
      </c>
      <c r="E127" s="213">
        <v>1</v>
      </c>
      <c r="F127" s="147">
        <v>1</v>
      </c>
      <c r="G127" s="147"/>
      <c r="H127" s="180">
        <f t="shared" si="106"/>
        <v>1</v>
      </c>
      <c r="I127" s="642">
        <f t="shared" si="107"/>
        <v>1</v>
      </c>
      <c r="J127" s="189" t="s">
        <v>1512</v>
      </c>
      <c r="K127" s="1023"/>
      <c r="L127" s="101"/>
      <c r="M127" s="104"/>
      <c r="N127" s="146"/>
      <c r="O127" s="181"/>
      <c r="P127" s="181"/>
      <c r="Q127" s="181"/>
      <c r="R127" s="150"/>
      <c r="S127" s="181"/>
      <c r="T127" s="236">
        <v>4</v>
      </c>
      <c r="U127" s="242">
        <f t="shared" ref="U127:U131" si="110">SUM(E127:G127)</f>
        <v>2</v>
      </c>
      <c r="V127" s="186">
        <f t="shared" si="108"/>
        <v>0.5</v>
      </c>
      <c r="W127" s="1408">
        <v>0.1</v>
      </c>
      <c r="X127" s="492">
        <v>0.1</v>
      </c>
      <c r="Y127" s="1409">
        <f>110000000/2</f>
        <v>55000000</v>
      </c>
      <c r="Z127" s="1410">
        <v>50000000</v>
      </c>
      <c r="AA127" s="1410">
        <f>108446960/2</f>
        <v>54223480</v>
      </c>
      <c r="AB127" s="1114">
        <f t="shared" si="46"/>
        <v>0.98588145454545451</v>
      </c>
      <c r="AC127" s="1410">
        <f>100666859/2</f>
        <v>50333429.5</v>
      </c>
      <c r="AD127" s="1134">
        <f t="shared" si="47"/>
        <v>0.91515326363636362</v>
      </c>
      <c r="AE127" s="1116">
        <f t="shared" si="109"/>
        <v>3890050.5</v>
      </c>
      <c r="AF127" s="1411">
        <f>88000000/2</f>
        <v>44000000</v>
      </c>
      <c r="AG127" s="1410">
        <v>0</v>
      </c>
      <c r="AH127" s="1089">
        <f t="shared" si="48"/>
        <v>0</v>
      </c>
      <c r="AI127" s="1118">
        <v>200000000</v>
      </c>
      <c r="AJ127" s="1118">
        <f t="shared" si="104"/>
        <v>104223480</v>
      </c>
      <c r="AK127" s="1134">
        <f t="shared" si="50"/>
        <v>0.52111739999999995</v>
      </c>
      <c r="AL127" s="1140"/>
      <c r="AM127" s="1119"/>
      <c r="AN127" s="152" t="s">
        <v>30</v>
      </c>
      <c r="AO127" s="2290"/>
      <c r="AP127" s="93"/>
      <c r="AQ127" s="93"/>
    </row>
    <row r="128" spans="1:43" ht="48.75" customHeight="1">
      <c r="A128" s="339" t="s">
        <v>594</v>
      </c>
      <c r="B128" s="440" t="s">
        <v>785</v>
      </c>
      <c r="C128" s="1405">
        <v>0</v>
      </c>
      <c r="D128" s="398">
        <v>2</v>
      </c>
      <c r="E128" s="213">
        <v>0</v>
      </c>
      <c r="F128" s="147">
        <v>2</v>
      </c>
      <c r="G128" s="147"/>
      <c r="H128" s="180" t="e">
        <f t="shared" si="106"/>
        <v>#DIV/0!</v>
      </c>
      <c r="I128" s="642">
        <f t="shared" si="107"/>
        <v>1</v>
      </c>
      <c r="J128" s="189" t="s">
        <v>1513</v>
      </c>
      <c r="K128" s="1023"/>
      <c r="L128" s="101"/>
      <c r="M128" s="104"/>
      <c r="N128" s="146"/>
      <c r="O128" s="181"/>
      <c r="P128" s="181"/>
      <c r="Q128" s="181"/>
      <c r="R128" s="150"/>
      <c r="S128" s="181"/>
      <c r="T128" s="236">
        <v>4</v>
      </c>
      <c r="U128" s="242">
        <f t="shared" si="110"/>
        <v>2</v>
      </c>
      <c r="V128" s="186">
        <f t="shared" si="108"/>
        <v>0.5</v>
      </c>
      <c r="W128" s="1406">
        <v>0.2</v>
      </c>
      <c r="X128" s="493">
        <v>0.2</v>
      </c>
      <c r="Y128" s="1409">
        <v>40000000</v>
      </c>
      <c r="Z128" s="1412">
        <v>0</v>
      </c>
      <c r="AA128" s="1410">
        <v>39151208.200000003</v>
      </c>
      <c r="AB128" s="1114">
        <f t="shared" si="46"/>
        <v>0.97878020500000007</v>
      </c>
      <c r="AC128" s="1410">
        <v>16285692</v>
      </c>
      <c r="AD128" s="1139">
        <f t="shared" si="47"/>
        <v>0.40714230000000001</v>
      </c>
      <c r="AE128" s="1116">
        <f t="shared" si="109"/>
        <v>22865516.200000003</v>
      </c>
      <c r="AF128" s="1413">
        <v>0</v>
      </c>
      <c r="AG128" s="1412">
        <v>0</v>
      </c>
      <c r="AH128" s="1089" t="e">
        <f t="shared" si="48"/>
        <v>#DIV/0!</v>
      </c>
      <c r="AI128" s="1118">
        <v>160000000</v>
      </c>
      <c r="AJ128" s="1118">
        <f t="shared" si="104"/>
        <v>39151208.200000003</v>
      </c>
      <c r="AK128" s="1010">
        <f t="shared" si="50"/>
        <v>0.24469505125000002</v>
      </c>
      <c r="AL128" s="1140"/>
      <c r="AM128" s="1119"/>
      <c r="AN128" s="152" t="s">
        <v>30</v>
      </c>
      <c r="AO128" s="1414" t="s">
        <v>909</v>
      </c>
      <c r="AP128" s="93"/>
      <c r="AQ128" s="93"/>
    </row>
    <row r="129" spans="1:43" ht="48.75" customHeight="1">
      <c r="A129" s="339" t="s">
        <v>595</v>
      </c>
      <c r="B129" s="440" t="s">
        <v>786</v>
      </c>
      <c r="C129" s="1405">
        <v>1</v>
      </c>
      <c r="D129" s="398">
        <v>1</v>
      </c>
      <c r="E129" s="213">
        <v>1</v>
      </c>
      <c r="F129" s="147">
        <v>1</v>
      </c>
      <c r="G129" s="147"/>
      <c r="H129" s="180">
        <f t="shared" si="106"/>
        <v>1</v>
      </c>
      <c r="I129" s="642">
        <f t="shared" si="107"/>
        <v>1</v>
      </c>
      <c r="J129" s="189" t="s">
        <v>1514</v>
      </c>
      <c r="K129" s="1023"/>
      <c r="L129" s="101"/>
      <c r="M129" s="104"/>
      <c r="N129" s="146"/>
      <c r="O129" s="181"/>
      <c r="P129" s="181"/>
      <c r="Q129" s="181"/>
      <c r="R129" s="150"/>
      <c r="S129" s="181"/>
      <c r="T129" s="236">
        <v>4</v>
      </c>
      <c r="U129" s="242">
        <f t="shared" si="110"/>
        <v>2</v>
      </c>
      <c r="V129" s="186">
        <f t="shared" si="108"/>
        <v>0.5</v>
      </c>
      <c r="W129" s="1406">
        <v>0.3</v>
      </c>
      <c r="X129" s="493">
        <v>0.3</v>
      </c>
      <c r="Y129" s="1409">
        <v>50000000</v>
      </c>
      <c r="Z129" s="1412">
        <v>0</v>
      </c>
      <c r="AA129" s="1410">
        <v>49171138</v>
      </c>
      <c r="AB129" s="1114">
        <f t="shared" si="46"/>
        <v>0.98342275999999995</v>
      </c>
      <c r="AC129" s="1410">
        <v>31442882</v>
      </c>
      <c r="AD129" s="1134">
        <f t="shared" si="47"/>
        <v>0.62885764</v>
      </c>
      <c r="AE129" s="1116">
        <f t="shared" si="109"/>
        <v>17728256</v>
      </c>
      <c r="AF129" s="1413">
        <v>0</v>
      </c>
      <c r="AG129" s="1412">
        <v>0</v>
      </c>
      <c r="AH129" s="1089" t="e">
        <f t="shared" si="48"/>
        <v>#DIV/0!</v>
      </c>
      <c r="AI129" s="1118">
        <v>800000000</v>
      </c>
      <c r="AJ129" s="1118">
        <f t="shared" si="104"/>
        <v>49171138</v>
      </c>
      <c r="AK129" s="1010">
        <f t="shared" si="50"/>
        <v>6.1463922499999997E-2</v>
      </c>
      <c r="AL129" s="1140"/>
      <c r="AM129" s="1119"/>
      <c r="AN129" s="152" t="s">
        <v>30</v>
      </c>
      <c r="AO129" s="1415" t="s">
        <v>890</v>
      </c>
      <c r="AP129" s="93"/>
      <c r="AQ129" s="93"/>
    </row>
    <row r="130" spans="1:43" ht="48.75" customHeight="1">
      <c r="A130" s="342" t="s">
        <v>596</v>
      </c>
      <c r="B130" s="440" t="s">
        <v>787</v>
      </c>
      <c r="C130" s="1405">
        <v>0</v>
      </c>
      <c r="D130" s="398">
        <v>1</v>
      </c>
      <c r="E130" s="213">
        <v>0</v>
      </c>
      <c r="F130" s="147">
        <v>1</v>
      </c>
      <c r="G130" s="147"/>
      <c r="H130" s="180" t="e">
        <f t="shared" si="106"/>
        <v>#DIV/0!</v>
      </c>
      <c r="I130" s="642">
        <f t="shared" si="107"/>
        <v>1</v>
      </c>
      <c r="J130" s="189" t="s">
        <v>1515</v>
      </c>
      <c r="K130" s="1023"/>
      <c r="L130" s="101"/>
      <c r="M130" s="104"/>
      <c r="N130" s="146"/>
      <c r="O130" s="181"/>
      <c r="P130" s="181"/>
      <c r="Q130" s="181"/>
      <c r="R130" s="150"/>
      <c r="S130" s="181"/>
      <c r="T130" s="236">
        <v>2</v>
      </c>
      <c r="U130" s="242">
        <f t="shared" si="110"/>
        <v>1</v>
      </c>
      <c r="V130" s="186">
        <f t="shared" si="108"/>
        <v>0.5</v>
      </c>
      <c r="W130" s="1408">
        <v>0.15</v>
      </c>
      <c r="X130" s="492">
        <v>0.15</v>
      </c>
      <c r="Y130" s="1409">
        <f>180000000/2</f>
        <v>90000000</v>
      </c>
      <c r="Z130" s="1412">
        <v>0</v>
      </c>
      <c r="AA130" s="1410">
        <f>176842358.48/2</f>
        <v>88421179.239999995</v>
      </c>
      <c r="AB130" s="1114">
        <f t="shared" si="46"/>
        <v>0.98245754711111111</v>
      </c>
      <c r="AC130" s="1410">
        <f>123693484/2</f>
        <v>61846742</v>
      </c>
      <c r="AD130" s="1134">
        <f t="shared" si="47"/>
        <v>0.68718602222222225</v>
      </c>
      <c r="AE130" s="1116">
        <f t="shared" si="109"/>
        <v>26574437.239999995</v>
      </c>
      <c r="AF130" s="1413">
        <v>0</v>
      </c>
      <c r="AG130" s="1412">
        <v>0</v>
      </c>
      <c r="AH130" s="1089" t="e">
        <f t="shared" si="48"/>
        <v>#DIV/0!</v>
      </c>
      <c r="AI130" s="1118">
        <v>840000000</v>
      </c>
      <c r="AJ130" s="1118">
        <f t="shared" si="104"/>
        <v>88421179.239999995</v>
      </c>
      <c r="AK130" s="1010">
        <f>+AJ130/AI130</f>
        <v>0.10526330861904762</v>
      </c>
      <c r="AL130" s="1140"/>
      <c r="AM130" s="1119"/>
      <c r="AN130" s="152" t="s">
        <v>30</v>
      </c>
      <c r="AO130" s="2295" t="s">
        <v>910</v>
      </c>
      <c r="AP130" s="93"/>
      <c r="AQ130" s="93"/>
    </row>
    <row r="131" spans="1:43" ht="48.75" customHeight="1" thickBot="1">
      <c r="A131" s="1416" t="s">
        <v>597</v>
      </c>
      <c r="B131" s="441" t="s">
        <v>788</v>
      </c>
      <c r="C131" s="1417">
        <v>0</v>
      </c>
      <c r="D131" s="838">
        <v>1</v>
      </c>
      <c r="E131" s="870">
        <v>0</v>
      </c>
      <c r="F131" s="860">
        <v>1</v>
      </c>
      <c r="G131" s="860"/>
      <c r="H131" s="1021" t="e">
        <f t="shared" si="106"/>
        <v>#DIV/0!</v>
      </c>
      <c r="I131" s="1030">
        <f t="shared" si="107"/>
        <v>1</v>
      </c>
      <c r="J131" s="189" t="s">
        <v>1516</v>
      </c>
      <c r="K131" s="1023"/>
      <c r="L131" s="206"/>
      <c r="M131" s="207"/>
      <c r="N131" s="1023"/>
      <c r="O131" s="181"/>
      <c r="P131" s="181"/>
      <c r="Q131" s="181"/>
      <c r="R131" s="1024"/>
      <c r="S131" s="181"/>
      <c r="T131" s="236">
        <v>3</v>
      </c>
      <c r="U131" s="1026">
        <f t="shared" si="110"/>
        <v>1</v>
      </c>
      <c r="V131" s="1387">
        <f t="shared" si="108"/>
        <v>0.33333333333333331</v>
      </c>
      <c r="W131" s="1418">
        <v>0.15</v>
      </c>
      <c r="X131" s="895">
        <v>0.15</v>
      </c>
      <c r="Y131" s="1419">
        <f>180000000/2</f>
        <v>90000000</v>
      </c>
      <c r="Z131" s="1420">
        <v>0</v>
      </c>
      <c r="AA131" s="1421">
        <f>176842358.48/2</f>
        <v>88421179.239999995</v>
      </c>
      <c r="AB131" s="1029">
        <f t="shared" si="46"/>
        <v>0.98245754711111111</v>
      </c>
      <c r="AC131" s="1421">
        <f>123693484/2</f>
        <v>61846742</v>
      </c>
      <c r="AD131" s="1030">
        <f t="shared" si="47"/>
        <v>0.68718602222222225</v>
      </c>
      <c r="AE131" s="175">
        <f t="shared" si="109"/>
        <v>26574437.239999995</v>
      </c>
      <c r="AF131" s="1422">
        <v>0</v>
      </c>
      <c r="AG131" s="1420">
        <v>0</v>
      </c>
      <c r="AH131" s="1053" t="e">
        <f t="shared" si="48"/>
        <v>#DIV/0!</v>
      </c>
      <c r="AI131" s="1054">
        <v>90000000</v>
      </c>
      <c r="AJ131" s="1054">
        <f t="shared" si="104"/>
        <v>88421179.239999995</v>
      </c>
      <c r="AK131" s="1030">
        <f>+AJ131/AI131</f>
        <v>0.98245754711111111</v>
      </c>
      <c r="AL131" s="173"/>
      <c r="AM131" s="173"/>
      <c r="AN131" s="189" t="s">
        <v>30</v>
      </c>
      <c r="AO131" s="2289"/>
      <c r="AP131" s="1037"/>
      <c r="AQ131" s="1037"/>
    </row>
    <row r="132" spans="1:43" ht="56.25" customHeight="1" thickBot="1">
      <c r="A132" s="1357" t="s">
        <v>469</v>
      </c>
      <c r="B132" s="962"/>
      <c r="C132" s="861"/>
      <c r="D132" s="826"/>
      <c r="E132" s="963"/>
      <c r="F132" s="861"/>
      <c r="G132" s="861"/>
      <c r="H132" s="964">
        <f>+SUMPRODUCT(H133:H133,W133:W133)</f>
        <v>1</v>
      </c>
      <c r="I132" s="973">
        <f>+SUMPRODUCT(I133:I133,X133:X133)</f>
        <v>1</v>
      </c>
      <c r="J132" s="965"/>
      <c r="K132" s="962"/>
      <c r="L132" s="966"/>
      <c r="M132" s="965"/>
      <c r="N132" s="965"/>
      <c r="O132" s="966"/>
      <c r="P132" s="966"/>
      <c r="Q132" s="966"/>
      <c r="R132" s="1099"/>
      <c r="S132" s="966"/>
      <c r="T132" s="968"/>
      <c r="U132" s="969">
        <f>SUM(E132:G132)</f>
        <v>0</v>
      </c>
      <c r="V132" s="1199">
        <f>+SUMPRODUCT(V133:V133,W133:W133)</f>
        <v>0.5</v>
      </c>
      <c r="W132" s="964">
        <v>0.25</v>
      </c>
      <c r="X132" s="879">
        <v>0.25</v>
      </c>
      <c r="Y132" s="971">
        <f>SUM(Y133)</f>
        <v>100000000</v>
      </c>
      <c r="Z132" s="971">
        <f>SUM(Z133)</f>
        <v>0</v>
      </c>
      <c r="AA132" s="971">
        <f>SUM(AA133)</f>
        <v>98769142</v>
      </c>
      <c r="AB132" s="972">
        <f t="shared" si="46"/>
        <v>0.98769141999999999</v>
      </c>
      <c r="AC132" s="971">
        <f>SUM(AC133)</f>
        <v>96091876</v>
      </c>
      <c r="AD132" s="973">
        <f t="shared" si="47"/>
        <v>0.96091875999999998</v>
      </c>
      <c r="AE132" s="974">
        <f>SUM(AE133)</f>
        <v>2677266</v>
      </c>
      <c r="AF132" s="965">
        <f>SUM(AF133)</f>
        <v>0</v>
      </c>
      <c r="AG132" s="971">
        <f>SUM(AG133)</f>
        <v>0</v>
      </c>
      <c r="AH132" s="967" t="e">
        <f t="shared" si="48"/>
        <v>#DIV/0!</v>
      </c>
      <c r="AI132" s="971">
        <f t="shared" ref="AI132:AJ132" si="111">SUM(AI133)</f>
        <v>400000000</v>
      </c>
      <c r="AJ132" s="971">
        <f t="shared" si="111"/>
        <v>98769142</v>
      </c>
      <c r="AK132" s="964">
        <f t="shared" ref="AK132:AK135" si="112">+AJ132/AI132</f>
        <v>0.246922855</v>
      </c>
      <c r="AL132" s="975"/>
      <c r="AM132" s="975"/>
      <c r="AN132" s="283"/>
      <c r="AO132" s="974"/>
      <c r="AP132" s="286"/>
      <c r="AQ132" s="286"/>
    </row>
    <row r="133" spans="1:43" ht="172.5" customHeight="1" thickBot="1">
      <c r="A133" s="1423" t="s">
        <v>598</v>
      </c>
      <c r="B133" s="441" t="s">
        <v>789</v>
      </c>
      <c r="C133" s="1424">
        <v>1</v>
      </c>
      <c r="D133" s="839">
        <v>1</v>
      </c>
      <c r="E133" s="1269">
        <v>0</v>
      </c>
      <c r="F133" s="867">
        <v>1</v>
      </c>
      <c r="G133" s="867">
        <v>1</v>
      </c>
      <c r="H133" s="1270">
        <f t="shared" ref="H133" si="113">IF((E133+G133)/C133&gt;=100%,100%,(E133+G133)/C133)</f>
        <v>1</v>
      </c>
      <c r="I133" s="1425">
        <f t="shared" ref="I133" si="114">IF(F133/D133&gt;=100%,100%,F133/D133)</f>
        <v>1</v>
      </c>
      <c r="J133" s="1250" t="s">
        <v>1517</v>
      </c>
      <c r="K133" s="1251"/>
      <c r="L133" s="1426"/>
      <c r="M133" s="1427"/>
      <c r="N133" s="1251"/>
      <c r="O133" s="1252"/>
      <c r="P133" s="1252"/>
      <c r="Q133" s="1252"/>
      <c r="R133" s="1428"/>
      <c r="S133" s="1252"/>
      <c r="T133" s="1253">
        <v>4</v>
      </c>
      <c r="U133" s="1429">
        <f>SUM(E133:G133)</f>
        <v>2</v>
      </c>
      <c r="V133" s="1430">
        <f t="shared" ref="V133" si="115">IF(U133/T133&gt;=100%,100%,U133/T133)</f>
        <v>0.5</v>
      </c>
      <c r="W133" s="1431">
        <v>1</v>
      </c>
      <c r="X133" s="896">
        <v>1</v>
      </c>
      <c r="Y133" s="1432">
        <v>100000000</v>
      </c>
      <c r="Z133" s="1364">
        <v>0</v>
      </c>
      <c r="AA133" s="1432">
        <v>98769142</v>
      </c>
      <c r="AB133" s="1433">
        <f t="shared" si="46"/>
        <v>0.98769141999999999</v>
      </c>
      <c r="AC133" s="1432">
        <v>96091876</v>
      </c>
      <c r="AD133" s="1425">
        <f t="shared" si="47"/>
        <v>0.96091875999999998</v>
      </c>
      <c r="AE133" s="1259">
        <f>+AA133-AC133</f>
        <v>2677266</v>
      </c>
      <c r="AF133" s="1363">
        <v>0</v>
      </c>
      <c r="AG133" s="1364">
        <v>0</v>
      </c>
      <c r="AH133" s="1136" t="e">
        <f t="shared" si="48"/>
        <v>#DIV/0!</v>
      </c>
      <c r="AI133" s="1434">
        <v>400000000</v>
      </c>
      <c r="AJ133" s="1434">
        <f t="shared" si="104"/>
        <v>98769142</v>
      </c>
      <c r="AK133" s="1257">
        <f t="shared" si="112"/>
        <v>0.246922855</v>
      </c>
      <c r="AL133" s="1328"/>
      <c r="AM133" s="1286"/>
      <c r="AN133" s="1272" t="s">
        <v>30</v>
      </c>
      <c r="AO133" s="1435" t="s">
        <v>911</v>
      </c>
      <c r="AP133" s="1175"/>
      <c r="AQ133" s="1175"/>
    </row>
    <row r="134" spans="1:43" s="617" customFormat="1" ht="69" customHeight="1" thickBot="1">
      <c r="A134" s="1065" t="s">
        <v>428</v>
      </c>
      <c r="B134" s="1066"/>
      <c r="C134" s="862"/>
      <c r="D134" s="835"/>
      <c r="E134" s="1067"/>
      <c r="F134" s="862"/>
      <c r="G134" s="862"/>
      <c r="H134" s="1077">
        <f>+(H135*W135)</f>
        <v>1</v>
      </c>
      <c r="I134" s="1068">
        <f>+(I135*X135)</f>
        <v>1</v>
      </c>
      <c r="J134" s="1069"/>
      <c r="K134" s="1066"/>
      <c r="L134" s="1071"/>
      <c r="M134" s="1069"/>
      <c r="N134" s="1069"/>
      <c r="O134" s="1071"/>
      <c r="P134" s="1071"/>
      <c r="Q134" s="1071"/>
      <c r="R134" s="1072"/>
      <c r="S134" s="1071"/>
      <c r="T134" s="1074"/>
      <c r="U134" s="1075"/>
      <c r="V134" s="1246">
        <f>+(V135*W135)</f>
        <v>0.5</v>
      </c>
      <c r="W134" s="1077">
        <v>0.15</v>
      </c>
      <c r="X134" s="883">
        <v>0.15</v>
      </c>
      <c r="Y134" s="1078">
        <f>+Y135</f>
        <v>600000000</v>
      </c>
      <c r="Z134" s="1078">
        <f>+Z135</f>
        <v>0</v>
      </c>
      <c r="AA134" s="1078">
        <f>+AA135</f>
        <v>592541079</v>
      </c>
      <c r="AB134" s="1079">
        <f t="shared" si="46"/>
        <v>0.98756846499999995</v>
      </c>
      <c r="AC134" s="1078">
        <f>+AC135</f>
        <v>415652749</v>
      </c>
      <c r="AD134" s="1068">
        <f t="shared" si="47"/>
        <v>0.6927545816666667</v>
      </c>
      <c r="AE134" s="1066">
        <f>+AE135</f>
        <v>176888330</v>
      </c>
      <c r="AF134" s="1069">
        <f>+AF135</f>
        <v>0</v>
      </c>
      <c r="AG134" s="1078">
        <f>+AG135</f>
        <v>0</v>
      </c>
      <c r="AH134" s="1080" t="e">
        <f t="shared" si="48"/>
        <v>#DIV/0!</v>
      </c>
      <c r="AI134" s="1078">
        <f t="shared" ref="AI134:AJ134" si="116">+AI135</f>
        <v>3000000000</v>
      </c>
      <c r="AJ134" s="1078">
        <f t="shared" si="116"/>
        <v>592541079</v>
      </c>
      <c r="AK134" s="1077">
        <f t="shared" si="112"/>
        <v>0.19751369299999999</v>
      </c>
      <c r="AL134" s="1071"/>
      <c r="AM134" s="1071" t="s">
        <v>300</v>
      </c>
      <c r="AN134" s="1069"/>
      <c r="AO134" s="1066"/>
      <c r="AP134" s="1082"/>
      <c r="AQ134" s="1082"/>
    </row>
    <row r="135" spans="1:43" ht="52.5" customHeight="1" thickBot="1">
      <c r="A135" s="961" t="s">
        <v>470</v>
      </c>
      <c r="B135" s="962"/>
      <c r="C135" s="861"/>
      <c r="D135" s="826"/>
      <c r="E135" s="963"/>
      <c r="F135" s="861"/>
      <c r="G135" s="861"/>
      <c r="H135" s="964">
        <f>+SUMPRODUCT(H136:H139,W136:W139)</f>
        <v>1</v>
      </c>
      <c r="I135" s="973">
        <f>+SUMPRODUCT(I136:I139,X136:X139)</f>
        <v>1</v>
      </c>
      <c r="J135" s="965"/>
      <c r="K135" s="962"/>
      <c r="L135" s="966"/>
      <c r="M135" s="965"/>
      <c r="N135" s="965"/>
      <c r="O135" s="966"/>
      <c r="P135" s="966"/>
      <c r="Q135" s="966"/>
      <c r="R135" s="1099"/>
      <c r="S135" s="966"/>
      <c r="T135" s="968"/>
      <c r="U135" s="969"/>
      <c r="V135" s="1199">
        <f>+SUMPRODUCT(V136:V139,W136:W139)</f>
        <v>0.5</v>
      </c>
      <c r="W135" s="964">
        <v>1</v>
      </c>
      <c r="X135" s="879">
        <v>1</v>
      </c>
      <c r="Y135" s="971">
        <f>SUM(Y136:Y139)</f>
        <v>600000000</v>
      </c>
      <c r="Z135" s="971">
        <f>SUM(Z136:Z139)</f>
        <v>0</v>
      </c>
      <c r="AA135" s="971">
        <f>SUM(AA136:AA139)</f>
        <v>592541079</v>
      </c>
      <c r="AB135" s="972">
        <f t="shared" si="46"/>
        <v>0.98756846499999995</v>
      </c>
      <c r="AC135" s="971">
        <f>SUM(AC136:AC139)</f>
        <v>415652749</v>
      </c>
      <c r="AD135" s="973">
        <f t="shared" si="47"/>
        <v>0.6927545816666667</v>
      </c>
      <c r="AE135" s="974">
        <f>SUM(AE136:AE139)</f>
        <v>176888330</v>
      </c>
      <c r="AF135" s="965">
        <f>SUM(AF136:AF139)</f>
        <v>0</v>
      </c>
      <c r="AG135" s="971">
        <f>SUM(AG136:AG139)</f>
        <v>0</v>
      </c>
      <c r="AH135" s="967" t="e">
        <f t="shared" si="48"/>
        <v>#DIV/0!</v>
      </c>
      <c r="AI135" s="971">
        <f t="shared" ref="AI135:AJ135" si="117">SUM(AI136:AI139)</f>
        <v>3000000000</v>
      </c>
      <c r="AJ135" s="971">
        <f t="shared" si="117"/>
        <v>592541079</v>
      </c>
      <c r="AK135" s="964">
        <f t="shared" si="112"/>
        <v>0.19751369299999999</v>
      </c>
      <c r="AL135" s="975"/>
      <c r="AM135" s="975"/>
      <c r="AN135" s="283"/>
      <c r="AO135" s="974"/>
      <c r="AP135" s="286"/>
      <c r="AQ135" s="286"/>
    </row>
    <row r="136" spans="1:43" ht="203.25" customHeight="1">
      <c r="A136" s="333" t="s">
        <v>599</v>
      </c>
      <c r="B136" s="1436" t="s">
        <v>868</v>
      </c>
      <c r="C136" s="1437">
        <v>1</v>
      </c>
      <c r="D136" s="840">
        <v>1</v>
      </c>
      <c r="E136" s="1203">
        <v>0</v>
      </c>
      <c r="F136" s="865">
        <v>1</v>
      </c>
      <c r="G136" s="865">
        <v>1</v>
      </c>
      <c r="H136" s="1090">
        <f t="shared" ref="H136:H139" si="118">IF((E136+G136)/C136&gt;=100%,100%,(E136+G136)/C136)</f>
        <v>1</v>
      </c>
      <c r="I136" s="1107">
        <f t="shared" ref="I136:I139" si="119">IF(F136/D136&gt;=100%,100%,F136/D136)</f>
        <v>1</v>
      </c>
      <c r="J136" s="1250" t="s">
        <v>1518</v>
      </c>
      <c r="K136" s="1251"/>
      <c r="L136" s="1085"/>
      <c r="M136" s="1086"/>
      <c r="N136" s="1084"/>
      <c r="O136" s="1252"/>
      <c r="P136" s="1252"/>
      <c r="Q136" s="1252"/>
      <c r="R136" s="1088"/>
      <c r="S136" s="1252"/>
      <c r="T136" s="1253">
        <v>4</v>
      </c>
      <c r="U136" s="1059">
        <f>SUM(E136:G136)</f>
        <v>2</v>
      </c>
      <c r="V136" s="1438">
        <f t="shared" ref="V136:V139" si="120">IF(U136/T136&gt;=100%,100%,U136/T136)</f>
        <v>0.5</v>
      </c>
      <c r="W136" s="1090">
        <v>0.25</v>
      </c>
      <c r="X136" s="884">
        <v>0.25</v>
      </c>
      <c r="Y136" s="531">
        <v>150000000</v>
      </c>
      <c r="Z136" s="531">
        <v>0</v>
      </c>
      <c r="AA136" s="531">
        <v>148132023</v>
      </c>
      <c r="AB136" s="1106">
        <f t="shared" si="46"/>
        <v>0.98754682000000005</v>
      </c>
      <c r="AC136" s="1439">
        <v>144167220</v>
      </c>
      <c r="AD136" s="1425">
        <f t="shared" si="47"/>
        <v>0.96111480000000005</v>
      </c>
      <c r="AE136" s="1108">
        <f>+AA136-AC136</f>
        <v>3964803</v>
      </c>
      <c r="AF136" s="1337">
        <v>0</v>
      </c>
      <c r="AG136" s="531">
        <v>0</v>
      </c>
      <c r="AH136" s="1089" t="e">
        <f t="shared" si="48"/>
        <v>#DIV/0!</v>
      </c>
      <c r="AI136" s="1110">
        <v>750000000</v>
      </c>
      <c r="AJ136" s="1110">
        <f t="shared" ref="AJ136:AJ139" si="121">+SUM(Z136:AA136)</f>
        <v>148132023</v>
      </c>
      <c r="AK136" s="1257">
        <f t="shared" si="50"/>
        <v>0.19750936399999999</v>
      </c>
      <c r="AL136" s="1328"/>
      <c r="AM136" s="1111"/>
      <c r="AN136" s="981" t="s">
        <v>30</v>
      </c>
      <c r="AO136" s="2296" t="s">
        <v>912</v>
      </c>
      <c r="AP136" s="1207"/>
      <c r="AQ136" s="1047"/>
    </row>
    <row r="137" spans="1:43" ht="147" customHeight="1">
      <c r="A137" s="333" t="s">
        <v>600</v>
      </c>
      <c r="B137" s="442" t="s">
        <v>869</v>
      </c>
      <c r="C137" s="1440">
        <v>1</v>
      </c>
      <c r="D137" s="217">
        <v>1</v>
      </c>
      <c r="E137" s="1009">
        <v>0</v>
      </c>
      <c r="F137" s="859">
        <v>1</v>
      </c>
      <c r="G137" s="859">
        <v>1</v>
      </c>
      <c r="H137" s="1010">
        <f t="shared" si="118"/>
        <v>1</v>
      </c>
      <c r="I137" s="1115">
        <f t="shared" si="119"/>
        <v>1</v>
      </c>
      <c r="J137" s="1141" t="s">
        <v>1519</v>
      </c>
      <c r="K137" s="1219"/>
      <c r="L137" s="1014"/>
      <c r="M137" s="1015"/>
      <c r="N137" s="1013"/>
      <c r="O137" s="1222"/>
      <c r="P137" s="1222"/>
      <c r="Q137" s="1222"/>
      <c r="R137" s="1017"/>
      <c r="S137" s="1222"/>
      <c r="T137" s="1129">
        <v>4</v>
      </c>
      <c r="U137" s="1008">
        <f>SUM(E137:G137)</f>
        <v>2</v>
      </c>
      <c r="V137" s="1438">
        <f t="shared" si="120"/>
        <v>0.5</v>
      </c>
      <c r="W137" s="1010">
        <v>0.25</v>
      </c>
      <c r="X137" s="881">
        <v>0.25</v>
      </c>
      <c r="Y137" s="531">
        <v>150000000</v>
      </c>
      <c r="Z137" s="531">
        <v>0</v>
      </c>
      <c r="AA137" s="531">
        <v>148136352</v>
      </c>
      <c r="AB137" s="1114">
        <f t="shared" ref="AB137:AB200" si="122">+AA137/Y137</f>
        <v>0.98757567999999996</v>
      </c>
      <c r="AC137" s="531">
        <v>144161843</v>
      </c>
      <c r="AD137" s="1134">
        <f t="shared" ref="AD137:AD200" si="123">+AC137/Y137</f>
        <v>0.96107895333333337</v>
      </c>
      <c r="AE137" s="1116">
        <f>+AA137-AC137</f>
        <v>3974509</v>
      </c>
      <c r="AF137" s="1337">
        <v>0</v>
      </c>
      <c r="AG137" s="531">
        <v>0</v>
      </c>
      <c r="AH137" s="1089" t="e">
        <f t="shared" ref="AH137:AH200" si="124">+AG137/AF137</f>
        <v>#DIV/0!</v>
      </c>
      <c r="AI137" s="1118">
        <v>750000000</v>
      </c>
      <c r="AJ137" s="1118">
        <f t="shared" si="121"/>
        <v>148136352</v>
      </c>
      <c r="AK137" s="1139">
        <f t="shared" si="50"/>
        <v>0.19751513600000001</v>
      </c>
      <c r="AL137" s="1140"/>
      <c r="AM137" s="1119"/>
      <c r="AN137" s="1012" t="s">
        <v>30</v>
      </c>
      <c r="AO137" s="2289"/>
      <c r="AP137" s="1210"/>
      <c r="AQ137" s="93"/>
    </row>
    <row r="138" spans="1:43" ht="159" customHeight="1">
      <c r="A138" s="333" t="s">
        <v>601</v>
      </c>
      <c r="B138" s="442" t="s">
        <v>869</v>
      </c>
      <c r="C138" s="1440">
        <v>1</v>
      </c>
      <c r="D138" s="217">
        <v>1</v>
      </c>
      <c r="E138" s="1009">
        <v>0</v>
      </c>
      <c r="F138" s="859">
        <v>1</v>
      </c>
      <c r="G138" s="859">
        <v>1</v>
      </c>
      <c r="H138" s="1010">
        <f t="shared" si="118"/>
        <v>1</v>
      </c>
      <c r="I138" s="1115">
        <f t="shared" si="119"/>
        <v>1</v>
      </c>
      <c r="J138" s="1141" t="s">
        <v>1520</v>
      </c>
      <c r="K138" s="1219"/>
      <c r="L138" s="1014"/>
      <c r="M138" s="1015"/>
      <c r="N138" s="1013"/>
      <c r="O138" s="1222"/>
      <c r="P138" s="1222"/>
      <c r="Q138" s="1222"/>
      <c r="R138" s="1017"/>
      <c r="S138" s="1222"/>
      <c r="T138" s="1129">
        <v>4</v>
      </c>
      <c r="U138" s="1008">
        <f>SUM(E138:G138)</f>
        <v>2</v>
      </c>
      <c r="V138" s="1438">
        <f t="shared" si="120"/>
        <v>0.5</v>
      </c>
      <c r="W138" s="1010">
        <v>0.25</v>
      </c>
      <c r="X138" s="881">
        <v>0.25</v>
      </c>
      <c r="Y138" s="531">
        <v>150000000</v>
      </c>
      <c r="Z138" s="531">
        <v>0</v>
      </c>
      <c r="AA138" s="531">
        <v>148136352</v>
      </c>
      <c r="AB138" s="1114">
        <f t="shared" si="122"/>
        <v>0.98757567999999996</v>
      </c>
      <c r="AC138" s="531">
        <v>121161843</v>
      </c>
      <c r="AD138" s="1134">
        <f t="shared" si="123"/>
        <v>0.80774562000000005</v>
      </c>
      <c r="AE138" s="1116">
        <f>+AA138-AC138</f>
        <v>26974509</v>
      </c>
      <c r="AF138" s="1337">
        <v>0</v>
      </c>
      <c r="AG138" s="531">
        <v>0</v>
      </c>
      <c r="AH138" s="1089" t="e">
        <f t="shared" si="124"/>
        <v>#DIV/0!</v>
      </c>
      <c r="AI138" s="1118">
        <v>750000000</v>
      </c>
      <c r="AJ138" s="1118">
        <f t="shared" si="121"/>
        <v>148136352</v>
      </c>
      <c r="AK138" s="1139">
        <f t="shared" si="50"/>
        <v>0.19751513600000001</v>
      </c>
      <c r="AL138" s="1140"/>
      <c r="AM138" s="1119"/>
      <c r="AN138" s="1012" t="s">
        <v>30</v>
      </c>
      <c r="AO138" s="2289"/>
      <c r="AP138" s="1210"/>
      <c r="AQ138" s="93"/>
    </row>
    <row r="139" spans="1:43" ht="236.25" customHeight="1" thickBot="1">
      <c r="A139" s="1338" t="s">
        <v>602</v>
      </c>
      <c r="B139" s="1441" t="s">
        <v>790</v>
      </c>
      <c r="C139" s="1442">
        <v>1</v>
      </c>
      <c r="D139" s="841">
        <v>1</v>
      </c>
      <c r="E139" s="1217">
        <v>0</v>
      </c>
      <c r="F139" s="866">
        <v>1</v>
      </c>
      <c r="G139" s="866">
        <v>1</v>
      </c>
      <c r="H139" s="1139">
        <f t="shared" si="118"/>
        <v>1</v>
      </c>
      <c r="I139" s="1134">
        <f t="shared" si="119"/>
        <v>1</v>
      </c>
      <c r="J139" s="1141" t="s">
        <v>1521</v>
      </c>
      <c r="K139" s="1219"/>
      <c r="L139" s="1220"/>
      <c r="M139" s="1221"/>
      <c r="N139" s="1219"/>
      <c r="O139" s="1222"/>
      <c r="P139" s="1222"/>
      <c r="Q139" s="1222"/>
      <c r="R139" s="1223"/>
      <c r="S139" s="1222"/>
      <c r="T139" s="1129">
        <v>4</v>
      </c>
      <c r="U139" s="1130">
        <f>SUM(E139:G139)</f>
        <v>2</v>
      </c>
      <c r="V139" s="1430">
        <f t="shared" si="120"/>
        <v>0.5</v>
      </c>
      <c r="W139" s="1139">
        <v>0.25</v>
      </c>
      <c r="X139" s="885">
        <v>0.25</v>
      </c>
      <c r="Y139" s="1341">
        <v>150000000</v>
      </c>
      <c r="Z139" s="1341">
        <v>0</v>
      </c>
      <c r="AA139" s="1341">
        <v>148136352</v>
      </c>
      <c r="AB139" s="1133">
        <f t="shared" si="122"/>
        <v>0.98757567999999996</v>
      </c>
      <c r="AC139" s="1341">
        <v>6161843</v>
      </c>
      <c r="AD139" s="1139">
        <f t="shared" si="123"/>
        <v>4.1078953333333335E-2</v>
      </c>
      <c r="AE139" s="1135">
        <f>+AA139-AC139</f>
        <v>141974509</v>
      </c>
      <c r="AF139" s="1343">
        <v>0</v>
      </c>
      <c r="AG139" s="1341">
        <v>0</v>
      </c>
      <c r="AH139" s="1136" t="e">
        <f t="shared" si="124"/>
        <v>#DIV/0!</v>
      </c>
      <c r="AI139" s="1138">
        <v>750000000</v>
      </c>
      <c r="AJ139" s="1138">
        <f t="shared" si="121"/>
        <v>148136352</v>
      </c>
      <c r="AK139" s="1139">
        <f t="shared" ref="AK139:AK203" si="125">+AJ139/AI139</f>
        <v>0.19751513600000001</v>
      </c>
      <c r="AL139" s="1140"/>
      <c r="AM139" s="1140"/>
      <c r="AN139" s="1141" t="s">
        <v>302</v>
      </c>
      <c r="AO139" s="2289"/>
      <c r="AP139" s="1230"/>
      <c r="AQ139" s="1037"/>
    </row>
    <row r="140" spans="1:43" s="617" customFormat="1" ht="50.25" customHeight="1" thickBot="1">
      <c r="A140" s="1065" t="s">
        <v>429</v>
      </c>
      <c r="B140" s="1066"/>
      <c r="C140" s="862"/>
      <c r="D140" s="835"/>
      <c r="E140" s="1067"/>
      <c r="F140" s="862"/>
      <c r="G140" s="862"/>
      <c r="H140" s="1198">
        <f>+(H141*0%)+(H144*100%)</f>
        <v>1</v>
      </c>
      <c r="I140" s="1068">
        <f>+(I141*X141)+(I144*X144)</f>
        <v>1</v>
      </c>
      <c r="J140" s="1069"/>
      <c r="K140" s="1066"/>
      <c r="L140" s="1071"/>
      <c r="M140" s="1069"/>
      <c r="N140" s="1069"/>
      <c r="O140" s="1071"/>
      <c r="P140" s="1071"/>
      <c r="Q140" s="1071"/>
      <c r="R140" s="1072"/>
      <c r="S140" s="1071"/>
      <c r="T140" s="1074"/>
      <c r="U140" s="1075"/>
      <c r="V140" s="1076">
        <f>+(V141*W141)+(V144*W144)</f>
        <v>0.9</v>
      </c>
      <c r="W140" s="1077">
        <v>0.15</v>
      </c>
      <c r="X140" s="883">
        <v>0.15</v>
      </c>
      <c r="Y140" s="1078">
        <f>+Y141+Y144</f>
        <v>1025000000</v>
      </c>
      <c r="Z140" s="1078">
        <f>+Z141+Z144</f>
        <v>125000000</v>
      </c>
      <c r="AA140" s="1443">
        <f>+AA141+AA144</f>
        <v>1013923268</v>
      </c>
      <c r="AB140" s="1079">
        <f t="shared" si="122"/>
        <v>0.9891934321951219</v>
      </c>
      <c r="AC140" s="1443">
        <f>+AC141+AC144</f>
        <v>562539524</v>
      </c>
      <c r="AD140" s="1068">
        <f t="shared" si="123"/>
        <v>0.548819047804878</v>
      </c>
      <c r="AE140" s="1066">
        <f>+AE141+AE144</f>
        <v>451383744</v>
      </c>
      <c r="AF140" s="1069">
        <f>+AF141+AF144</f>
        <v>62250000</v>
      </c>
      <c r="AG140" s="1078">
        <f>+AG141+AG144</f>
        <v>4000000</v>
      </c>
      <c r="AH140" s="1080">
        <f t="shared" si="124"/>
        <v>6.4257028112449793E-2</v>
      </c>
      <c r="AI140" s="1078">
        <f t="shared" ref="AI140:AJ140" si="126">+AI141+AI144</f>
        <v>4360000000</v>
      </c>
      <c r="AJ140" s="1078">
        <f t="shared" si="126"/>
        <v>1138923268</v>
      </c>
      <c r="AK140" s="1077">
        <f t="shared" si="125"/>
        <v>0.26122093302752292</v>
      </c>
      <c r="AL140" s="1071"/>
      <c r="AM140" s="1071" t="s">
        <v>300</v>
      </c>
      <c r="AN140" s="1069"/>
      <c r="AO140" s="1066"/>
      <c r="AP140" s="1082"/>
      <c r="AQ140" s="1082"/>
    </row>
    <row r="141" spans="1:43" ht="75" customHeight="1" thickBot="1">
      <c r="A141" s="961" t="s">
        <v>471</v>
      </c>
      <c r="B141" s="962"/>
      <c r="C141" s="861"/>
      <c r="D141" s="826"/>
      <c r="E141" s="963"/>
      <c r="F141" s="861"/>
      <c r="G141" s="861"/>
      <c r="H141" s="964">
        <v>0</v>
      </c>
      <c r="I141" s="973">
        <f>+SUMPRODUCT(I142:I143,X142:X143)</f>
        <v>1</v>
      </c>
      <c r="J141" s="965"/>
      <c r="K141" s="962"/>
      <c r="L141" s="966"/>
      <c r="M141" s="965"/>
      <c r="N141" s="965"/>
      <c r="O141" s="966"/>
      <c r="P141" s="966"/>
      <c r="Q141" s="966"/>
      <c r="R141" s="1099"/>
      <c r="S141" s="966"/>
      <c r="T141" s="969"/>
      <c r="U141" s="969"/>
      <c r="V141" s="1199">
        <f>+SUMPRODUCT(V142:V143,W142:W143)</f>
        <v>1</v>
      </c>
      <c r="W141" s="964">
        <v>0.8</v>
      </c>
      <c r="X141" s="879">
        <v>0.8</v>
      </c>
      <c r="Y141" s="971">
        <f>SUM(Y142:Y143)</f>
        <v>900000000</v>
      </c>
      <c r="Z141" s="971">
        <f>SUM(Z142:Z143)</f>
        <v>0</v>
      </c>
      <c r="AA141" s="1056">
        <f>SUM(AA142:AA143)</f>
        <v>890476308</v>
      </c>
      <c r="AB141" s="972">
        <f t="shared" si="122"/>
        <v>0.98941811999999996</v>
      </c>
      <c r="AC141" s="1056">
        <f>SUM(AC142:AC143)</f>
        <v>497437069</v>
      </c>
      <c r="AD141" s="973">
        <f t="shared" si="123"/>
        <v>0.55270785444444448</v>
      </c>
      <c r="AE141" s="974">
        <f>SUM(AE142:AE143)</f>
        <v>393039239</v>
      </c>
      <c r="AF141" s="283">
        <f>SUM(AF142:AF143)</f>
        <v>0</v>
      </c>
      <c r="AG141" s="976">
        <f>SUM(AG142:AG143)</f>
        <v>0</v>
      </c>
      <c r="AH141" s="967" t="e">
        <f t="shared" si="124"/>
        <v>#DIV/0!</v>
      </c>
      <c r="AI141" s="971">
        <f t="shared" ref="AI141:AJ141" si="127">SUM(AI142:AI143)</f>
        <v>3860000000</v>
      </c>
      <c r="AJ141" s="971">
        <f t="shared" si="127"/>
        <v>890476308</v>
      </c>
      <c r="AK141" s="964">
        <f t="shared" si="125"/>
        <v>0.23069334404145078</v>
      </c>
      <c r="AL141" s="975"/>
      <c r="AM141" s="975"/>
      <c r="AN141" s="283"/>
      <c r="AO141" s="974"/>
      <c r="AP141" s="286"/>
      <c r="AQ141" s="286"/>
    </row>
    <row r="142" spans="1:43" ht="98.25" customHeight="1">
      <c r="A142" s="343" t="s">
        <v>603</v>
      </c>
      <c r="B142" s="1436" t="s">
        <v>870</v>
      </c>
      <c r="C142" s="1444">
        <v>0</v>
      </c>
      <c r="D142" s="399">
        <v>23</v>
      </c>
      <c r="E142" s="978">
        <v>0</v>
      </c>
      <c r="F142" s="858">
        <v>23</v>
      </c>
      <c r="G142" s="858"/>
      <c r="H142" s="821" t="e">
        <f t="shared" ref="H142:H143" si="128">IF((E142+G142)/C142&gt;=100%,100%,(E142+G142)/C142)</f>
        <v>#DIV/0!</v>
      </c>
      <c r="I142" s="988">
        <f t="shared" ref="I142:I143" si="129">IF(F142/D142&gt;=100%,100%,F142/D142)</f>
        <v>1</v>
      </c>
      <c r="J142" s="190" t="s">
        <v>1522</v>
      </c>
      <c r="K142" s="1273"/>
      <c r="L142" s="983"/>
      <c r="M142" s="984"/>
      <c r="N142" s="982"/>
      <c r="O142" s="1276"/>
      <c r="P142" s="1276"/>
      <c r="Q142" s="1276"/>
      <c r="R142" s="985"/>
      <c r="S142" s="1276"/>
      <c r="T142" s="297">
        <v>23</v>
      </c>
      <c r="U142" s="986">
        <f>SUM(E142:G142)</f>
        <v>23</v>
      </c>
      <c r="V142" s="186">
        <f t="shared" ref="V142:V143" si="130">IF(U142/T142&gt;=100%,100%,U142/T142)</f>
        <v>1</v>
      </c>
      <c r="W142" s="821">
        <v>0.5</v>
      </c>
      <c r="X142" s="880">
        <v>0.5</v>
      </c>
      <c r="Y142" s="687">
        <v>840000000</v>
      </c>
      <c r="Z142" s="687">
        <v>0</v>
      </c>
      <c r="AA142" s="367">
        <v>831081538</v>
      </c>
      <c r="AB142" s="987">
        <f t="shared" si="122"/>
        <v>0.98938278333333329</v>
      </c>
      <c r="AC142" s="367">
        <v>464258016</v>
      </c>
      <c r="AD142" s="1331">
        <f t="shared" si="123"/>
        <v>0.55268811428571429</v>
      </c>
      <c r="AE142" s="1044">
        <f>+AA142-AC142</f>
        <v>366823522</v>
      </c>
      <c r="AF142" s="1445">
        <v>0</v>
      </c>
      <c r="AG142" s="687">
        <v>0</v>
      </c>
      <c r="AH142" s="614" t="e">
        <f t="shared" si="124"/>
        <v>#DIV/0!</v>
      </c>
      <c r="AI142" s="1446">
        <v>1340000000</v>
      </c>
      <c r="AJ142" s="1046">
        <f t="shared" ref="AJ142:AJ143" si="131">+SUM(Z142:AA142)</f>
        <v>831081538</v>
      </c>
      <c r="AK142" s="1331">
        <f t="shared" si="125"/>
        <v>0.62021010298507462</v>
      </c>
      <c r="AL142" s="1286"/>
      <c r="AM142" s="191"/>
      <c r="AN142" s="190" t="s">
        <v>30</v>
      </c>
      <c r="AO142" s="1447" t="s">
        <v>1523</v>
      </c>
      <c r="AP142" s="1047"/>
      <c r="AQ142" s="1047"/>
    </row>
    <row r="143" spans="1:43" ht="133.5" customHeight="1">
      <c r="A143" s="344" t="s">
        <v>1524</v>
      </c>
      <c r="B143" s="444" t="s">
        <v>871</v>
      </c>
      <c r="C143" s="1448">
        <v>0</v>
      </c>
      <c r="D143" s="400">
        <v>1</v>
      </c>
      <c r="E143" s="1002">
        <v>0</v>
      </c>
      <c r="F143" s="182">
        <v>1</v>
      </c>
      <c r="G143" s="147"/>
      <c r="H143" s="180" t="e">
        <f t="shared" si="128"/>
        <v>#DIV/0!</v>
      </c>
      <c r="I143" s="642">
        <f t="shared" si="129"/>
        <v>1</v>
      </c>
      <c r="J143" s="152" t="s">
        <v>1525</v>
      </c>
      <c r="K143" s="1023"/>
      <c r="L143" s="101"/>
      <c r="M143" s="104"/>
      <c r="N143" s="146"/>
      <c r="O143" s="181"/>
      <c r="P143" s="181"/>
      <c r="Q143" s="181"/>
      <c r="R143" s="150"/>
      <c r="S143" s="181"/>
      <c r="T143" s="298">
        <v>1</v>
      </c>
      <c r="U143" s="180">
        <f>SUM(E143:G143)</f>
        <v>1</v>
      </c>
      <c r="V143" s="186">
        <f t="shared" si="130"/>
        <v>1</v>
      </c>
      <c r="W143" s="180">
        <v>0.5</v>
      </c>
      <c r="X143" s="472">
        <v>0.5</v>
      </c>
      <c r="Y143" s="1449">
        <v>60000000</v>
      </c>
      <c r="Z143" s="687">
        <v>0</v>
      </c>
      <c r="AA143" s="367">
        <v>59394770</v>
      </c>
      <c r="AB143" s="273">
        <f t="shared" si="122"/>
        <v>0.98991283333333335</v>
      </c>
      <c r="AC143" s="367">
        <v>33179053</v>
      </c>
      <c r="AD143" s="1030">
        <f t="shared" si="123"/>
        <v>0.55298421666666664</v>
      </c>
      <c r="AE143" s="156">
        <f>+AA143-AC143</f>
        <v>26215717</v>
      </c>
      <c r="AF143" s="1445">
        <v>0</v>
      </c>
      <c r="AG143" s="687">
        <v>0</v>
      </c>
      <c r="AH143" s="614" t="e">
        <f t="shared" si="124"/>
        <v>#DIV/0!</v>
      </c>
      <c r="AI143" s="1450">
        <v>2520000000</v>
      </c>
      <c r="AJ143" s="250">
        <f t="shared" si="131"/>
        <v>59394770</v>
      </c>
      <c r="AK143" s="1139">
        <f t="shared" si="125"/>
        <v>2.3569353174603173E-2</v>
      </c>
      <c r="AL143" s="173"/>
      <c r="AM143" s="157"/>
      <c r="AN143" s="152" t="s">
        <v>30</v>
      </c>
      <c r="AO143" s="1451" t="s">
        <v>1523</v>
      </c>
      <c r="AP143" s="93"/>
      <c r="AQ143" s="93"/>
    </row>
    <row r="144" spans="1:43" ht="52.5" customHeight="1">
      <c r="A144" s="315" t="s">
        <v>472</v>
      </c>
      <c r="B144" s="138"/>
      <c r="C144" s="139"/>
      <c r="D144" s="223"/>
      <c r="E144" s="212"/>
      <c r="F144" s="139"/>
      <c r="G144" s="139"/>
      <c r="H144" s="140">
        <f>+(H145*100%)</f>
        <v>1</v>
      </c>
      <c r="I144" s="161">
        <f>+SUMPRODUCT(I145:I145,X145:X145)</f>
        <v>1</v>
      </c>
      <c r="J144" s="188"/>
      <c r="K144" s="1452"/>
      <c r="L144" s="141"/>
      <c r="M144" s="142"/>
      <c r="N144" s="142"/>
      <c r="O144" s="176"/>
      <c r="P144" s="176"/>
      <c r="Q144" s="176"/>
      <c r="R144" s="163"/>
      <c r="S144" s="176"/>
      <c r="T144" s="235"/>
      <c r="U144" s="258"/>
      <c r="V144" s="177">
        <f>+SUMPRODUCT(V145:V145,W145:W145)</f>
        <v>0.5</v>
      </c>
      <c r="W144" s="140">
        <v>0.2</v>
      </c>
      <c r="X144" s="471">
        <v>0.2</v>
      </c>
      <c r="Y144" s="1453">
        <f>SUM(Y145)</f>
        <v>125000000</v>
      </c>
      <c r="Z144" s="1453">
        <f>SUM(Z145)</f>
        <v>125000000</v>
      </c>
      <c r="AA144" s="1453">
        <f>SUM(AA145)</f>
        <v>123446960</v>
      </c>
      <c r="AB144" s="272">
        <f t="shared" si="122"/>
        <v>0.98757567999999996</v>
      </c>
      <c r="AC144" s="1453">
        <f>SUM(AC145)</f>
        <v>65102455</v>
      </c>
      <c r="AD144" s="1454">
        <f t="shared" si="123"/>
        <v>0.52081964000000003</v>
      </c>
      <c r="AE144" s="145">
        <f>SUM(AE145)</f>
        <v>58344505</v>
      </c>
      <c r="AF144" s="142">
        <f>SUM(AF145)</f>
        <v>62250000</v>
      </c>
      <c r="AG144" s="1453">
        <f>SUM(AG145)</f>
        <v>4000000</v>
      </c>
      <c r="AH144" s="613">
        <f t="shared" si="124"/>
        <v>6.4257028112449793E-2</v>
      </c>
      <c r="AI144" s="1453">
        <f t="shared" ref="AI144:AJ144" si="132">SUM(AI145)</f>
        <v>500000000</v>
      </c>
      <c r="AJ144" s="1453">
        <f t="shared" si="132"/>
        <v>248446960</v>
      </c>
      <c r="AK144" s="1455">
        <f t="shared" si="125"/>
        <v>0.49689391999999999</v>
      </c>
      <c r="AL144" s="179"/>
      <c r="AM144" s="165"/>
      <c r="AN144" s="553"/>
      <c r="AO144" s="145"/>
      <c r="AP144" s="98"/>
      <c r="AQ144" s="98"/>
    </row>
    <row r="145" spans="1:43" ht="147" customHeight="1" thickBot="1">
      <c r="A145" s="1456" t="s">
        <v>604</v>
      </c>
      <c r="B145" s="1457" t="s">
        <v>791</v>
      </c>
      <c r="C145" s="1442">
        <v>1</v>
      </c>
      <c r="D145" s="841">
        <v>1</v>
      </c>
      <c r="E145" s="870">
        <v>0</v>
      </c>
      <c r="F145" s="860">
        <v>1</v>
      </c>
      <c r="G145" s="1372">
        <v>1</v>
      </c>
      <c r="H145" s="1021">
        <f t="shared" ref="H145" si="133">IF((E145+G145)/C145&gt;=100%,100%,(E145+G145)/C145)</f>
        <v>1</v>
      </c>
      <c r="I145" s="1030">
        <f t="shared" ref="I145" si="134">IF(F145/D145&gt;=100%,100%,F145/D145)</f>
        <v>1</v>
      </c>
      <c r="J145" s="189" t="s">
        <v>1526</v>
      </c>
      <c r="K145" s="1023"/>
      <c r="L145" s="206"/>
      <c r="M145" s="207"/>
      <c r="N145" s="1023"/>
      <c r="O145" s="181"/>
      <c r="P145" s="181"/>
      <c r="Q145" s="181"/>
      <c r="R145" s="1024"/>
      <c r="S145" s="181"/>
      <c r="T145" s="236">
        <v>4</v>
      </c>
      <c r="U145" s="1026">
        <f>SUM(E145:G145)</f>
        <v>2</v>
      </c>
      <c r="V145" s="1387">
        <f t="shared" ref="V145" si="135">IF(U145/T145&gt;=100%,100%,U145/T145)</f>
        <v>0.5</v>
      </c>
      <c r="W145" s="1021">
        <v>1</v>
      </c>
      <c r="X145" s="477">
        <v>1</v>
      </c>
      <c r="Y145" s="1432">
        <v>125000000</v>
      </c>
      <c r="Z145" s="1364">
        <v>125000000</v>
      </c>
      <c r="AA145" s="1364">
        <v>123446960</v>
      </c>
      <c r="AB145" s="1029">
        <f t="shared" si="122"/>
        <v>0.98757567999999996</v>
      </c>
      <c r="AC145" s="1364">
        <v>65102455</v>
      </c>
      <c r="AD145" s="1030">
        <f t="shared" si="123"/>
        <v>0.52081964000000003</v>
      </c>
      <c r="AE145" s="175">
        <f>+AA145-AC145</f>
        <v>58344505</v>
      </c>
      <c r="AF145" s="1363">
        <v>62250000</v>
      </c>
      <c r="AG145" s="1364">
        <v>4000000</v>
      </c>
      <c r="AH145" s="1053">
        <f t="shared" si="124"/>
        <v>6.4257028112449793E-2</v>
      </c>
      <c r="AI145" s="1054">
        <v>500000000</v>
      </c>
      <c r="AJ145" s="1054">
        <f t="shared" ref="AJ145" si="136">+SUM(Z145:AA145)</f>
        <v>248446960</v>
      </c>
      <c r="AK145" s="1139">
        <f>+AJ145/AI145</f>
        <v>0.49689391999999999</v>
      </c>
      <c r="AL145" s="173"/>
      <c r="AM145" s="173"/>
      <c r="AN145" s="189" t="s">
        <v>302</v>
      </c>
      <c r="AO145" s="1458" t="s">
        <v>908</v>
      </c>
      <c r="AP145" s="1037"/>
      <c r="AQ145" s="1037"/>
    </row>
    <row r="146" spans="1:43" ht="42.75" customHeight="1" thickBot="1">
      <c r="A146" s="919" t="s">
        <v>418</v>
      </c>
      <c r="B146" s="1185"/>
      <c r="C146" s="869"/>
      <c r="D146" s="1186"/>
      <c r="E146" s="1187"/>
      <c r="F146" s="869"/>
      <c r="G146" s="869"/>
      <c r="H146" s="924">
        <f>(H147*0%)+(H150*14%)+(H157*14%)+(H167*24%)+(H190*29%)+(H202*19%)+(H208*0%)</f>
        <v>0.94006400000000001</v>
      </c>
      <c r="I146" s="924">
        <f>(I147*X147)+(I150*X150)+(I157*X157)+(I167*X167)+(I190*X190)+(I202*X202)+(I208*X208)</f>
        <v>0.71321524452173901</v>
      </c>
      <c r="J146" s="1196"/>
      <c r="K146" s="1459"/>
      <c r="L146" s="927"/>
      <c r="M146" s="925"/>
      <c r="N146" s="925"/>
      <c r="O146" s="1460"/>
      <c r="P146" s="1460"/>
      <c r="Q146" s="1460"/>
      <c r="R146" s="1461"/>
      <c r="S146" s="1460"/>
      <c r="T146" s="1462"/>
      <c r="U146" s="1194"/>
      <c r="V146" s="932">
        <f>(V147*W147)+(V150*W150)+(V157*W157)+(V167*W167)+(V190*W190)+(V202*W202)+(V208*W208)</f>
        <v>0.33195208928571435</v>
      </c>
      <c r="W146" s="933">
        <v>0.15</v>
      </c>
      <c r="X146" s="877">
        <v>0.15</v>
      </c>
      <c r="Y146" s="934">
        <f>+Y147+Y150+Y157+Y167+Y190+Y202+Y208</f>
        <v>6022500000</v>
      </c>
      <c r="Z146" s="934">
        <f>+Z147+Z150+Z157+Z167+Z190+Z202+Z208</f>
        <v>2780417319</v>
      </c>
      <c r="AA146" s="935">
        <f>+AA147+AA150+AA157+AA167+AA190+AA202+AA208</f>
        <v>5433305897.1400003</v>
      </c>
      <c r="AB146" s="929">
        <f t="shared" si="122"/>
        <v>0.90216785340639272</v>
      </c>
      <c r="AC146" s="935">
        <f>+AC147+AC150+AC157+AC167+AC190+AC202+AC208</f>
        <v>4158637205.3000002</v>
      </c>
      <c r="AD146" s="936">
        <f t="shared" si="123"/>
        <v>0.69051676302200082</v>
      </c>
      <c r="AE146" s="920">
        <f>+AE147+AE150+AE157+AE167+AE190+AE202+AE208</f>
        <v>1274668691.8399999</v>
      </c>
      <c r="AF146" s="937">
        <f>+AF147+AF150+AF157+AF167+AF190+AF202+AF208</f>
        <v>988775833</v>
      </c>
      <c r="AG146" s="934">
        <f>+AG147+AG150+AG157+AG167+AG190+AG202+AG208</f>
        <v>869778890</v>
      </c>
      <c r="AH146" s="1195">
        <f t="shared" si="124"/>
        <v>0.87965225379856149</v>
      </c>
      <c r="AI146" s="934">
        <f t="shared" ref="AI146:AJ146" si="137">+AI147+AI150+AI157+AI167+AI190+AI202+AI208</f>
        <v>26440000000</v>
      </c>
      <c r="AJ146" s="934">
        <f t="shared" si="137"/>
        <v>8213723216.1400003</v>
      </c>
      <c r="AK146" s="933">
        <f t="shared" ref="AK146:AK174" si="138">+AJ146/AI146</f>
        <v>0.31065518971785178</v>
      </c>
      <c r="AL146" s="939"/>
      <c r="AM146" s="939"/>
      <c r="AN146" s="937"/>
      <c r="AO146" s="920"/>
      <c r="AP146" s="1196"/>
      <c r="AQ146" s="1196"/>
    </row>
    <row r="147" spans="1:43" s="617" customFormat="1" ht="39" customHeight="1" thickBot="1">
      <c r="A147" s="1065" t="s">
        <v>430</v>
      </c>
      <c r="B147" s="1066"/>
      <c r="C147" s="862"/>
      <c r="D147" s="835"/>
      <c r="E147" s="1067"/>
      <c r="F147" s="862"/>
      <c r="G147" s="862"/>
      <c r="H147" s="1077">
        <f>+(H148*0%)</f>
        <v>0</v>
      </c>
      <c r="I147" s="1068">
        <f>+(I148*X148)</f>
        <v>0</v>
      </c>
      <c r="J147" s="1082"/>
      <c r="K147" s="1463"/>
      <c r="L147" s="1071"/>
      <c r="M147" s="1069"/>
      <c r="N147" s="1069"/>
      <c r="O147" s="1464"/>
      <c r="P147" s="1464"/>
      <c r="Q147" s="1464"/>
      <c r="R147" s="1072"/>
      <c r="S147" s="1464"/>
      <c r="T147" s="1465"/>
      <c r="U147" s="1075"/>
      <c r="V147" s="1246">
        <f>+(V148*W148)</f>
        <v>0</v>
      </c>
      <c r="W147" s="1077">
        <v>0.05</v>
      </c>
      <c r="X147" s="883">
        <v>0.05</v>
      </c>
      <c r="Y147" s="1078">
        <f>+Y148</f>
        <v>180000000</v>
      </c>
      <c r="Z147" s="1078">
        <f>+Z148</f>
        <v>0</v>
      </c>
      <c r="AA147" s="1078">
        <f>+AA148</f>
        <v>177204569.19999999</v>
      </c>
      <c r="AB147" s="1079">
        <f t="shared" si="122"/>
        <v>0.98446982888888879</v>
      </c>
      <c r="AC147" s="1078">
        <f>+AC148</f>
        <v>164176346</v>
      </c>
      <c r="AD147" s="1068">
        <f t="shared" si="123"/>
        <v>0.91209081111111112</v>
      </c>
      <c r="AE147" s="1066">
        <f>+AE148</f>
        <v>13028223.199999988</v>
      </c>
      <c r="AF147" s="1069">
        <f>+AF148</f>
        <v>0</v>
      </c>
      <c r="AG147" s="1078">
        <f>+AG148</f>
        <v>0</v>
      </c>
      <c r="AH147" s="1080" t="e">
        <f t="shared" si="124"/>
        <v>#DIV/0!</v>
      </c>
      <c r="AI147" s="1078">
        <f t="shared" ref="AI147:AJ147" si="139">+AI148</f>
        <v>600000000</v>
      </c>
      <c r="AJ147" s="1078">
        <f t="shared" si="139"/>
        <v>177204569.19999999</v>
      </c>
      <c r="AK147" s="1077">
        <f t="shared" si="138"/>
        <v>0.29534094866666666</v>
      </c>
      <c r="AL147" s="1071"/>
      <c r="AM147" s="1071" t="s">
        <v>293</v>
      </c>
      <c r="AN147" s="1069"/>
      <c r="AO147" s="1066"/>
      <c r="AP147" s="1082"/>
      <c r="AQ147" s="1082"/>
    </row>
    <row r="148" spans="1:43" ht="36" customHeight="1" thickBot="1">
      <c r="A148" s="961" t="s">
        <v>473</v>
      </c>
      <c r="B148" s="962"/>
      <c r="C148" s="861"/>
      <c r="D148" s="826"/>
      <c r="E148" s="963"/>
      <c r="F148" s="861"/>
      <c r="G148" s="861"/>
      <c r="H148" s="964">
        <v>0</v>
      </c>
      <c r="I148" s="973">
        <f>+SUMPRODUCT(I149:I149,X149:X149)</f>
        <v>0</v>
      </c>
      <c r="J148" s="286"/>
      <c r="K148" s="284"/>
      <c r="L148" s="966"/>
      <c r="M148" s="965"/>
      <c r="N148" s="965"/>
      <c r="O148" s="1466"/>
      <c r="P148" s="1466"/>
      <c r="Q148" s="1466"/>
      <c r="R148" s="1099"/>
      <c r="S148" s="1466"/>
      <c r="T148" s="1467"/>
      <c r="U148" s="969"/>
      <c r="V148" s="1199">
        <f>+SUMPRODUCT(V149:V149,W149:W149)</f>
        <v>0</v>
      </c>
      <c r="W148" s="964">
        <v>1</v>
      </c>
      <c r="X148" s="879">
        <v>1</v>
      </c>
      <c r="Y148" s="971">
        <f>SUM(Y149)</f>
        <v>180000000</v>
      </c>
      <c r="Z148" s="971">
        <f>SUM(Z149)</f>
        <v>0</v>
      </c>
      <c r="AA148" s="971">
        <f>SUM(AA149)</f>
        <v>177204569.19999999</v>
      </c>
      <c r="AB148" s="972">
        <f t="shared" si="122"/>
        <v>0.98446982888888879</v>
      </c>
      <c r="AC148" s="971">
        <f>SUM(AC149)</f>
        <v>164176346</v>
      </c>
      <c r="AD148" s="973">
        <f t="shared" si="123"/>
        <v>0.91209081111111112</v>
      </c>
      <c r="AE148" s="974">
        <f>SUM(AE149)</f>
        <v>13028223.199999988</v>
      </c>
      <c r="AF148" s="965">
        <f>SUM(AF149)</f>
        <v>0</v>
      </c>
      <c r="AG148" s="971">
        <f>SUM(AG149)</f>
        <v>0</v>
      </c>
      <c r="AH148" s="967" t="e">
        <f t="shared" si="124"/>
        <v>#DIV/0!</v>
      </c>
      <c r="AI148" s="971">
        <f t="shared" ref="AI148:AJ148" si="140">SUM(AI149)</f>
        <v>600000000</v>
      </c>
      <c r="AJ148" s="971">
        <f t="shared" si="140"/>
        <v>177204569.19999999</v>
      </c>
      <c r="AK148" s="964">
        <f t="shared" si="138"/>
        <v>0.29534094866666666</v>
      </c>
      <c r="AL148" s="975"/>
      <c r="AM148" s="975"/>
      <c r="AN148" s="283"/>
      <c r="AO148" s="974"/>
      <c r="AP148" s="286"/>
      <c r="AQ148" s="286"/>
    </row>
    <row r="149" spans="1:43" ht="93.75" customHeight="1" thickBot="1">
      <c r="A149" s="1468" t="s">
        <v>605</v>
      </c>
      <c r="B149" s="446" t="s">
        <v>872</v>
      </c>
      <c r="C149" s="1469">
        <v>0</v>
      </c>
      <c r="D149" s="842">
        <v>1</v>
      </c>
      <c r="E149" s="1269">
        <v>0</v>
      </c>
      <c r="F149" s="867">
        <v>0</v>
      </c>
      <c r="G149" s="867"/>
      <c r="H149" s="1270" t="e">
        <f t="shared" ref="H149" si="141">IF((E149+G149)/C149&gt;=100%,100%,(E149+G149)/C149)</f>
        <v>#DIV/0!</v>
      </c>
      <c r="I149" s="1331">
        <f t="shared" ref="I149" si="142">IF(F149/D149&gt;=100%,100%,F149/D149)</f>
        <v>0</v>
      </c>
      <c r="J149" s="1175" t="s">
        <v>1527</v>
      </c>
      <c r="L149" s="1274"/>
      <c r="M149" s="1275"/>
      <c r="N149" s="1273"/>
      <c r="O149" s="1470"/>
      <c r="P149" s="1470"/>
      <c r="Q149" s="1470"/>
      <c r="R149" s="1277"/>
      <c r="S149" s="1470"/>
      <c r="T149" s="1471">
        <v>3</v>
      </c>
      <c r="U149" s="1278">
        <f>SUM(E149:G149)</f>
        <v>0</v>
      </c>
      <c r="V149" s="1387">
        <f t="shared" ref="V149" si="143">IF(U149/T149&gt;=100%,100%,U149/T149)</f>
        <v>0</v>
      </c>
      <c r="W149" s="1270">
        <v>1</v>
      </c>
      <c r="X149" s="888">
        <v>1</v>
      </c>
      <c r="Y149" s="1472">
        <v>180000000</v>
      </c>
      <c r="Z149" s="1473">
        <v>0</v>
      </c>
      <c r="AA149" s="1473">
        <v>177204569.19999999</v>
      </c>
      <c r="AB149" s="1282">
        <f t="shared" si="122"/>
        <v>0.98446982888888879</v>
      </c>
      <c r="AC149" s="1473">
        <v>164176346</v>
      </c>
      <c r="AD149" s="1331">
        <f t="shared" si="123"/>
        <v>0.91209081111111112</v>
      </c>
      <c r="AE149" s="1283">
        <f>+AA149-AC149</f>
        <v>13028223.199999988</v>
      </c>
      <c r="AF149" s="1474">
        <v>0</v>
      </c>
      <c r="AG149" s="1473">
        <v>0</v>
      </c>
      <c r="AH149" s="1053" t="e">
        <f t="shared" si="124"/>
        <v>#DIV/0!</v>
      </c>
      <c r="AI149" s="1285">
        <v>600000000</v>
      </c>
      <c r="AJ149" s="1285">
        <f t="shared" ref="AJ149" si="144">+SUM(Z149:AA149)</f>
        <v>177204569.19999999</v>
      </c>
      <c r="AK149" s="1257">
        <f t="shared" si="138"/>
        <v>0.29534094866666666</v>
      </c>
      <c r="AL149" s="1286"/>
      <c r="AM149" s="1286"/>
      <c r="AN149" s="1272" t="s">
        <v>21</v>
      </c>
      <c r="AO149" s="1475" t="s">
        <v>890</v>
      </c>
      <c r="AP149" s="1175"/>
      <c r="AQ149" s="1175"/>
    </row>
    <row r="150" spans="1:43" s="617" customFormat="1" ht="56.25" customHeight="1" thickBot="1">
      <c r="A150" s="1065" t="s">
        <v>431</v>
      </c>
      <c r="B150" s="1066"/>
      <c r="C150" s="862"/>
      <c r="D150" s="835"/>
      <c r="E150" s="1067"/>
      <c r="F150" s="862"/>
      <c r="G150" s="862"/>
      <c r="H150" s="1077">
        <f>+(H151*40%)+(H153*60%)+(H155*0%)</f>
        <v>1</v>
      </c>
      <c r="I150" s="1068">
        <f>+(I151*X151)+(I153*X153)+(I155*X155)</f>
        <v>0.7</v>
      </c>
      <c r="J150" s="1082"/>
      <c r="K150" s="1463"/>
      <c r="L150" s="1071"/>
      <c r="M150" s="1069"/>
      <c r="N150" s="1069"/>
      <c r="O150" s="1464"/>
      <c r="P150" s="1464"/>
      <c r="Q150" s="1464"/>
      <c r="R150" s="1072"/>
      <c r="S150" s="1464"/>
      <c r="T150" s="1465"/>
      <c r="U150" s="1075"/>
      <c r="V150" s="1246">
        <f>+(V151*W151)+(V153*W153)+(V155*W155)</f>
        <v>0.35</v>
      </c>
      <c r="W150" s="1077">
        <v>0.1</v>
      </c>
      <c r="X150" s="883">
        <v>0.1</v>
      </c>
      <c r="Y150" s="1078">
        <f>+Y151+Y153+Y155</f>
        <v>480000000</v>
      </c>
      <c r="Z150" s="1078">
        <f>+Z151+Z153+Z155</f>
        <v>68500000</v>
      </c>
      <c r="AA150" s="1078">
        <f>+AA151+AA153+AA155</f>
        <v>472511601</v>
      </c>
      <c r="AB150" s="1079">
        <f t="shared" si="122"/>
        <v>0.98439916875</v>
      </c>
      <c r="AC150" s="1078">
        <f>+AC151+AC153+AC155</f>
        <v>445997516</v>
      </c>
      <c r="AD150" s="1068">
        <f t="shared" si="123"/>
        <v>0.92916149166666662</v>
      </c>
      <c r="AE150" s="1066">
        <f>+AE151+AE153+AE155</f>
        <v>26514085</v>
      </c>
      <c r="AF150" s="1069">
        <f>+AF151+AF153+AF155</f>
        <v>38500000</v>
      </c>
      <c r="AG150" s="1078">
        <f>+AG151+AG153+AG155</f>
        <v>38500000</v>
      </c>
      <c r="AH150" s="1080">
        <f t="shared" si="124"/>
        <v>1</v>
      </c>
      <c r="AI150" s="1078">
        <f t="shared" ref="AI150:AJ150" si="145">+AI151+AI153+AI155</f>
        <v>1540000000</v>
      </c>
      <c r="AJ150" s="1078">
        <f t="shared" si="145"/>
        <v>541011601</v>
      </c>
      <c r="AK150" s="1077">
        <f t="shared" si="138"/>
        <v>0.3513062344155844</v>
      </c>
      <c r="AL150" s="1071"/>
      <c r="AM150" s="1071" t="s">
        <v>298</v>
      </c>
      <c r="AN150" s="1069"/>
      <c r="AO150" s="1066"/>
      <c r="AP150" s="1082"/>
      <c r="AQ150" s="1082"/>
    </row>
    <row r="151" spans="1:43" ht="44.25" customHeight="1" thickBot="1">
      <c r="A151" s="961" t="s">
        <v>474</v>
      </c>
      <c r="B151" s="962"/>
      <c r="C151" s="861"/>
      <c r="D151" s="826"/>
      <c r="E151" s="963"/>
      <c r="F151" s="861"/>
      <c r="G151" s="861"/>
      <c r="H151" s="964">
        <f>+SUMPRODUCT(H152:H152,W152:W152)</f>
        <v>1</v>
      </c>
      <c r="I151" s="973">
        <f>+SUMPRODUCT(I152:I152,X152:X152)</f>
        <v>1</v>
      </c>
      <c r="J151" s="965"/>
      <c r="K151" s="962"/>
      <c r="L151" s="966"/>
      <c r="M151" s="965"/>
      <c r="N151" s="965"/>
      <c r="O151" s="966"/>
      <c r="P151" s="966"/>
      <c r="Q151" s="966"/>
      <c r="R151" s="1099"/>
      <c r="S151" s="966"/>
      <c r="T151" s="968"/>
      <c r="U151" s="969"/>
      <c r="V151" s="1199">
        <f>+SUMPRODUCT(V152:V152,W152:W152)</f>
        <v>0.5</v>
      </c>
      <c r="W151" s="964">
        <v>0.3</v>
      </c>
      <c r="X151" s="879">
        <v>0.3</v>
      </c>
      <c r="Y151" s="971">
        <f>SUM(Y152)</f>
        <v>140000000</v>
      </c>
      <c r="Z151" s="971">
        <f>SUM(Z152)</f>
        <v>0</v>
      </c>
      <c r="AA151" s="971">
        <f>SUM(AA152)</f>
        <v>137825746</v>
      </c>
      <c r="AB151" s="972">
        <f t="shared" si="122"/>
        <v>0.98446961428571433</v>
      </c>
      <c r="AC151" s="971">
        <f>SUM(AC152)</f>
        <v>127134839</v>
      </c>
      <c r="AD151" s="973">
        <f t="shared" si="123"/>
        <v>0.90810599285714289</v>
      </c>
      <c r="AE151" s="974">
        <f>SUM(AE152)</f>
        <v>10690907</v>
      </c>
      <c r="AF151" s="965">
        <f>SUM(AF152)</f>
        <v>0</v>
      </c>
      <c r="AG151" s="971">
        <f>SUM(AG152)</f>
        <v>0</v>
      </c>
      <c r="AH151" s="967" t="e">
        <f t="shared" si="124"/>
        <v>#DIV/0!</v>
      </c>
      <c r="AI151" s="971">
        <f t="shared" ref="AI151:AJ151" si="146">SUM(AI152)</f>
        <v>510000000</v>
      </c>
      <c r="AJ151" s="971">
        <f t="shared" si="146"/>
        <v>137825746</v>
      </c>
      <c r="AK151" s="964">
        <f t="shared" si="138"/>
        <v>0.27024656078431375</v>
      </c>
      <c r="AL151" s="975"/>
      <c r="AM151" s="975"/>
      <c r="AN151" s="283"/>
      <c r="AO151" s="974"/>
      <c r="AP151" s="286"/>
      <c r="AQ151" s="286"/>
    </row>
    <row r="152" spans="1:43" ht="84" customHeight="1" thickBot="1">
      <c r="A152" s="1476" t="s">
        <v>606</v>
      </c>
      <c r="B152" s="1477" t="s">
        <v>873</v>
      </c>
      <c r="C152" s="1478">
        <v>1</v>
      </c>
      <c r="D152" s="839">
        <v>1</v>
      </c>
      <c r="E152" s="1269">
        <v>1</v>
      </c>
      <c r="F152" s="867">
        <v>1</v>
      </c>
      <c r="G152" s="867"/>
      <c r="H152" s="1270">
        <f t="shared" ref="H152" si="147">IF((E152+G152)/C152&gt;=100%,100%,(E152+G152)/C152)</f>
        <v>1</v>
      </c>
      <c r="I152" s="1331">
        <f t="shared" ref="I152" si="148">IF(F152/D152&gt;=100%,100%,F152/D152)</f>
        <v>1</v>
      </c>
      <c r="J152" s="1272" t="s">
        <v>1528</v>
      </c>
      <c r="K152" s="1273"/>
      <c r="L152" s="1274"/>
      <c r="M152" s="1275"/>
      <c r="N152" s="1273"/>
      <c r="O152" s="1276"/>
      <c r="P152" s="1276"/>
      <c r="Q152" s="1276"/>
      <c r="R152" s="1277"/>
      <c r="S152" s="1276"/>
      <c r="T152" s="1326">
        <v>4</v>
      </c>
      <c r="U152" s="1278">
        <f>SUM(E152:G152)</f>
        <v>2</v>
      </c>
      <c r="V152" s="1387">
        <f t="shared" ref="V152" si="149">IF(U152/T152&gt;=100%,100%,U152/T152)</f>
        <v>0.5</v>
      </c>
      <c r="W152" s="1270">
        <v>1</v>
      </c>
      <c r="X152" s="888">
        <v>1</v>
      </c>
      <c r="Y152" s="1479">
        <v>140000000</v>
      </c>
      <c r="Z152" s="1480">
        <v>0</v>
      </c>
      <c r="AA152" s="1479">
        <v>137825746</v>
      </c>
      <c r="AB152" s="1282">
        <f t="shared" si="122"/>
        <v>0.98446961428571433</v>
      </c>
      <c r="AC152" s="1479">
        <v>127134839</v>
      </c>
      <c r="AD152" s="1331">
        <f t="shared" si="123"/>
        <v>0.90810599285714289</v>
      </c>
      <c r="AE152" s="1283">
        <f>+AA152-AC152</f>
        <v>10690907</v>
      </c>
      <c r="AF152" s="1481">
        <v>0</v>
      </c>
      <c r="AG152" s="1480">
        <v>0</v>
      </c>
      <c r="AH152" s="1053" t="e">
        <f t="shared" si="124"/>
        <v>#DIV/0!</v>
      </c>
      <c r="AI152" s="1285">
        <v>510000000</v>
      </c>
      <c r="AJ152" s="1285">
        <f t="shared" ref="AJ152:AJ156" si="150">+SUM(Z152:AA152)</f>
        <v>137825746</v>
      </c>
      <c r="AK152" s="1257">
        <f t="shared" si="138"/>
        <v>0.27024656078431375</v>
      </c>
      <c r="AL152" s="1286"/>
      <c r="AM152" s="1286"/>
      <c r="AN152" s="1272" t="s">
        <v>21</v>
      </c>
      <c r="AO152" s="1482" t="s">
        <v>914</v>
      </c>
      <c r="AP152" s="1175"/>
      <c r="AQ152" s="1175"/>
    </row>
    <row r="153" spans="1:43" ht="39" customHeight="1" thickBot="1">
      <c r="A153" s="961" t="s">
        <v>475</v>
      </c>
      <c r="B153" s="962"/>
      <c r="C153" s="861"/>
      <c r="D153" s="826"/>
      <c r="E153" s="963"/>
      <c r="F153" s="861"/>
      <c r="G153" s="861"/>
      <c r="H153" s="964">
        <f>+SUMPRODUCT(H154:H154,W154:W154)</f>
        <v>1</v>
      </c>
      <c r="I153" s="973">
        <f>+SUMPRODUCT(I154:I154,X154:X154)</f>
        <v>1</v>
      </c>
      <c r="J153" s="965"/>
      <c r="K153" s="962"/>
      <c r="L153" s="966"/>
      <c r="M153" s="965"/>
      <c r="N153" s="965"/>
      <c r="O153" s="966"/>
      <c r="P153" s="966"/>
      <c r="Q153" s="966"/>
      <c r="R153" s="1099"/>
      <c r="S153" s="966"/>
      <c r="T153" s="968"/>
      <c r="U153" s="969"/>
      <c r="V153" s="1199">
        <f>+SUMPRODUCT(V154:V154,W154:W154)</f>
        <v>0.5</v>
      </c>
      <c r="W153" s="964">
        <v>0.4</v>
      </c>
      <c r="X153" s="879">
        <v>0.4</v>
      </c>
      <c r="Y153" s="971">
        <f>SUM(Y154)</f>
        <v>160000000</v>
      </c>
      <c r="Z153" s="971">
        <f>SUM(Z154)</f>
        <v>68500000</v>
      </c>
      <c r="AA153" s="971">
        <f>SUM(AA154)</f>
        <v>157516021</v>
      </c>
      <c r="AB153" s="972">
        <f t="shared" si="122"/>
        <v>0.98447513124999997</v>
      </c>
      <c r="AC153" s="971">
        <f>SUM(AC154)</f>
        <v>152164275</v>
      </c>
      <c r="AD153" s="973">
        <f t="shared" si="123"/>
        <v>0.95102671875</v>
      </c>
      <c r="AE153" s="974">
        <f>SUM(AE154)</f>
        <v>5351746</v>
      </c>
      <c r="AF153" s="965">
        <f>SUM(AF154)</f>
        <v>38500000</v>
      </c>
      <c r="AG153" s="971">
        <f>SUM(AG154)</f>
        <v>38500000</v>
      </c>
      <c r="AH153" s="967">
        <f t="shared" si="124"/>
        <v>1</v>
      </c>
      <c r="AI153" s="971">
        <f>SUM(AI154)</f>
        <v>630000000</v>
      </c>
      <c r="AJ153" s="971">
        <f>SUM(AJ154)</f>
        <v>226016021</v>
      </c>
      <c r="AK153" s="964">
        <f t="shared" si="138"/>
        <v>0.35875558888888887</v>
      </c>
      <c r="AL153" s="975"/>
      <c r="AM153" s="975"/>
      <c r="AN153" s="283"/>
      <c r="AO153" s="974"/>
      <c r="AP153" s="286"/>
      <c r="AQ153" s="286"/>
    </row>
    <row r="154" spans="1:43" ht="87.75" customHeight="1" thickBot="1">
      <c r="A154" s="348" t="s">
        <v>607</v>
      </c>
      <c r="B154" s="1477" t="s">
        <v>873</v>
      </c>
      <c r="C154" s="1478">
        <v>1</v>
      </c>
      <c r="D154" s="839">
        <v>1</v>
      </c>
      <c r="E154" s="1269">
        <v>1</v>
      </c>
      <c r="F154" s="867">
        <v>1</v>
      </c>
      <c r="G154" s="867"/>
      <c r="H154" s="1270">
        <f t="shared" ref="H154" si="151">IF((E154+G154)/C154&gt;=100%,100%,(E154+G154)/C154)</f>
        <v>1</v>
      </c>
      <c r="I154" s="1331">
        <f t="shared" ref="I154" si="152">IF(F154/D154&gt;=100%,100%,F154/D154)</f>
        <v>1</v>
      </c>
      <c r="J154" s="1272" t="s">
        <v>1528</v>
      </c>
      <c r="K154" s="1273"/>
      <c r="L154" s="1274"/>
      <c r="M154" s="1275"/>
      <c r="N154" s="1273"/>
      <c r="O154" s="1276"/>
      <c r="P154" s="1276"/>
      <c r="Q154" s="1276"/>
      <c r="R154" s="1277"/>
      <c r="S154" s="1276"/>
      <c r="T154" s="1326">
        <v>4</v>
      </c>
      <c r="U154" s="1278">
        <f>SUM(E154:G154)</f>
        <v>2</v>
      </c>
      <c r="V154" s="1387">
        <f t="shared" ref="V154" si="153">IF(U154/T154&gt;=100%,100%,U154/T154)</f>
        <v>0.5</v>
      </c>
      <c r="W154" s="1270">
        <v>1</v>
      </c>
      <c r="X154" s="888">
        <v>1</v>
      </c>
      <c r="Y154" s="1483">
        <v>160000000</v>
      </c>
      <c r="Z154" s="1480">
        <v>68500000</v>
      </c>
      <c r="AA154" s="1483">
        <v>157516021</v>
      </c>
      <c r="AB154" s="1282">
        <f t="shared" si="122"/>
        <v>0.98447513124999997</v>
      </c>
      <c r="AC154" s="1483">
        <v>152164275</v>
      </c>
      <c r="AD154" s="1331">
        <f t="shared" si="123"/>
        <v>0.95102671875</v>
      </c>
      <c r="AE154" s="1283">
        <f>+AA154-AC154</f>
        <v>5351746</v>
      </c>
      <c r="AF154" s="1481">
        <v>38500000</v>
      </c>
      <c r="AG154" s="1480">
        <v>38500000</v>
      </c>
      <c r="AH154" s="1053">
        <f t="shared" si="124"/>
        <v>1</v>
      </c>
      <c r="AI154" s="1285">
        <v>630000000</v>
      </c>
      <c r="AJ154" s="1285">
        <f t="shared" si="150"/>
        <v>226016021</v>
      </c>
      <c r="AK154" s="1257">
        <f t="shared" si="138"/>
        <v>0.35875558888888887</v>
      </c>
      <c r="AL154" s="1286"/>
      <c r="AM154" s="1286"/>
      <c r="AN154" s="1272" t="s">
        <v>21</v>
      </c>
      <c r="AO154" s="1484" t="s">
        <v>914</v>
      </c>
      <c r="AP154" s="1175"/>
      <c r="AQ154" s="1175"/>
    </row>
    <row r="155" spans="1:43" ht="44.25" customHeight="1" thickBot="1">
      <c r="A155" s="961" t="s">
        <v>476</v>
      </c>
      <c r="B155" s="962"/>
      <c r="C155" s="861"/>
      <c r="D155" s="826"/>
      <c r="E155" s="963"/>
      <c r="F155" s="861"/>
      <c r="G155" s="861"/>
      <c r="H155" s="964">
        <v>0</v>
      </c>
      <c r="I155" s="973">
        <f>+SUMPRODUCT(I156:I156,X156:X156)</f>
        <v>0</v>
      </c>
      <c r="J155" s="965"/>
      <c r="K155" s="962"/>
      <c r="L155" s="966"/>
      <c r="M155" s="965"/>
      <c r="N155" s="965"/>
      <c r="O155" s="966"/>
      <c r="P155" s="966"/>
      <c r="Q155" s="966"/>
      <c r="R155" s="1099"/>
      <c r="S155" s="966"/>
      <c r="T155" s="968"/>
      <c r="U155" s="969"/>
      <c r="V155" s="1199">
        <f>+SUMPRODUCT(V156:V156,W156:W156)</f>
        <v>0</v>
      </c>
      <c r="W155" s="964">
        <v>0.3</v>
      </c>
      <c r="X155" s="879">
        <v>0.3</v>
      </c>
      <c r="Y155" s="971">
        <f>SUM(Y156)</f>
        <v>180000000</v>
      </c>
      <c r="Z155" s="971">
        <f>SUM(Z156)</f>
        <v>0</v>
      </c>
      <c r="AA155" s="971">
        <f>SUM(AA156)</f>
        <v>177169834</v>
      </c>
      <c r="AB155" s="972">
        <f t="shared" si="122"/>
        <v>0.98427685555555555</v>
      </c>
      <c r="AC155" s="971">
        <f>SUM(AC156)</f>
        <v>166698402</v>
      </c>
      <c r="AD155" s="973">
        <f t="shared" si="123"/>
        <v>0.9261022333333333</v>
      </c>
      <c r="AE155" s="974">
        <f>SUM(AE156)</f>
        <v>10471432</v>
      </c>
      <c r="AF155" s="965">
        <f>SUM(AF156)</f>
        <v>0</v>
      </c>
      <c r="AG155" s="971">
        <f>SUM(AG156)</f>
        <v>0</v>
      </c>
      <c r="AH155" s="967" t="e">
        <f t="shared" si="124"/>
        <v>#DIV/0!</v>
      </c>
      <c r="AI155" s="971">
        <f t="shared" ref="AI155:AJ155" si="154">SUM(AI156)</f>
        <v>400000000</v>
      </c>
      <c r="AJ155" s="971">
        <f t="shared" si="154"/>
        <v>177169834</v>
      </c>
      <c r="AK155" s="964">
        <f t="shared" si="138"/>
        <v>0.44292458499999998</v>
      </c>
      <c r="AL155" s="975"/>
      <c r="AM155" s="975"/>
      <c r="AN155" s="283"/>
      <c r="AO155" s="974"/>
      <c r="AP155" s="286"/>
      <c r="AQ155" s="286"/>
    </row>
    <row r="156" spans="1:43" ht="93" customHeight="1">
      <c r="A156" s="347" t="s">
        <v>608</v>
      </c>
      <c r="B156" s="453" t="s">
        <v>792</v>
      </c>
      <c r="C156" s="1485">
        <v>0</v>
      </c>
      <c r="D156" s="843">
        <v>1</v>
      </c>
      <c r="E156" s="978">
        <v>0</v>
      </c>
      <c r="F156" s="858">
        <v>0</v>
      </c>
      <c r="G156" s="858"/>
      <c r="H156" s="821" t="e">
        <f t="shared" ref="H156" si="155">IF((E156+G156)/C156&gt;=100%,100%,(E156+G156)/C156)</f>
        <v>#DIV/0!</v>
      </c>
      <c r="I156" s="988">
        <f t="shared" ref="I156" si="156">IF(F156/D156&gt;=100%,100%,F156/D156)</f>
        <v>0</v>
      </c>
      <c r="J156" s="1272" t="s">
        <v>1529</v>
      </c>
      <c r="K156" s="1273"/>
      <c r="L156" s="983"/>
      <c r="M156" s="984"/>
      <c r="N156" s="982"/>
      <c r="O156" s="1276"/>
      <c r="P156" s="1276"/>
      <c r="Q156" s="1276"/>
      <c r="R156" s="985"/>
      <c r="S156" s="1276"/>
      <c r="T156" s="1326">
        <v>2</v>
      </c>
      <c r="U156" s="986">
        <f>SUM(E156:G156)</f>
        <v>0</v>
      </c>
      <c r="V156" s="186">
        <f t="shared" ref="V156" si="157">IF(U156/T156&gt;=100%,100%,U156/T156)</f>
        <v>0</v>
      </c>
      <c r="W156" s="821">
        <v>1</v>
      </c>
      <c r="X156" s="880">
        <v>1</v>
      </c>
      <c r="Y156" s="539">
        <v>180000000</v>
      </c>
      <c r="Z156" s="372">
        <v>0</v>
      </c>
      <c r="AA156" s="539">
        <v>177169834</v>
      </c>
      <c r="AB156" s="987">
        <f t="shared" si="122"/>
        <v>0.98427685555555555</v>
      </c>
      <c r="AC156" s="539">
        <v>166698402</v>
      </c>
      <c r="AD156" s="1331">
        <f t="shared" si="123"/>
        <v>0.9261022333333333</v>
      </c>
      <c r="AE156" s="1044">
        <f>+AA156-AC156</f>
        <v>10471432</v>
      </c>
      <c r="AF156" s="1486">
        <v>0</v>
      </c>
      <c r="AG156" s="372">
        <v>0</v>
      </c>
      <c r="AH156" s="614" t="e">
        <f t="shared" si="124"/>
        <v>#DIV/0!</v>
      </c>
      <c r="AI156" s="1046">
        <v>400000000</v>
      </c>
      <c r="AJ156" s="1046">
        <f t="shared" si="150"/>
        <v>177169834</v>
      </c>
      <c r="AK156" s="1257">
        <f t="shared" si="138"/>
        <v>0.44292458499999998</v>
      </c>
      <c r="AL156" s="1286"/>
      <c r="AM156" s="191"/>
      <c r="AN156" s="190" t="s">
        <v>302</v>
      </c>
      <c r="AO156" s="1487" t="s">
        <v>914</v>
      </c>
      <c r="AP156" s="1488"/>
      <c r="AQ156" s="1489"/>
    </row>
    <row r="157" spans="1:43" s="617" customFormat="1" ht="42.75" customHeight="1" thickBot="1">
      <c r="A157" s="1490" t="s">
        <v>432</v>
      </c>
      <c r="B157" s="171"/>
      <c r="C157" s="871"/>
      <c r="D157" s="844"/>
      <c r="E157" s="1491"/>
      <c r="F157" s="871"/>
      <c r="G157" s="871"/>
      <c r="H157" s="915">
        <f>+(H158*45%)+(H161*20%)+(H163*35%)</f>
        <v>0.9</v>
      </c>
      <c r="I157" s="1492">
        <f>+(I158*X158)+(I161*X161)+(I163*X163)+(I165*X165)</f>
        <v>1</v>
      </c>
      <c r="J157" s="1493"/>
      <c r="K157" s="1494"/>
      <c r="L157" s="172"/>
      <c r="M157" s="1495"/>
      <c r="N157" s="1495"/>
      <c r="O157" s="288"/>
      <c r="P157" s="288"/>
      <c r="Q157" s="288"/>
      <c r="R157" s="1496"/>
      <c r="S157" s="288"/>
      <c r="T157" s="289"/>
      <c r="U157" s="280"/>
      <c r="V157" s="1497">
        <f>+(V158*W158)+(V161*W161)+(V163*W163)+(V165*W165)</f>
        <v>0.31125000000000003</v>
      </c>
      <c r="W157" s="915">
        <v>0.1</v>
      </c>
      <c r="X157" s="897">
        <v>0.14000000000000001</v>
      </c>
      <c r="Y157" s="1498">
        <f>+Y158+Y161+Y163+Y165</f>
        <v>510000000</v>
      </c>
      <c r="Z157" s="1498">
        <f>+Z158+Z161+Z163+Z165</f>
        <v>519650000</v>
      </c>
      <c r="AA157" s="1498">
        <f>+AA158+AA161+AA163+AA165</f>
        <v>486929495</v>
      </c>
      <c r="AB157" s="1499">
        <f t="shared" si="122"/>
        <v>0.95476371568627449</v>
      </c>
      <c r="AC157" s="1498">
        <f>+AC158+AC161+AC163+AC165</f>
        <v>447174904</v>
      </c>
      <c r="AD157" s="1492">
        <f t="shared" si="123"/>
        <v>0.87681353725490196</v>
      </c>
      <c r="AE157" s="171">
        <f>+AE158+AE161+AE163+AE165</f>
        <v>39754591</v>
      </c>
      <c r="AF157" s="1495">
        <f>+AF158+AF161+AF163+AF165</f>
        <v>410600000</v>
      </c>
      <c r="AG157" s="1498">
        <f>+AG158+AG161+AG163+AG165</f>
        <v>320578348</v>
      </c>
      <c r="AH157" s="958">
        <f t="shared" si="124"/>
        <v>0.78075584023380418</v>
      </c>
      <c r="AI157" s="1498">
        <f t="shared" ref="AI157:AJ157" si="158">+AI158+AI161+AI163+AI165</f>
        <v>3900000000</v>
      </c>
      <c r="AJ157" s="1498">
        <f t="shared" si="158"/>
        <v>1006579495</v>
      </c>
      <c r="AK157" s="915">
        <f t="shared" si="138"/>
        <v>0.25809730641025641</v>
      </c>
      <c r="AL157" s="172"/>
      <c r="AM157" s="172" t="s">
        <v>297</v>
      </c>
      <c r="AN157" s="1495"/>
      <c r="AO157" s="171"/>
      <c r="AP157" s="1493"/>
      <c r="AQ157" s="1493"/>
    </row>
    <row r="158" spans="1:43" ht="48" customHeight="1" thickBot="1">
      <c r="A158" s="961" t="s">
        <v>477</v>
      </c>
      <c r="B158" s="962"/>
      <c r="C158" s="861"/>
      <c r="D158" s="826"/>
      <c r="E158" s="963"/>
      <c r="F158" s="861"/>
      <c r="G158" s="861"/>
      <c r="H158" s="964">
        <f>+(H159*100%)</f>
        <v>1</v>
      </c>
      <c r="I158" s="973">
        <f>+SUMPRODUCT(I159:I160,X159:X160)</f>
        <v>1</v>
      </c>
      <c r="J158" s="286"/>
      <c r="K158" s="284"/>
      <c r="L158" s="966"/>
      <c r="M158" s="965"/>
      <c r="N158" s="965"/>
      <c r="O158" s="1466"/>
      <c r="P158" s="1466"/>
      <c r="Q158" s="1466"/>
      <c r="R158" s="1099"/>
      <c r="S158" s="1466"/>
      <c r="T158" s="1467"/>
      <c r="U158" s="969"/>
      <c r="V158" s="1199">
        <f>+SUMPRODUCT(V159:V160,W159:W160)</f>
        <v>0.2</v>
      </c>
      <c r="W158" s="964">
        <v>0.4</v>
      </c>
      <c r="X158" s="879">
        <v>0.45</v>
      </c>
      <c r="Y158" s="971">
        <f>SUM(Y159:Y160)</f>
        <v>180000000</v>
      </c>
      <c r="Z158" s="971">
        <f>SUM(Z159:Z160)</f>
        <v>143950000</v>
      </c>
      <c r="AA158" s="971">
        <f>SUM(AA159:AA160)</f>
        <v>162054527</v>
      </c>
      <c r="AB158" s="972">
        <f t="shared" si="122"/>
        <v>0.90030292777777776</v>
      </c>
      <c r="AC158" s="971">
        <f>SUM(AC159:AC160)</f>
        <v>149235219</v>
      </c>
      <c r="AD158" s="973">
        <f t="shared" si="123"/>
        <v>0.82908455000000003</v>
      </c>
      <c r="AE158" s="974">
        <f>SUM(AE159:AE160)</f>
        <v>12819308</v>
      </c>
      <c r="AF158" s="965">
        <f>SUM(AF159:AF160)</f>
        <v>60600000</v>
      </c>
      <c r="AG158" s="971">
        <f>SUM(AG159:AG160)</f>
        <v>60600000</v>
      </c>
      <c r="AH158" s="967">
        <f t="shared" si="124"/>
        <v>1</v>
      </c>
      <c r="AI158" s="971">
        <f t="shared" ref="AI158:AJ158" si="159">SUM(AI159:AI160)</f>
        <v>1800000000</v>
      </c>
      <c r="AJ158" s="971">
        <f t="shared" si="159"/>
        <v>306004527</v>
      </c>
      <c r="AK158" s="964">
        <f t="shared" si="138"/>
        <v>0.17000251499999999</v>
      </c>
      <c r="AL158" s="975"/>
      <c r="AM158" s="975"/>
      <c r="AN158" s="283"/>
      <c r="AO158" s="974"/>
      <c r="AP158" s="286"/>
      <c r="AQ158" s="286"/>
    </row>
    <row r="159" spans="1:43" ht="58.5" customHeight="1">
      <c r="A159" s="346" t="s">
        <v>609</v>
      </c>
      <c r="B159" s="1500" t="s">
        <v>874</v>
      </c>
      <c r="C159" s="1501">
        <v>23</v>
      </c>
      <c r="D159" s="843">
        <v>23</v>
      </c>
      <c r="E159" s="1502">
        <v>23</v>
      </c>
      <c r="F159" s="858">
        <v>23</v>
      </c>
      <c r="G159" s="858"/>
      <c r="H159" s="821">
        <f t="shared" ref="H159:H160" si="160">IF((E159+G159)/C159&gt;=100%,100%,(E159+G159)/C159)</f>
        <v>1</v>
      </c>
      <c r="I159" s="988">
        <f t="shared" ref="I159" si="161">IF(F159/D159&gt;=100%,100%,F159/D159)</f>
        <v>1</v>
      </c>
      <c r="J159" s="1175" t="s">
        <v>1530</v>
      </c>
      <c r="L159" s="983"/>
      <c r="M159" s="984"/>
      <c r="N159" s="982"/>
      <c r="O159" s="1470"/>
      <c r="P159" s="1470"/>
      <c r="Q159" s="1470"/>
      <c r="R159" s="985"/>
      <c r="S159" s="1470"/>
      <c r="T159" s="1326">
        <f>23*4</f>
        <v>92</v>
      </c>
      <c r="U159" s="986">
        <f>SUM(E159:G159)</f>
        <v>46</v>
      </c>
      <c r="V159" s="1438">
        <f t="shared" ref="V159:V160" si="162">IF(U159/T159&gt;=100%,100%,U159/T159)</f>
        <v>0.5</v>
      </c>
      <c r="W159" s="1254">
        <v>0.4</v>
      </c>
      <c r="X159" s="884">
        <v>1</v>
      </c>
      <c r="Y159" s="540">
        <v>180000000</v>
      </c>
      <c r="Z159" s="373">
        <v>143950000</v>
      </c>
      <c r="AA159" s="540">
        <v>162054527</v>
      </c>
      <c r="AB159" s="1106">
        <f t="shared" si="122"/>
        <v>0.90030292777777776</v>
      </c>
      <c r="AC159" s="540">
        <v>149235219</v>
      </c>
      <c r="AD159" s="1425">
        <f t="shared" si="123"/>
        <v>0.82908455000000003</v>
      </c>
      <c r="AE159" s="1108">
        <f>+AA159-AC159</f>
        <v>12819308</v>
      </c>
      <c r="AF159" s="1503">
        <v>60600000</v>
      </c>
      <c r="AG159" s="373">
        <v>60600000</v>
      </c>
      <c r="AH159" s="1089">
        <f t="shared" si="124"/>
        <v>1</v>
      </c>
      <c r="AI159" s="1110">
        <v>800000000</v>
      </c>
      <c r="AJ159" s="1110">
        <f t="shared" ref="AJ159:AJ160" si="163">+SUM(Z159:AA159)</f>
        <v>306004527</v>
      </c>
      <c r="AK159" s="1257">
        <f t="shared" si="138"/>
        <v>0.38250565874999998</v>
      </c>
      <c r="AL159" s="1328"/>
      <c r="AM159" s="1111"/>
      <c r="AN159" s="190" t="s">
        <v>27</v>
      </c>
      <c r="AO159" s="1504" t="s">
        <v>915</v>
      </c>
      <c r="AP159" s="1047"/>
      <c r="AQ159" s="1047"/>
    </row>
    <row r="160" spans="1:43" ht="36" customHeight="1" thickBot="1">
      <c r="A160" s="1468" t="s">
        <v>610</v>
      </c>
      <c r="B160" s="1475" t="s">
        <v>793</v>
      </c>
      <c r="C160" s="1505">
        <v>0</v>
      </c>
      <c r="D160" s="845">
        <v>0</v>
      </c>
      <c r="E160" s="1506">
        <v>0</v>
      </c>
      <c r="F160" s="860">
        <v>0</v>
      </c>
      <c r="G160" s="860"/>
      <c r="H160" s="1021" t="e">
        <f t="shared" si="160"/>
        <v>#DIV/0!</v>
      </c>
      <c r="I160" s="1030">
        <v>0</v>
      </c>
      <c r="J160" s="1037"/>
      <c r="K160" s="1507"/>
      <c r="L160" s="206"/>
      <c r="M160" s="207"/>
      <c r="N160" s="1023"/>
      <c r="O160" s="195"/>
      <c r="P160" s="195"/>
      <c r="Q160" s="195"/>
      <c r="R160" s="1024"/>
      <c r="S160" s="195"/>
      <c r="T160" s="236">
        <v>1</v>
      </c>
      <c r="U160" s="1026">
        <f>SUM(E160:G160)</f>
        <v>0</v>
      </c>
      <c r="V160" s="1430">
        <f t="shared" si="162"/>
        <v>0</v>
      </c>
      <c r="W160" s="1263">
        <v>0.6</v>
      </c>
      <c r="X160" s="885">
        <v>0</v>
      </c>
      <c r="Y160" s="1508" t="s">
        <v>887</v>
      </c>
      <c r="Z160" s="1509" t="s">
        <v>887</v>
      </c>
      <c r="AA160" s="1509" t="s">
        <v>887</v>
      </c>
      <c r="AB160" s="1133" t="e">
        <f t="shared" si="122"/>
        <v>#VALUE!</v>
      </c>
      <c r="AC160" s="1510">
        <v>0</v>
      </c>
      <c r="AD160" s="1130" t="e">
        <f t="shared" si="123"/>
        <v>#VALUE!</v>
      </c>
      <c r="AE160" s="1135"/>
      <c r="AF160" s="1511" t="s">
        <v>887</v>
      </c>
      <c r="AG160" s="1509" t="s">
        <v>887</v>
      </c>
      <c r="AH160" s="1136" t="e">
        <f t="shared" si="124"/>
        <v>#VALUE!</v>
      </c>
      <c r="AI160" s="1138">
        <v>1000000000</v>
      </c>
      <c r="AJ160" s="1138">
        <f t="shared" si="163"/>
        <v>0</v>
      </c>
      <c r="AK160" s="1139">
        <f t="shared" si="138"/>
        <v>0</v>
      </c>
      <c r="AL160" s="1140"/>
      <c r="AM160" s="1140"/>
      <c r="AN160" s="189" t="s">
        <v>302</v>
      </c>
      <c r="AO160" s="1512" t="s">
        <v>890</v>
      </c>
      <c r="AP160" s="1037"/>
      <c r="AQ160" s="1037"/>
    </row>
    <row r="161" spans="1:43" ht="42.75" customHeight="1" thickBot="1">
      <c r="A161" s="961" t="s">
        <v>478</v>
      </c>
      <c r="B161" s="962"/>
      <c r="C161" s="861"/>
      <c r="D161" s="826"/>
      <c r="E161" s="963"/>
      <c r="F161" s="861"/>
      <c r="G161" s="861"/>
      <c r="H161" s="964">
        <f>+SUMPRODUCT(H162:H162,W162:W162)</f>
        <v>0.5</v>
      </c>
      <c r="I161" s="973">
        <f>+SUMPRODUCT(I162:I162,X162:X162)</f>
        <v>1</v>
      </c>
      <c r="J161" s="286"/>
      <c r="K161" s="284"/>
      <c r="L161" s="966"/>
      <c r="M161" s="965"/>
      <c r="N161" s="965"/>
      <c r="O161" s="1466"/>
      <c r="P161" s="1466"/>
      <c r="Q161" s="1466"/>
      <c r="R161" s="1099"/>
      <c r="S161" s="1466"/>
      <c r="T161" s="1467"/>
      <c r="U161" s="969"/>
      <c r="V161" s="970">
        <f>+SUMPRODUCT(V162:V162,W162:W162)</f>
        <v>0.375</v>
      </c>
      <c r="W161" s="964">
        <v>0.15</v>
      </c>
      <c r="X161" s="879">
        <v>0.2</v>
      </c>
      <c r="Y161" s="971">
        <f>SUM(Y162)</f>
        <v>100000000</v>
      </c>
      <c r="Z161" s="971">
        <f>SUM(Z162)</f>
        <v>25700000</v>
      </c>
      <c r="AA161" s="971">
        <f>SUM(AA162)</f>
        <v>98446960</v>
      </c>
      <c r="AB161" s="972">
        <f t="shared" si="122"/>
        <v>0.98446959999999994</v>
      </c>
      <c r="AC161" s="971">
        <f>SUM(AC162)</f>
        <v>79318503</v>
      </c>
      <c r="AD161" s="973">
        <f t="shared" si="123"/>
        <v>0.79318502999999996</v>
      </c>
      <c r="AE161" s="974">
        <f>SUM(AE162)</f>
        <v>19128457</v>
      </c>
      <c r="AF161" s="965">
        <f>SUM(AF162)</f>
        <v>0</v>
      </c>
      <c r="AG161" s="971">
        <f>SUM(AG162)</f>
        <v>0</v>
      </c>
      <c r="AH161" s="967" t="e">
        <f t="shared" si="124"/>
        <v>#DIV/0!</v>
      </c>
      <c r="AI161" s="971">
        <f t="shared" ref="AI161:AJ161" si="164">SUM(AI162)</f>
        <v>400000000</v>
      </c>
      <c r="AJ161" s="971">
        <f t="shared" si="164"/>
        <v>124146960</v>
      </c>
      <c r="AK161" s="964">
        <f t="shared" si="138"/>
        <v>0.31036740000000002</v>
      </c>
      <c r="AL161" s="975"/>
      <c r="AM161" s="975"/>
      <c r="AN161" s="283"/>
      <c r="AO161" s="974"/>
      <c r="AP161" s="286"/>
      <c r="AQ161" s="286"/>
    </row>
    <row r="162" spans="1:43" ht="76.5" customHeight="1" thickBot="1">
      <c r="A162" s="348" t="s">
        <v>611</v>
      </c>
      <c r="B162" s="1513" t="s">
        <v>794</v>
      </c>
      <c r="C162" s="1469">
        <v>24</v>
      </c>
      <c r="D162" s="846">
        <v>24</v>
      </c>
      <c r="E162" s="1269">
        <v>0</v>
      </c>
      <c r="F162" s="867">
        <v>24</v>
      </c>
      <c r="G162" s="867">
        <v>12</v>
      </c>
      <c r="H162" s="1270">
        <f t="shared" ref="H162" si="165">IF((E162+G162)/C162&gt;=100%,100%,(E162+G162)/C162)</f>
        <v>0.5</v>
      </c>
      <c r="I162" s="1331">
        <f t="shared" ref="I162" si="166">IF(F162/D162&gt;=100%,100%,F162/D162)</f>
        <v>1</v>
      </c>
      <c r="J162" s="1175" t="s">
        <v>1531</v>
      </c>
      <c r="L162" s="1274"/>
      <c r="M162" s="1275"/>
      <c r="N162" s="1273"/>
      <c r="O162" s="1470"/>
      <c r="P162" s="1470"/>
      <c r="Q162" s="1470"/>
      <c r="R162" s="1277"/>
      <c r="S162" s="1470"/>
      <c r="T162" s="1326">
        <v>96</v>
      </c>
      <c r="U162" s="1278">
        <f>SUM(E162:G162)</f>
        <v>36</v>
      </c>
      <c r="V162" s="1430">
        <f t="shared" ref="V162" si="167">IF(U162/T162&gt;=100%,100%,U162/T162)</f>
        <v>0.375</v>
      </c>
      <c r="W162" s="1279">
        <v>1</v>
      </c>
      <c r="X162" s="888">
        <v>1</v>
      </c>
      <c r="Y162" s="1483">
        <v>100000000</v>
      </c>
      <c r="Z162" s="1480">
        <v>25700000</v>
      </c>
      <c r="AA162" s="1483">
        <v>98446960</v>
      </c>
      <c r="AB162" s="1282">
        <f t="shared" si="122"/>
        <v>0.98446959999999994</v>
      </c>
      <c r="AC162" s="1483">
        <v>79318503</v>
      </c>
      <c r="AD162" s="1331">
        <f t="shared" si="123"/>
        <v>0.79318502999999996</v>
      </c>
      <c r="AE162" s="1283">
        <f>+AA162-AC162</f>
        <v>19128457</v>
      </c>
      <c r="AF162" s="1511" t="s">
        <v>887</v>
      </c>
      <c r="AG162" s="1509" t="s">
        <v>887</v>
      </c>
      <c r="AH162" s="1053" t="e">
        <f t="shared" si="124"/>
        <v>#VALUE!</v>
      </c>
      <c r="AI162" s="1285">
        <v>400000000</v>
      </c>
      <c r="AJ162" s="1285">
        <f t="shared" ref="AJ162" si="168">+SUM(Z162:AA162)</f>
        <v>124146960</v>
      </c>
      <c r="AK162" s="1257">
        <f t="shared" si="138"/>
        <v>0.31036740000000002</v>
      </c>
      <c r="AL162" s="1286"/>
      <c r="AM162" s="1286"/>
      <c r="AN162" s="1272" t="s">
        <v>302</v>
      </c>
      <c r="AO162" s="1484" t="s">
        <v>890</v>
      </c>
      <c r="AP162" s="1175"/>
      <c r="AQ162" s="1175"/>
    </row>
    <row r="163" spans="1:43" ht="54" customHeight="1" thickBot="1">
      <c r="A163" s="961" t="s">
        <v>479</v>
      </c>
      <c r="B163" s="962"/>
      <c r="C163" s="861"/>
      <c r="D163" s="826"/>
      <c r="E163" s="963"/>
      <c r="F163" s="861"/>
      <c r="G163" s="861"/>
      <c r="H163" s="964">
        <f>+SUMPRODUCT(H164:H164,W164:W164)</f>
        <v>1</v>
      </c>
      <c r="I163" s="973">
        <f>+SUMPRODUCT(I164:I164,X164:X164)</f>
        <v>0</v>
      </c>
      <c r="J163" s="286"/>
      <c r="K163" s="284"/>
      <c r="L163" s="966"/>
      <c r="M163" s="965"/>
      <c r="N163" s="965"/>
      <c r="O163" s="1466"/>
      <c r="P163" s="1466"/>
      <c r="Q163" s="1466"/>
      <c r="R163" s="1099"/>
      <c r="S163" s="1466"/>
      <c r="T163" s="1467"/>
      <c r="U163" s="969"/>
      <c r="V163" s="1199">
        <f>+SUMPRODUCT(V164:V164,W164:W164)</f>
        <v>0.33333333333333331</v>
      </c>
      <c r="W163" s="964">
        <v>0.3</v>
      </c>
      <c r="X163" s="879">
        <v>0</v>
      </c>
      <c r="Y163" s="971">
        <f>SUM(Y164)</f>
        <v>0</v>
      </c>
      <c r="Z163" s="971">
        <f>SUM(Z164)</f>
        <v>350000000</v>
      </c>
      <c r="AA163" s="971">
        <f>SUM(AA164)</f>
        <v>0</v>
      </c>
      <c r="AB163" s="972" t="e">
        <f t="shared" si="122"/>
        <v>#DIV/0!</v>
      </c>
      <c r="AC163" s="971">
        <f>SUM(AC164)</f>
        <v>0</v>
      </c>
      <c r="AD163" s="969" t="e">
        <f t="shared" si="123"/>
        <v>#DIV/0!</v>
      </c>
      <c r="AE163" s="974">
        <f>SUM(AE164)</f>
        <v>0</v>
      </c>
      <c r="AF163" s="965">
        <f>SUM(AF164)</f>
        <v>350000000</v>
      </c>
      <c r="AG163" s="971">
        <f>SUM(AG164)</f>
        <v>259978348</v>
      </c>
      <c r="AH163" s="967">
        <f t="shared" si="124"/>
        <v>0.74279527999999995</v>
      </c>
      <c r="AI163" s="971">
        <f t="shared" ref="AI163:AJ163" si="169">SUM(AI164)</f>
        <v>1200000000</v>
      </c>
      <c r="AJ163" s="971">
        <f t="shared" si="169"/>
        <v>350000000</v>
      </c>
      <c r="AK163" s="964">
        <f t="shared" si="138"/>
        <v>0.29166666666666669</v>
      </c>
      <c r="AL163" s="975"/>
      <c r="AM163" s="975"/>
      <c r="AN163" s="283"/>
      <c r="AO163" s="974"/>
      <c r="AP163" s="286"/>
      <c r="AQ163" s="286"/>
    </row>
    <row r="164" spans="1:43" ht="70.5" customHeight="1" thickBot="1">
      <c r="A164" s="1468" t="s">
        <v>612</v>
      </c>
      <c r="B164" s="1475" t="s">
        <v>795</v>
      </c>
      <c r="C164" s="1469">
        <v>1</v>
      </c>
      <c r="D164" s="842">
        <v>0</v>
      </c>
      <c r="E164" s="1269">
        <v>0</v>
      </c>
      <c r="F164" s="867">
        <v>0</v>
      </c>
      <c r="G164" s="867">
        <v>1</v>
      </c>
      <c r="H164" s="1270">
        <f t="shared" ref="H164" si="170">IF((E164+G164)/C164&gt;=100%,100%,(E164+G164)/C164)</f>
        <v>1</v>
      </c>
      <c r="I164" s="1331">
        <v>0</v>
      </c>
      <c r="J164" s="1514" t="s">
        <v>1532</v>
      </c>
      <c r="L164" s="1274"/>
      <c r="M164" s="1275"/>
      <c r="N164" s="1273"/>
      <c r="O164" s="1470"/>
      <c r="P164" s="1470"/>
      <c r="Q164" s="1470"/>
      <c r="R164" s="1277"/>
      <c r="S164" s="1470"/>
      <c r="T164" s="1471">
        <v>3</v>
      </c>
      <c r="U164" s="1429">
        <f>SUM(E164:G164)</f>
        <v>1</v>
      </c>
      <c r="V164" s="1387">
        <f t="shared" ref="V164" si="171">IF(U164/T164&gt;=100%,100%,U164/T164)</f>
        <v>0.33333333333333331</v>
      </c>
      <c r="W164" s="1279">
        <v>1</v>
      </c>
      <c r="X164" s="888">
        <v>0</v>
      </c>
      <c r="Y164" s="1280">
        <v>0</v>
      </c>
      <c r="Z164" s="1515">
        <v>350000000</v>
      </c>
      <c r="AA164" s="1280">
        <v>0</v>
      </c>
      <c r="AB164" s="1282" t="e">
        <f t="shared" si="122"/>
        <v>#DIV/0!</v>
      </c>
      <c r="AC164" s="1280">
        <v>0</v>
      </c>
      <c r="AD164" s="1278" t="e">
        <f t="shared" si="123"/>
        <v>#DIV/0!</v>
      </c>
      <c r="AE164" s="1283"/>
      <c r="AF164" s="1516">
        <v>350000000</v>
      </c>
      <c r="AG164" s="1515">
        <v>259978348</v>
      </c>
      <c r="AH164" s="1053">
        <f t="shared" si="124"/>
        <v>0.74279527999999995</v>
      </c>
      <c r="AI164" s="1285">
        <v>1200000000</v>
      </c>
      <c r="AJ164" s="1285">
        <f t="shared" ref="AJ164:AJ166" si="172">+SUM(Z164:AA164)</f>
        <v>350000000</v>
      </c>
      <c r="AK164" s="1257">
        <f t="shared" si="138"/>
        <v>0.29166666666666669</v>
      </c>
      <c r="AL164" s="1286"/>
      <c r="AM164" s="1286"/>
      <c r="AN164" s="1272" t="s">
        <v>302</v>
      </c>
      <c r="AO164" s="1517" t="s">
        <v>915</v>
      </c>
      <c r="AP164" s="1175"/>
      <c r="AQ164" s="1175"/>
    </row>
    <row r="165" spans="1:43" ht="45" customHeight="1" thickBot="1">
      <c r="A165" s="961" t="s">
        <v>480</v>
      </c>
      <c r="B165" s="962"/>
      <c r="C165" s="861"/>
      <c r="D165" s="826"/>
      <c r="E165" s="963"/>
      <c r="F165" s="861"/>
      <c r="G165" s="861"/>
      <c r="H165" s="964">
        <v>0</v>
      </c>
      <c r="I165" s="973">
        <f>+SUMPRODUCT(I166:I166,X166:X166)</f>
        <v>1</v>
      </c>
      <c r="J165" s="286"/>
      <c r="K165" s="284"/>
      <c r="L165" s="966"/>
      <c r="M165" s="965"/>
      <c r="N165" s="965"/>
      <c r="O165" s="1466"/>
      <c r="P165" s="1466"/>
      <c r="Q165" s="1466"/>
      <c r="R165" s="1099"/>
      <c r="S165" s="1466"/>
      <c r="T165" s="1467"/>
      <c r="U165" s="969"/>
      <c r="V165" s="1199">
        <f>+SUMPRODUCT(V166:V166,W166:W166)</f>
        <v>0.5</v>
      </c>
      <c r="W165" s="964">
        <v>0.15</v>
      </c>
      <c r="X165" s="879">
        <v>0.35</v>
      </c>
      <c r="Y165" s="971">
        <f>SUM(Y166)</f>
        <v>230000000</v>
      </c>
      <c r="Z165" s="971">
        <f>SUM(Z166)</f>
        <v>0</v>
      </c>
      <c r="AA165" s="971">
        <f>SUM(AA166)</f>
        <v>226428008</v>
      </c>
      <c r="AB165" s="972">
        <f t="shared" si="122"/>
        <v>0.98446959999999994</v>
      </c>
      <c r="AC165" s="971">
        <f>SUM(AC166)</f>
        <v>218621182</v>
      </c>
      <c r="AD165" s="973">
        <f t="shared" si="123"/>
        <v>0.95052687826086957</v>
      </c>
      <c r="AE165" s="974">
        <f>SUM(AE166)</f>
        <v>7806826</v>
      </c>
      <c r="AF165" s="965">
        <f>SUM(AF166)</f>
        <v>0</v>
      </c>
      <c r="AG165" s="971">
        <f>SUM(AG166)</f>
        <v>0</v>
      </c>
      <c r="AH165" s="967" t="e">
        <f t="shared" si="124"/>
        <v>#DIV/0!</v>
      </c>
      <c r="AI165" s="971">
        <f t="shared" ref="AI165:AJ165" si="173">SUM(AI166)</f>
        <v>500000000</v>
      </c>
      <c r="AJ165" s="971">
        <f t="shared" si="173"/>
        <v>226428008</v>
      </c>
      <c r="AK165" s="964">
        <f t="shared" si="138"/>
        <v>0.45285601599999997</v>
      </c>
      <c r="AL165" s="975"/>
      <c r="AM165" s="975"/>
      <c r="AN165" s="283"/>
      <c r="AO165" s="974"/>
      <c r="AP165" s="286"/>
      <c r="AQ165" s="286"/>
    </row>
    <row r="166" spans="1:43" ht="69" customHeight="1" thickBot="1">
      <c r="A166" s="348" t="s">
        <v>613</v>
      </c>
      <c r="B166" s="1513" t="s">
        <v>796</v>
      </c>
      <c r="C166" s="1469">
        <v>0</v>
      </c>
      <c r="D166" s="842">
        <v>1</v>
      </c>
      <c r="E166" s="1269">
        <v>0</v>
      </c>
      <c r="F166" s="867">
        <v>1</v>
      </c>
      <c r="G166" s="867"/>
      <c r="H166" s="1270" t="e">
        <f t="shared" ref="H166" si="174">IF((E166+G166)/C166&gt;=100%,100%,(E166+G166)/C166)</f>
        <v>#DIV/0!</v>
      </c>
      <c r="I166" s="1331">
        <f t="shared" ref="I166" si="175">IF(F166/D166&gt;=100%,100%,F166/D166)</f>
        <v>1</v>
      </c>
      <c r="J166" s="1175" t="s">
        <v>1533</v>
      </c>
      <c r="L166" s="1274"/>
      <c r="M166" s="1275"/>
      <c r="N166" s="1273"/>
      <c r="O166" s="1470"/>
      <c r="P166" s="1470"/>
      <c r="Q166" s="1470"/>
      <c r="R166" s="1277"/>
      <c r="S166" s="1470"/>
      <c r="T166" s="1471">
        <v>2</v>
      </c>
      <c r="U166" s="1278">
        <f>SUM(E166:G166)</f>
        <v>1</v>
      </c>
      <c r="V166" s="1387">
        <f t="shared" ref="V166" si="176">IF(U166/T166&gt;=100%,100%,U166/T166)</f>
        <v>0.5</v>
      </c>
      <c r="W166" s="1279">
        <v>1</v>
      </c>
      <c r="X166" s="888">
        <v>1</v>
      </c>
      <c r="Y166" s="1483">
        <v>230000000</v>
      </c>
      <c r="Z166" s="1515">
        <v>0</v>
      </c>
      <c r="AA166" s="1483">
        <v>226428008</v>
      </c>
      <c r="AB166" s="1282">
        <f t="shared" si="122"/>
        <v>0.98446959999999994</v>
      </c>
      <c r="AC166" s="1483">
        <v>218621182</v>
      </c>
      <c r="AD166" s="1331">
        <f t="shared" si="123"/>
        <v>0.95052687826086957</v>
      </c>
      <c r="AE166" s="1283">
        <f>+AA166-AC166</f>
        <v>7806826</v>
      </c>
      <c r="AF166" s="1516">
        <v>0</v>
      </c>
      <c r="AG166" s="1515">
        <v>0</v>
      </c>
      <c r="AH166" s="1053" t="e">
        <f t="shared" si="124"/>
        <v>#DIV/0!</v>
      </c>
      <c r="AI166" s="1285">
        <v>500000000</v>
      </c>
      <c r="AJ166" s="1285">
        <f t="shared" si="172"/>
        <v>226428008</v>
      </c>
      <c r="AK166" s="1257">
        <f t="shared" si="138"/>
        <v>0.45285601599999997</v>
      </c>
      <c r="AL166" s="1286"/>
      <c r="AM166" s="1286"/>
      <c r="AN166" s="1272" t="s">
        <v>302</v>
      </c>
      <c r="AO166" s="1518" t="s">
        <v>890</v>
      </c>
      <c r="AP166" s="1175"/>
      <c r="AQ166" s="1175"/>
    </row>
    <row r="167" spans="1:43" s="617" customFormat="1" ht="53.25" customHeight="1" thickBot="1">
      <c r="A167" s="1065" t="s">
        <v>433</v>
      </c>
      <c r="B167" s="1066"/>
      <c r="C167" s="862"/>
      <c r="D167" s="835"/>
      <c r="E167" s="1067"/>
      <c r="F167" s="862"/>
      <c r="G167" s="862"/>
      <c r="H167" s="1077">
        <f>+(H168*45%)+(H176*5%)+(H178*20%)+(H183*30%)</f>
        <v>0.89124999999999988</v>
      </c>
      <c r="I167" s="1068">
        <f>+(I168*X168)+(I176*X176)+(I178*X178)+(I183*X183)</f>
        <v>0.44049565217391307</v>
      </c>
      <c r="J167" s="1082"/>
      <c r="K167" s="1463"/>
      <c r="L167" s="1071"/>
      <c r="M167" s="1069"/>
      <c r="N167" s="1069"/>
      <c r="O167" s="1464"/>
      <c r="P167" s="1464"/>
      <c r="Q167" s="1464"/>
      <c r="R167" s="1072"/>
      <c r="S167" s="1464"/>
      <c r="T167" s="1465"/>
      <c r="U167" s="1075"/>
      <c r="V167" s="1246">
        <f>+(V168*W168)+(V176*W176)+(V178*W178)+(V183*W183)</f>
        <v>0.45267857142857149</v>
      </c>
      <c r="W167" s="1077">
        <v>0.2</v>
      </c>
      <c r="X167" s="883">
        <v>0.24</v>
      </c>
      <c r="Y167" s="1078">
        <f>+Y168+Y176+Y178+Y183</f>
        <v>2442500000</v>
      </c>
      <c r="Z167" s="1078">
        <f>+Z168+Z176+Z178+Z183</f>
        <v>244410750</v>
      </c>
      <c r="AA167" s="1078">
        <f>+AA168+AA176+AA178+AA183</f>
        <v>1958456348.9400001</v>
      </c>
      <c r="AB167" s="1079">
        <f t="shared" si="122"/>
        <v>0.80182450314841358</v>
      </c>
      <c r="AC167" s="1078">
        <f>+AC168+AC176+AC178+AC183</f>
        <v>1037690522.3</v>
      </c>
      <c r="AD167" s="1247">
        <f t="shared" si="123"/>
        <v>0.42484770616171952</v>
      </c>
      <c r="AE167" s="1066">
        <f>+AE168+AE176+AE178+AE183</f>
        <v>920765826.63999999</v>
      </c>
      <c r="AF167" s="1069">
        <f>+AF168+AF176+AF178+AF183</f>
        <v>97500000</v>
      </c>
      <c r="AG167" s="1078">
        <f>+AG168+AG176+AG178+AG183</f>
        <v>87000000</v>
      </c>
      <c r="AH167" s="1080">
        <f t="shared" si="124"/>
        <v>0.89230769230769236</v>
      </c>
      <c r="AI167" s="1078">
        <f t="shared" ref="AI167:AJ167" si="177">+AI168+AI176+AI178+AI183</f>
        <v>7290000000</v>
      </c>
      <c r="AJ167" s="1078">
        <f t="shared" si="177"/>
        <v>2202867098.9400001</v>
      </c>
      <c r="AK167" s="1247">
        <f t="shared" si="138"/>
        <v>0.30217655678189304</v>
      </c>
      <c r="AL167" s="1071"/>
      <c r="AM167" s="1071" t="s">
        <v>293</v>
      </c>
      <c r="AN167" s="1069"/>
      <c r="AO167" s="1066"/>
      <c r="AP167" s="1082"/>
      <c r="AQ167" s="1082"/>
    </row>
    <row r="168" spans="1:43" ht="41.25" customHeight="1" thickBot="1">
      <c r="A168" s="961" t="s">
        <v>481</v>
      </c>
      <c r="B168" s="962"/>
      <c r="C168" s="861"/>
      <c r="D168" s="826"/>
      <c r="E168" s="963"/>
      <c r="F168" s="861"/>
      <c r="G168" s="861"/>
      <c r="H168" s="964">
        <f>+(H169*50%)+(H171*10%)+(H173*40%)</f>
        <v>0.82499999999999996</v>
      </c>
      <c r="I168" s="973">
        <f>+SUMPRODUCT(I169:I175,X169:X175)</f>
        <v>0.60400000000000009</v>
      </c>
      <c r="J168" s="286"/>
      <c r="K168" s="284"/>
      <c r="L168" s="966"/>
      <c r="M168" s="965"/>
      <c r="N168" s="965"/>
      <c r="O168" s="1466"/>
      <c r="P168" s="1466"/>
      <c r="Q168" s="1466"/>
      <c r="R168" s="1099"/>
      <c r="S168" s="1466"/>
      <c r="T168" s="1467"/>
      <c r="U168" s="969"/>
      <c r="V168" s="1199">
        <f>+SUMPRODUCT(V169:V175,W169:W175)</f>
        <v>0.72500000000000009</v>
      </c>
      <c r="W168" s="964">
        <v>0.45</v>
      </c>
      <c r="X168" s="879">
        <v>0.45</v>
      </c>
      <c r="Y168" s="971">
        <f>SUM(Y169:Y175)</f>
        <v>877500000</v>
      </c>
      <c r="Z168" s="971">
        <f>SUM(Z169:Z175)</f>
        <v>117660750</v>
      </c>
      <c r="AA168" s="971">
        <f>SUM(AA169:AA175)</f>
        <v>482298283.94</v>
      </c>
      <c r="AB168" s="972">
        <f t="shared" si="122"/>
        <v>0.54962767400569801</v>
      </c>
      <c r="AC168" s="976">
        <f>SUM(AC169:AC175)</f>
        <v>306420659.30000001</v>
      </c>
      <c r="AD168" s="964">
        <f t="shared" si="123"/>
        <v>0.34919733253561253</v>
      </c>
      <c r="AE168" s="974">
        <f>SUM(AE169:AE175)</f>
        <v>175877624.63999999</v>
      </c>
      <c r="AF168" s="965">
        <f>SUM(AF169:AF175)</f>
        <v>51350000</v>
      </c>
      <c r="AG168" s="971">
        <f>SUM(AG169:AG175)</f>
        <v>47850000</v>
      </c>
      <c r="AH168" s="967">
        <f t="shared" si="124"/>
        <v>0.93184031158714709</v>
      </c>
      <c r="AI168" s="971">
        <f t="shared" ref="AI168:AJ168" si="178">SUM(AI169:AI175)</f>
        <v>3445000000</v>
      </c>
      <c r="AJ168" s="971">
        <f t="shared" si="178"/>
        <v>599959033.94000006</v>
      </c>
      <c r="AK168" s="964">
        <f t="shared" si="138"/>
        <v>0.17415356573004356</v>
      </c>
      <c r="AL168" s="975"/>
      <c r="AM168" s="975"/>
      <c r="AN168" s="283"/>
      <c r="AO168" s="974"/>
      <c r="AP168" s="286"/>
      <c r="AQ168" s="286"/>
    </row>
    <row r="169" spans="1:43" ht="78" customHeight="1">
      <c r="A169" s="347" t="s">
        <v>614</v>
      </c>
      <c r="B169" s="1500" t="s">
        <v>875</v>
      </c>
      <c r="C169" s="1519">
        <v>8</v>
      </c>
      <c r="D169" s="401">
        <v>8</v>
      </c>
      <c r="E169" s="978">
        <v>6</v>
      </c>
      <c r="F169" s="858">
        <v>6</v>
      </c>
      <c r="G169" s="858"/>
      <c r="H169" s="821">
        <f t="shared" ref="H169:H175" si="179">IF((E169+G169)/C169&gt;=100%,100%,(E169+G169)/C169)</f>
        <v>0.75</v>
      </c>
      <c r="I169" s="988">
        <f t="shared" ref="I169:I175" si="180">IF(F169/D169&gt;=100%,100%,F169/D169)</f>
        <v>0.75</v>
      </c>
      <c r="J169" s="1514" t="s">
        <v>1534</v>
      </c>
      <c r="K169" s="1520"/>
      <c r="L169" s="1085"/>
      <c r="M169" s="1086"/>
      <c r="N169" s="1084"/>
      <c r="O169" s="1521"/>
      <c r="P169" s="1521"/>
      <c r="Q169" s="1521"/>
      <c r="R169" s="1088"/>
      <c r="S169" s="1521"/>
      <c r="T169" s="1522">
        <v>8</v>
      </c>
      <c r="U169" s="1059">
        <f>SUM(E169:G169)</f>
        <v>12</v>
      </c>
      <c r="V169" s="1438">
        <f t="shared" ref="V169:V175" si="181">IF(U169/T169&gt;=100%,100%,U169/T169)</f>
        <v>1</v>
      </c>
      <c r="W169" s="1523">
        <v>0.4</v>
      </c>
      <c r="X169" s="884">
        <v>0.5</v>
      </c>
      <c r="Y169" s="538">
        <v>360000000</v>
      </c>
      <c r="Z169" s="375" t="s">
        <v>887</v>
      </c>
      <c r="AA169" s="538">
        <v>56419087.380000003</v>
      </c>
      <c r="AB169" s="1106">
        <f t="shared" si="122"/>
        <v>0.15671968716666668</v>
      </c>
      <c r="AC169" s="538">
        <v>36245937.740000002</v>
      </c>
      <c r="AD169" s="1257">
        <f t="shared" si="123"/>
        <v>0.1006831603888889</v>
      </c>
      <c r="AE169" s="1108">
        <f>+AA169-AC169</f>
        <v>20173149.640000001</v>
      </c>
      <c r="AF169" s="1524" t="s">
        <v>887</v>
      </c>
      <c r="AG169" s="375" t="s">
        <v>887</v>
      </c>
      <c r="AH169" s="1089" t="e">
        <f t="shared" si="124"/>
        <v>#VALUE!</v>
      </c>
      <c r="AI169" s="1110">
        <v>1520000000</v>
      </c>
      <c r="AJ169" s="1110">
        <f t="shared" ref="AJ169:AJ175" si="182">+SUM(Z169:AA169)</f>
        <v>56419087.380000003</v>
      </c>
      <c r="AK169" s="1257">
        <f t="shared" si="138"/>
        <v>3.7117820644736843E-2</v>
      </c>
      <c r="AL169" s="1328"/>
      <c r="AM169" s="1111"/>
      <c r="AN169" s="190" t="s">
        <v>28</v>
      </c>
      <c r="AO169" s="2297" t="s">
        <v>916</v>
      </c>
      <c r="AP169" s="1047"/>
      <c r="AQ169" s="1047"/>
    </row>
    <row r="170" spans="1:43" ht="40.5" customHeight="1">
      <c r="A170" s="347" t="s">
        <v>615</v>
      </c>
      <c r="B170" s="449" t="s">
        <v>877</v>
      </c>
      <c r="C170" s="1519">
        <v>0</v>
      </c>
      <c r="D170" s="401">
        <v>0</v>
      </c>
      <c r="E170" s="213">
        <v>0</v>
      </c>
      <c r="F170" s="147">
        <v>0</v>
      </c>
      <c r="G170" s="147"/>
      <c r="H170" s="180" t="e">
        <f t="shared" si="179"/>
        <v>#DIV/0!</v>
      </c>
      <c r="I170" s="642">
        <v>0</v>
      </c>
      <c r="J170" s="1230"/>
      <c r="K170" s="1525"/>
      <c r="L170" s="1014"/>
      <c r="M170" s="1015"/>
      <c r="N170" s="1013"/>
      <c r="O170" s="1526"/>
      <c r="P170" s="1526"/>
      <c r="Q170" s="1526"/>
      <c r="R170" s="1017"/>
      <c r="S170" s="1526"/>
      <c r="T170" s="1527">
        <v>1</v>
      </c>
      <c r="U170" s="1008">
        <f t="shared" ref="U170:U175" si="183">SUM(E170:G170)</f>
        <v>0</v>
      </c>
      <c r="V170" s="1438">
        <f t="shared" si="181"/>
        <v>0</v>
      </c>
      <c r="W170" s="1523">
        <v>0.05</v>
      </c>
      <c r="X170" s="881">
        <v>0</v>
      </c>
      <c r="Y170" s="541" t="s">
        <v>887</v>
      </c>
      <c r="Z170" s="375" t="s">
        <v>887</v>
      </c>
      <c r="AA170" s="375" t="s">
        <v>887</v>
      </c>
      <c r="AB170" s="1114" t="e">
        <f t="shared" si="122"/>
        <v>#VALUE!</v>
      </c>
      <c r="AC170" s="538">
        <v>0</v>
      </c>
      <c r="AD170" s="1130" t="e">
        <f t="shared" si="123"/>
        <v>#VALUE!</v>
      </c>
      <c r="AE170" s="1135"/>
      <c r="AF170" s="1524" t="s">
        <v>887</v>
      </c>
      <c r="AG170" s="375" t="s">
        <v>887</v>
      </c>
      <c r="AH170" s="1089" t="e">
        <f t="shared" si="124"/>
        <v>#VALUE!</v>
      </c>
      <c r="AI170" s="1118">
        <v>120000000</v>
      </c>
      <c r="AJ170" s="1118">
        <f t="shared" si="182"/>
        <v>0</v>
      </c>
      <c r="AK170" s="1139">
        <f t="shared" si="138"/>
        <v>0</v>
      </c>
      <c r="AL170" s="1140"/>
      <c r="AM170" s="1119"/>
      <c r="AN170" s="152" t="s">
        <v>302</v>
      </c>
      <c r="AO170" s="2289"/>
      <c r="AP170" s="93"/>
      <c r="AQ170" s="93"/>
    </row>
    <row r="171" spans="1:43" ht="87.75" customHeight="1">
      <c r="A171" s="347" t="s">
        <v>616</v>
      </c>
      <c r="B171" s="449" t="s">
        <v>876</v>
      </c>
      <c r="C171" s="1519">
        <v>6</v>
      </c>
      <c r="D171" s="401">
        <v>12</v>
      </c>
      <c r="E171" s="213">
        <v>0</v>
      </c>
      <c r="F171" s="147">
        <v>3</v>
      </c>
      <c r="G171" s="859">
        <v>3</v>
      </c>
      <c r="H171" s="180">
        <f t="shared" si="179"/>
        <v>0.5</v>
      </c>
      <c r="I171" s="642">
        <f t="shared" si="180"/>
        <v>0.25</v>
      </c>
      <c r="J171" s="1230" t="s">
        <v>1535</v>
      </c>
      <c r="K171" s="1525"/>
      <c r="L171" s="1014"/>
      <c r="M171" s="1015"/>
      <c r="N171" s="1013"/>
      <c r="O171" s="1526"/>
      <c r="P171" s="1526"/>
      <c r="Q171" s="1526"/>
      <c r="R171" s="1017"/>
      <c r="S171" s="1526"/>
      <c r="T171" s="1527">
        <v>12</v>
      </c>
      <c r="U171" s="1008">
        <f t="shared" si="183"/>
        <v>6</v>
      </c>
      <c r="V171" s="1438">
        <f t="shared" si="181"/>
        <v>0.5</v>
      </c>
      <c r="W171" s="1523">
        <v>0.05</v>
      </c>
      <c r="X171" s="881">
        <v>0.1</v>
      </c>
      <c r="Y171" s="538">
        <v>25000000</v>
      </c>
      <c r="Z171" s="371">
        <v>18610750</v>
      </c>
      <c r="AA171" s="538">
        <v>14689393</v>
      </c>
      <c r="AB171" s="1114">
        <f t="shared" si="122"/>
        <v>0.58757572000000002</v>
      </c>
      <c r="AC171" s="538">
        <v>1001842</v>
      </c>
      <c r="AD171" s="1139">
        <f t="shared" si="123"/>
        <v>4.007368E-2</v>
      </c>
      <c r="AE171" s="1116">
        <f>+AA171-AC171</f>
        <v>13687551</v>
      </c>
      <c r="AF171" s="1524" t="s">
        <v>887</v>
      </c>
      <c r="AG171" s="375" t="s">
        <v>887</v>
      </c>
      <c r="AH171" s="1089" t="e">
        <f t="shared" si="124"/>
        <v>#VALUE!</v>
      </c>
      <c r="AI171" s="1118">
        <v>100000000</v>
      </c>
      <c r="AJ171" s="1118">
        <f t="shared" si="182"/>
        <v>33300143</v>
      </c>
      <c r="AK171" s="1139">
        <f t="shared" si="138"/>
        <v>0.33300142999999999</v>
      </c>
      <c r="AL171" s="1140"/>
      <c r="AM171" s="1119"/>
      <c r="AN171" s="152" t="s">
        <v>29</v>
      </c>
      <c r="AO171" s="2289"/>
      <c r="AP171" s="93"/>
      <c r="AQ171" s="93"/>
    </row>
    <row r="172" spans="1:43" ht="90.75" customHeight="1">
      <c r="A172" s="347" t="s">
        <v>617</v>
      </c>
      <c r="B172" s="452" t="s">
        <v>797</v>
      </c>
      <c r="C172" s="1519">
        <v>0</v>
      </c>
      <c r="D172" s="401">
        <v>1</v>
      </c>
      <c r="E172" s="213">
        <v>0</v>
      </c>
      <c r="F172" s="147">
        <v>0</v>
      </c>
      <c r="G172" s="147"/>
      <c r="H172" s="180" t="e">
        <f t="shared" si="179"/>
        <v>#DIV/0!</v>
      </c>
      <c r="I172" s="642">
        <f t="shared" si="180"/>
        <v>0</v>
      </c>
      <c r="J172" s="1230" t="s">
        <v>1536</v>
      </c>
      <c r="K172" s="1525"/>
      <c r="L172" s="1014"/>
      <c r="M172" s="1015"/>
      <c r="N172" s="1013"/>
      <c r="O172" s="1526"/>
      <c r="P172" s="1526"/>
      <c r="Q172" s="1526"/>
      <c r="R172" s="1017"/>
      <c r="S172" s="1526"/>
      <c r="T172" s="1527">
        <v>2</v>
      </c>
      <c r="U172" s="1008">
        <f t="shared" si="183"/>
        <v>0</v>
      </c>
      <c r="V172" s="1438">
        <f t="shared" si="181"/>
        <v>0</v>
      </c>
      <c r="W172" s="1528">
        <v>0.05</v>
      </c>
      <c r="X172" s="881">
        <v>0.05</v>
      </c>
      <c r="Y172" s="542">
        <v>92500000</v>
      </c>
      <c r="Z172" s="375" t="s">
        <v>887</v>
      </c>
      <c r="AA172" s="538">
        <v>41975169</v>
      </c>
      <c r="AB172" s="1114">
        <f t="shared" si="122"/>
        <v>0.45378561081081081</v>
      </c>
      <c r="AC172" s="538">
        <v>16120695</v>
      </c>
      <c r="AD172" s="1139">
        <f t="shared" si="123"/>
        <v>0.17427778378378378</v>
      </c>
      <c r="AE172" s="1116">
        <f>+AA172-AC172</f>
        <v>25854474</v>
      </c>
      <c r="AF172" s="1524" t="s">
        <v>887</v>
      </c>
      <c r="AG172" s="375" t="s">
        <v>887</v>
      </c>
      <c r="AH172" s="1089" t="e">
        <f t="shared" si="124"/>
        <v>#VALUE!</v>
      </c>
      <c r="AI172" s="1118">
        <v>185000000</v>
      </c>
      <c r="AJ172" s="1118">
        <f t="shared" si="182"/>
        <v>41975169</v>
      </c>
      <c r="AK172" s="1139">
        <f t="shared" si="138"/>
        <v>0.22689280540540541</v>
      </c>
      <c r="AL172" s="1140"/>
      <c r="AM172" s="1119"/>
      <c r="AN172" s="152" t="s">
        <v>302</v>
      </c>
      <c r="AO172" s="2290"/>
      <c r="AP172" s="93"/>
      <c r="AQ172" s="93"/>
    </row>
    <row r="173" spans="1:43" ht="50.25" customHeight="1">
      <c r="A173" s="347" t="s">
        <v>618</v>
      </c>
      <c r="B173" s="448" t="s">
        <v>798</v>
      </c>
      <c r="C173" s="1529">
        <v>1</v>
      </c>
      <c r="D173" s="402">
        <v>1</v>
      </c>
      <c r="E173" s="1530">
        <v>1</v>
      </c>
      <c r="F173" s="182">
        <v>0.68</v>
      </c>
      <c r="G173" s="147"/>
      <c r="H173" s="180">
        <f t="shared" si="179"/>
        <v>1</v>
      </c>
      <c r="I173" s="642">
        <f t="shared" si="180"/>
        <v>0.68</v>
      </c>
      <c r="J173" s="1230" t="s">
        <v>1537</v>
      </c>
      <c r="K173" s="1525"/>
      <c r="L173" s="1014"/>
      <c r="M173" s="1015"/>
      <c r="N173" s="1013"/>
      <c r="O173" s="1526"/>
      <c r="P173" s="1526"/>
      <c r="Q173" s="1526"/>
      <c r="R173" s="1017"/>
      <c r="S173" s="1526"/>
      <c r="T173" s="874">
        <v>1</v>
      </c>
      <c r="U173" s="1008">
        <f t="shared" si="183"/>
        <v>1.6800000000000002</v>
      </c>
      <c r="V173" s="1438">
        <f t="shared" si="181"/>
        <v>1</v>
      </c>
      <c r="W173" s="1531">
        <v>0.3</v>
      </c>
      <c r="X173" s="881">
        <v>0.3</v>
      </c>
      <c r="Y173" s="538">
        <v>280000000</v>
      </c>
      <c r="Z173" s="371">
        <v>99050000</v>
      </c>
      <c r="AA173" s="538">
        <v>249214635</v>
      </c>
      <c r="AB173" s="1114">
        <f t="shared" si="122"/>
        <v>0.89005226785714286</v>
      </c>
      <c r="AC173" s="538">
        <v>239684150</v>
      </c>
      <c r="AD173" s="1134">
        <f t="shared" si="123"/>
        <v>0.85601482142857144</v>
      </c>
      <c r="AE173" s="1116">
        <f>+AA173-AC173</f>
        <v>9530485</v>
      </c>
      <c r="AF173" s="1532">
        <v>51350000</v>
      </c>
      <c r="AG173" s="371">
        <v>47850000</v>
      </c>
      <c r="AH173" s="1089">
        <f t="shared" si="124"/>
        <v>0.93184031158714709</v>
      </c>
      <c r="AI173" s="1118">
        <v>1000000000</v>
      </c>
      <c r="AJ173" s="1118">
        <f t="shared" si="182"/>
        <v>348264635</v>
      </c>
      <c r="AK173" s="1139">
        <f t="shared" si="138"/>
        <v>0.34826463499999999</v>
      </c>
      <c r="AL173" s="1140"/>
      <c r="AM173" s="1119"/>
      <c r="AN173" s="152" t="s">
        <v>302</v>
      </c>
      <c r="AO173" s="1533" t="s">
        <v>916</v>
      </c>
      <c r="AP173" s="93"/>
      <c r="AQ173" s="93"/>
    </row>
    <row r="174" spans="1:43" ht="48" customHeight="1">
      <c r="A174" s="347" t="s">
        <v>619</v>
      </c>
      <c r="B174" s="453" t="s">
        <v>799</v>
      </c>
      <c r="C174" s="1519">
        <v>0</v>
      </c>
      <c r="D174" s="401">
        <v>0</v>
      </c>
      <c r="E174" s="213">
        <v>0</v>
      </c>
      <c r="F174" s="147">
        <v>0</v>
      </c>
      <c r="G174" s="147"/>
      <c r="H174" s="180" t="e">
        <f t="shared" si="179"/>
        <v>#DIV/0!</v>
      </c>
      <c r="I174" s="642">
        <v>0</v>
      </c>
      <c r="J174" s="1230"/>
      <c r="K174" s="1525"/>
      <c r="L174" s="1014"/>
      <c r="M174" s="1015"/>
      <c r="N174" s="1013"/>
      <c r="O174" s="1526"/>
      <c r="P174" s="1526"/>
      <c r="Q174" s="1526"/>
      <c r="R174" s="1017"/>
      <c r="S174" s="1526"/>
      <c r="T174" s="1527">
        <v>1</v>
      </c>
      <c r="U174" s="1008">
        <f t="shared" si="183"/>
        <v>0</v>
      </c>
      <c r="V174" s="1438">
        <f t="shared" si="181"/>
        <v>0</v>
      </c>
      <c r="W174" s="1531">
        <v>0.1</v>
      </c>
      <c r="X174" s="881">
        <v>0</v>
      </c>
      <c r="Y174" s="541" t="s">
        <v>887</v>
      </c>
      <c r="Z174" s="375" t="s">
        <v>887</v>
      </c>
      <c r="AA174" s="375" t="s">
        <v>887</v>
      </c>
      <c r="AB174" s="1114" t="e">
        <f t="shared" si="122"/>
        <v>#VALUE!</v>
      </c>
      <c r="AC174" s="538">
        <v>0</v>
      </c>
      <c r="AD174" s="1130" t="e">
        <f t="shared" si="123"/>
        <v>#VALUE!</v>
      </c>
      <c r="AE174" s="1135"/>
      <c r="AF174" s="1524" t="s">
        <v>887</v>
      </c>
      <c r="AG174" s="375" t="s">
        <v>887</v>
      </c>
      <c r="AH174" s="1089" t="e">
        <f t="shared" si="124"/>
        <v>#VALUE!</v>
      </c>
      <c r="AI174" s="1118">
        <v>400000000</v>
      </c>
      <c r="AJ174" s="1118">
        <f t="shared" si="182"/>
        <v>0</v>
      </c>
      <c r="AK174" s="1139">
        <f t="shared" si="138"/>
        <v>0</v>
      </c>
      <c r="AL174" s="1140"/>
      <c r="AM174" s="1119"/>
      <c r="AN174" s="152" t="s">
        <v>302</v>
      </c>
      <c r="AO174" s="1533" t="s">
        <v>917</v>
      </c>
      <c r="AP174" s="93"/>
      <c r="AQ174" s="93"/>
    </row>
    <row r="175" spans="1:43" ht="70.5" customHeight="1" thickBot="1">
      <c r="A175" s="1476" t="s">
        <v>620</v>
      </c>
      <c r="B175" s="299" t="s">
        <v>800</v>
      </c>
      <c r="C175" s="1534">
        <v>0</v>
      </c>
      <c r="D175" s="847">
        <v>1</v>
      </c>
      <c r="E175" s="870">
        <v>0</v>
      </c>
      <c r="F175" s="860">
        <v>0</v>
      </c>
      <c r="G175" s="860"/>
      <c r="H175" s="1021" t="e">
        <f t="shared" si="179"/>
        <v>#DIV/0!</v>
      </c>
      <c r="I175" s="1030">
        <f t="shared" si="180"/>
        <v>0</v>
      </c>
      <c r="J175" s="1230" t="s">
        <v>1538</v>
      </c>
      <c r="K175" s="1525"/>
      <c r="L175" s="1220"/>
      <c r="M175" s="1221"/>
      <c r="N175" s="1219"/>
      <c r="O175" s="1526"/>
      <c r="P175" s="1526"/>
      <c r="Q175" s="1526"/>
      <c r="R175" s="1223"/>
      <c r="S175" s="1526"/>
      <c r="T175" s="1527">
        <v>1</v>
      </c>
      <c r="U175" s="1130">
        <f t="shared" si="183"/>
        <v>0</v>
      </c>
      <c r="V175" s="1430">
        <f t="shared" si="181"/>
        <v>0</v>
      </c>
      <c r="W175" s="1531">
        <v>0.05</v>
      </c>
      <c r="X175" s="885">
        <v>0.05</v>
      </c>
      <c r="Y175" s="1535">
        <v>120000000</v>
      </c>
      <c r="Z175" s="1536" t="s">
        <v>887</v>
      </c>
      <c r="AA175" s="1479">
        <v>119999999.56</v>
      </c>
      <c r="AB175" s="1133">
        <f t="shared" si="122"/>
        <v>0.99999999633333336</v>
      </c>
      <c r="AC175" s="1479">
        <v>13368034.560000001</v>
      </c>
      <c r="AD175" s="1139">
        <f t="shared" si="123"/>
        <v>0.111400288</v>
      </c>
      <c r="AE175" s="1135">
        <f>+AA175-AC175</f>
        <v>106631965</v>
      </c>
      <c r="AF175" s="1537" t="s">
        <v>887</v>
      </c>
      <c r="AG175" s="1536" t="s">
        <v>887</v>
      </c>
      <c r="AH175" s="1136" t="e">
        <f t="shared" si="124"/>
        <v>#VALUE!</v>
      </c>
      <c r="AI175" s="1138">
        <v>120000000</v>
      </c>
      <c r="AJ175" s="1138">
        <f t="shared" si="182"/>
        <v>119999999.56</v>
      </c>
      <c r="AK175" s="1134">
        <f t="shared" si="125"/>
        <v>0.99999999633333336</v>
      </c>
      <c r="AL175" s="1140"/>
      <c r="AM175" s="1140"/>
      <c r="AN175" s="189" t="s">
        <v>302</v>
      </c>
      <c r="AO175" s="1538" t="s">
        <v>916</v>
      </c>
      <c r="AP175" s="1037"/>
      <c r="AQ175" s="1037"/>
    </row>
    <row r="176" spans="1:43" ht="36" customHeight="1" thickBot="1">
      <c r="A176" s="961" t="s">
        <v>482</v>
      </c>
      <c r="B176" s="962"/>
      <c r="C176" s="861"/>
      <c r="D176" s="826"/>
      <c r="E176" s="963"/>
      <c r="F176" s="861"/>
      <c r="G176" s="861"/>
      <c r="H176" s="964">
        <f>+SUMPRODUCT(H177:H177,W177:W177)</f>
        <v>1</v>
      </c>
      <c r="I176" s="973">
        <f>+SUMPRODUCT(I177:I177,X177:X177)</f>
        <v>1</v>
      </c>
      <c r="J176" s="286"/>
      <c r="K176" s="284"/>
      <c r="L176" s="966"/>
      <c r="M176" s="965"/>
      <c r="N176" s="965"/>
      <c r="O176" s="1466"/>
      <c r="P176" s="1466"/>
      <c r="Q176" s="1466"/>
      <c r="R176" s="1099"/>
      <c r="S176" s="1466"/>
      <c r="T176" s="1467"/>
      <c r="U176" s="969"/>
      <c r="V176" s="1199">
        <f>+SUMPRODUCT(V177:V177,W177:W177)</f>
        <v>0.42857142857142855</v>
      </c>
      <c r="W176" s="964">
        <v>0.05</v>
      </c>
      <c r="X176" s="879">
        <v>0.05</v>
      </c>
      <c r="Y176" s="971">
        <f>SUM(Y177)</f>
        <v>40000000</v>
      </c>
      <c r="Z176" s="971">
        <f>SUM(Z177)</f>
        <v>10500000</v>
      </c>
      <c r="AA176" s="971">
        <f>SUM(AA177)</f>
        <v>36578787</v>
      </c>
      <c r="AB176" s="972">
        <f t="shared" si="122"/>
        <v>0.91446967499999998</v>
      </c>
      <c r="AC176" s="971">
        <f>SUM(AC177)</f>
        <v>29603684</v>
      </c>
      <c r="AD176" s="973">
        <f t="shared" si="123"/>
        <v>0.74009210000000003</v>
      </c>
      <c r="AE176" s="974">
        <f>SUM(AE177)</f>
        <v>6975103</v>
      </c>
      <c r="AF176" s="965">
        <f>SUM(AF177)</f>
        <v>6300000</v>
      </c>
      <c r="AG176" s="971">
        <f>SUM(AG177)</f>
        <v>6300000</v>
      </c>
      <c r="AH176" s="967">
        <f t="shared" si="124"/>
        <v>1</v>
      </c>
      <c r="AI176" s="971">
        <f t="shared" ref="AI176:AJ176" si="184">SUM(AI177)</f>
        <v>140000000</v>
      </c>
      <c r="AJ176" s="971">
        <f t="shared" si="184"/>
        <v>47078787</v>
      </c>
      <c r="AK176" s="964">
        <f t="shared" si="125"/>
        <v>0.33627705000000002</v>
      </c>
      <c r="AL176" s="975"/>
      <c r="AM176" s="975"/>
      <c r="AN176" s="283"/>
      <c r="AO176" s="974"/>
      <c r="AP176" s="286"/>
      <c r="AQ176" s="286"/>
    </row>
    <row r="177" spans="1:43" ht="68.25" customHeight="1" thickBot="1">
      <c r="A177" s="348" t="s">
        <v>621</v>
      </c>
      <c r="B177" s="1539" t="s">
        <v>801</v>
      </c>
      <c r="C177" s="1469">
        <v>1</v>
      </c>
      <c r="D177" s="842">
        <v>2</v>
      </c>
      <c r="E177" s="1269">
        <v>1</v>
      </c>
      <c r="F177" s="867">
        <v>2</v>
      </c>
      <c r="G177" s="867"/>
      <c r="H177" s="1270">
        <f t="shared" ref="H177" si="185">IF((E177+G177)/C177&gt;=100%,100%,(E177+G177)/C177)</f>
        <v>1</v>
      </c>
      <c r="I177" s="1331">
        <f t="shared" ref="I177" si="186">IF(F177/D177&gt;=100%,100%,F177/D177)</f>
        <v>1</v>
      </c>
      <c r="J177" s="1175" t="s">
        <v>1539</v>
      </c>
      <c r="L177" s="1274"/>
      <c r="M177" s="1275"/>
      <c r="N177" s="1273"/>
      <c r="O177" s="1470"/>
      <c r="P177" s="1470"/>
      <c r="Q177" s="1470"/>
      <c r="R177" s="1277"/>
      <c r="S177" s="1470"/>
      <c r="T177" s="1471">
        <v>7</v>
      </c>
      <c r="U177" s="1278">
        <f>SUM(E177:G177)</f>
        <v>3</v>
      </c>
      <c r="V177" s="1027">
        <f t="shared" ref="V177" si="187">IF(U177/T177&gt;=100%,100%,U177/T177)</f>
        <v>0.42857142857142855</v>
      </c>
      <c r="W177" s="1279">
        <v>1</v>
      </c>
      <c r="X177" s="888">
        <v>1</v>
      </c>
      <c r="Y177" s="1483">
        <v>40000000</v>
      </c>
      <c r="Z177" s="1480">
        <v>10500000</v>
      </c>
      <c r="AA177" s="1483">
        <v>36578787</v>
      </c>
      <c r="AB177" s="1282">
        <f t="shared" si="122"/>
        <v>0.91446967499999998</v>
      </c>
      <c r="AC177" s="1483">
        <v>29603684</v>
      </c>
      <c r="AD177" s="1331">
        <f t="shared" si="123"/>
        <v>0.74009210000000003</v>
      </c>
      <c r="AE177" s="1283">
        <f>+AA177-AC177</f>
        <v>6975103</v>
      </c>
      <c r="AF177" s="1481">
        <v>6300000</v>
      </c>
      <c r="AG177" s="1480">
        <v>6300000</v>
      </c>
      <c r="AH177" s="1053">
        <f t="shared" si="124"/>
        <v>1</v>
      </c>
      <c r="AI177" s="1285">
        <v>140000000</v>
      </c>
      <c r="AJ177" s="1285">
        <f t="shared" ref="AJ177" si="188">+SUM(Z177:AA177)</f>
        <v>47078787</v>
      </c>
      <c r="AK177" s="1257">
        <f t="shared" si="125"/>
        <v>0.33627705000000002</v>
      </c>
      <c r="AL177" s="1286"/>
      <c r="AM177" s="1286"/>
      <c r="AN177" s="1272" t="s">
        <v>302</v>
      </c>
      <c r="AO177" s="1484" t="s">
        <v>916</v>
      </c>
      <c r="AP177" s="1175"/>
      <c r="AQ177" s="1175"/>
    </row>
    <row r="178" spans="1:43" ht="45.75" customHeight="1" thickBot="1">
      <c r="A178" s="961" t="s">
        <v>483</v>
      </c>
      <c r="B178" s="962"/>
      <c r="C178" s="861"/>
      <c r="D178" s="826"/>
      <c r="E178" s="963"/>
      <c r="F178" s="861"/>
      <c r="G178" s="861"/>
      <c r="H178" s="964">
        <f>+(H180*85%)+(H182*15%)</f>
        <v>0.85</v>
      </c>
      <c r="I178" s="973">
        <f>+SUMPRODUCT(I179:I182,X179:X182)</f>
        <v>0.15</v>
      </c>
      <c r="J178" s="286"/>
      <c r="K178" s="284"/>
      <c r="L178" s="966"/>
      <c r="M178" s="965"/>
      <c r="N178" s="965"/>
      <c r="O178" s="1466"/>
      <c r="P178" s="1466"/>
      <c r="Q178" s="1466"/>
      <c r="R178" s="1099"/>
      <c r="S178" s="1466"/>
      <c r="T178" s="1467"/>
      <c r="U178" s="969"/>
      <c r="V178" s="1199">
        <f>+SUMPRODUCT(V179:V182,W179:W182)</f>
        <v>7.4999999999999997E-2</v>
      </c>
      <c r="W178" s="964">
        <v>0.2</v>
      </c>
      <c r="X178" s="879">
        <v>0.2</v>
      </c>
      <c r="Y178" s="971">
        <f>SUM(Y179:Y182)</f>
        <v>525000000</v>
      </c>
      <c r="Z178" s="971">
        <f>SUM(Z179:Z182)</f>
        <v>4000000</v>
      </c>
      <c r="AA178" s="971">
        <f>SUM(AA179:AA182)</f>
        <v>453696326</v>
      </c>
      <c r="AB178" s="972">
        <f t="shared" si="122"/>
        <v>0.8641834780952381</v>
      </c>
      <c r="AC178" s="976">
        <f>SUM(AC179:AC182)</f>
        <v>93361949</v>
      </c>
      <c r="AD178" s="964">
        <f t="shared" si="123"/>
        <v>0.17783228380952382</v>
      </c>
      <c r="AE178" s="974">
        <f>SUM(AE179:AE182)</f>
        <v>360334377</v>
      </c>
      <c r="AF178" s="965">
        <f>SUM(AF179:AF182)</f>
        <v>4000000</v>
      </c>
      <c r="AG178" s="971">
        <f>SUM(AG179:AG182)</f>
        <v>4000000</v>
      </c>
      <c r="AH178" s="967">
        <f t="shared" si="124"/>
        <v>1</v>
      </c>
      <c r="AI178" s="971">
        <f t="shared" ref="AI178:AJ178" si="189">SUM(AI179:AI182)</f>
        <v>1445000000</v>
      </c>
      <c r="AJ178" s="971">
        <f t="shared" si="189"/>
        <v>457696326</v>
      </c>
      <c r="AK178" s="964">
        <f t="shared" si="125"/>
        <v>0.31674486228373705</v>
      </c>
      <c r="AL178" s="975"/>
      <c r="AM178" s="975"/>
      <c r="AN178" s="283"/>
      <c r="AO178" s="974"/>
      <c r="AP178" s="286"/>
      <c r="AQ178" s="286"/>
    </row>
    <row r="179" spans="1:43" ht="54.75" customHeight="1">
      <c r="A179" s="347" t="s">
        <v>622</v>
      </c>
      <c r="B179" s="1500" t="s">
        <v>878</v>
      </c>
      <c r="C179" s="1519">
        <v>0</v>
      </c>
      <c r="D179" s="401">
        <v>1</v>
      </c>
      <c r="E179" s="978">
        <v>0</v>
      </c>
      <c r="F179" s="858">
        <v>0</v>
      </c>
      <c r="G179" s="858"/>
      <c r="H179" s="821" t="e">
        <f t="shared" ref="H179:H182" si="190">IF((E179+G179)/C179&gt;=100%,100%,(E179+G179)/C179)</f>
        <v>#DIV/0!</v>
      </c>
      <c r="I179" s="988">
        <f t="shared" ref="I179:I182" si="191">IF(F179/D179&gt;=100%,100%,F179/D179)</f>
        <v>0</v>
      </c>
      <c r="J179" s="1175" t="s">
        <v>1540</v>
      </c>
      <c r="L179" s="983"/>
      <c r="M179" s="984"/>
      <c r="N179" s="982"/>
      <c r="O179" s="1470"/>
      <c r="P179" s="1470"/>
      <c r="Q179" s="1470"/>
      <c r="R179" s="985"/>
      <c r="S179" s="1470"/>
      <c r="T179" s="1471">
        <v>3</v>
      </c>
      <c r="U179" s="1059">
        <f>SUM(E179:G179)</f>
        <v>0</v>
      </c>
      <c r="V179" s="1438">
        <f t="shared" ref="V179:V182" si="192">IF(U179/T179&gt;=100%,100%,U179/T179)</f>
        <v>0</v>
      </c>
      <c r="W179" s="1528">
        <v>0.7</v>
      </c>
      <c r="X179" s="494">
        <v>0.7</v>
      </c>
      <c r="Y179" s="1540">
        <v>380000000</v>
      </c>
      <c r="Z179" s="375" t="s">
        <v>887</v>
      </c>
      <c r="AA179" s="1540">
        <v>374032317</v>
      </c>
      <c r="AB179" s="1106">
        <f t="shared" si="122"/>
        <v>0.98429557105263155</v>
      </c>
      <c r="AC179" s="1540">
        <v>18822483</v>
      </c>
      <c r="AD179" s="1257">
        <f t="shared" si="123"/>
        <v>4.9532850000000003E-2</v>
      </c>
      <c r="AE179" s="1108">
        <f>+AA179-AC179</f>
        <v>355209834</v>
      </c>
      <c r="AF179" s="1524" t="s">
        <v>887</v>
      </c>
      <c r="AG179" s="375" t="s">
        <v>887</v>
      </c>
      <c r="AH179" s="1089" t="e">
        <f t="shared" si="124"/>
        <v>#VALUE!</v>
      </c>
      <c r="AI179" s="1110">
        <v>1120000000</v>
      </c>
      <c r="AJ179" s="1110">
        <f t="shared" ref="AJ179:AJ189" si="193">+SUM(Z179:AA179)</f>
        <v>374032317</v>
      </c>
      <c r="AK179" s="1257">
        <f t="shared" si="125"/>
        <v>0.33395742589285715</v>
      </c>
      <c r="AL179" s="1328"/>
      <c r="AM179" s="1111"/>
      <c r="AN179" s="190" t="s">
        <v>22</v>
      </c>
      <c r="AO179" s="1487" t="s">
        <v>890</v>
      </c>
      <c r="AP179" s="1047"/>
      <c r="AQ179" s="1047"/>
    </row>
    <row r="180" spans="1:43" ht="50.25" customHeight="1">
      <c r="A180" s="347" t="s">
        <v>623</v>
      </c>
      <c r="B180" s="299" t="s">
        <v>802</v>
      </c>
      <c r="C180" s="1529">
        <v>1</v>
      </c>
      <c r="D180" s="402">
        <v>1</v>
      </c>
      <c r="E180" s="1530">
        <v>1</v>
      </c>
      <c r="F180" s="182">
        <v>1</v>
      </c>
      <c r="G180" s="147"/>
      <c r="H180" s="180">
        <f t="shared" si="190"/>
        <v>1</v>
      </c>
      <c r="I180" s="642">
        <f t="shared" si="191"/>
        <v>1</v>
      </c>
      <c r="J180" s="1037" t="s">
        <v>1541</v>
      </c>
      <c r="K180" s="1507"/>
      <c r="L180" s="101"/>
      <c r="M180" s="104"/>
      <c r="N180" s="146"/>
      <c r="O180" s="195"/>
      <c r="P180" s="195"/>
      <c r="Q180" s="195"/>
      <c r="R180" s="150"/>
      <c r="S180" s="195"/>
      <c r="T180" s="208">
        <v>4</v>
      </c>
      <c r="U180" s="1010">
        <f t="shared" ref="U180:U182" si="194">SUM(E180:G180)</f>
        <v>2</v>
      </c>
      <c r="V180" s="1438">
        <f t="shared" si="192"/>
        <v>0.5</v>
      </c>
      <c r="W180" s="1531">
        <v>0.15</v>
      </c>
      <c r="X180" s="495">
        <v>0.15</v>
      </c>
      <c r="Y180" s="538">
        <v>40000000</v>
      </c>
      <c r="Z180" s="371">
        <v>4000000</v>
      </c>
      <c r="AA180" s="542">
        <v>39378784</v>
      </c>
      <c r="AB180" s="1114">
        <f t="shared" si="122"/>
        <v>0.98446959999999994</v>
      </c>
      <c r="AC180" s="542">
        <v>37991373</v>
      </c>
      <c r="AD180" s="1134">
        <f t="shared" si="123"/>
        <v>0.94978432499999998</v>
      </c>
      <c r="AE180" s="1116">
        <f>+AA180-AC180</f>
        <v>1387411</v>
      </c>
      <c r="AF180" s="1532">
        <v>4000000</v>
      </c>
      <c r="AG180" s="371">
        <v>4000000</v>
      </c>
      <c r="AH180" s="1089">
        <f t="shared" si="124"/>
        <v>1</v>
      </c>
      <c r="AI180" s="1118">
        <v>140000000</v>
      </c>
      <c r="AJ180" s="1118">
        <f t="shared" si="193"/>
        <v>43378784</v>
      </c>
      <c r="AK180" s="1139">
        <f t="shared" si="125"/>
        <v>0.30984845714285714</v>
      </c>
      <c r="AL180" s="1140"/>
      <c r="AM180" s="1119"/>
      <c r="AN180" s="152" t="s">
        <v>302</v>
      </c>
      <c r="AO180" s="1533" t="s">
        <v>890</v>
      </c>
      <c r="AP180" s="93"/>
      <c r="AQ180" s="93"/>
    </row>
    <row r="181" spans="1:43" ht="47.25" customHeight="1">
      <c r="A181" s="351" t="s">
        <v>624</v>
      </c>
      <c r="B181" s="448" t="s">
        <v>803</v>
      </c>
      <c r="C181" s="1519">
        <v>0</v>
      </c>
      <c r="D181" s="401">
        <v>2</v>
      </c>
      <c r="E181" s="213">
        <v>0</v>
      </c>
      <c r="F181" s="147">
        <v>0</v>
      </c>
      <c r="G181" s="147"/>
      <c r="H181" s="180" t="e">
        <f t="shared" si="190"/>
        <v>#DIV/0!</v>
      </c>
      <c r="I181" s="642">
        <f t="shared" si="191"/>
        <v>0</v>
      </c>
      <c r="J181" s="1037" t="s">
        <v>1542</v>
      </c>
      <c r="K181" s="1507"/>
      <c r="L181" s="101"/>
      <c r="M181" s="104"/>
      <c r="N181" s="146"/>
      <c r="O181" s="195"/>
      <c r="P181" s="195"/>
      <c r="Q181" s="195"/>
      <c r="R181" s="150"/>
      <c r="S181" s="195"/>
      <c r="T181" s="241">
        <v>2</v>
      </c>
      <c r="U181" s="1008">
        <f t="shared" si="194"/>
        <v>0</v>
      </c>
      <c r="V181" s="1438">
        <f t="shared" si="192"/>
        <v>0</v>
      </c>
      <c r="W181" s="1541">
        <v>0.08</v>
      </c>
      <c r="X181" s="496">
        <v>0.08</v>
      </c>
      <c r="Y181" s="538">
        <v>85000000</v>
      </c>
      <c r="Z181" s="375" t="s">
        <v>887</v>
      </c>
      <c r="AA181" s="542">
        <f>40285225*0.81</f>
        <v>32631032.250000004</v>
      </c>
      <c r="AB181" s="1114">
        <f t="shared" si="122"/>
        <v>0.38389449705882356</v>
      </c>
      <c r="AC181" s="542">
        <f>36548093*0.81</f>
        <v>29603955.330000002</v>
      </c>
      <c r="AD181" s="1139">
        <f t="shared" si="123"/>
        <v>0.34828182741176472</v>
      </c>
      <c r="AE181" s="1116">
        <f>+AA181-AC181</f>
        <v>3027076.9200000018</v>
      </c>
      <c r="AF181" s="1524" t="s">
        <v>887</v>
      </c>
      <c r="AG181" s="375" t="s">
        <v>887</v>
      </c>
      <c r="AH181" s="1089" t="e">
        <f t="shared" si="124"/>
        <v>#VALUE!</v>
      </c>
      <c r="AI181" s="1118">
        <v>85000000</v>
      </c>
      <c r="AJ181" s="1118">
        <f t="shared" si="193"/>
        <v>32631032.250000004</v>
      </c>
      <c r="AK181" s="1139">
        <f t="shared" si="125"/>
        <v>0.38389449705882356</v>
      </c>
      <c r="AL181" s="1140"/>
      <c r="AM181" s="1119"/>
      <c r="AN181" s="152" t="s">
        <v>302</v>
      </c>
      <c r="AO181" s="2298" t="s">
        <v>890</v>
      </c>
      <c r="AP181" s="93"/>
      <c r="AQ181" s="93"/>
    </row>
    <row r="182" spans="1:43" ht="47.25" customHeight="1" thickBot="1">
      <c r="A182" s="1542" t="s">
        <v>625</v>
      </c>
      <c r="B182" s="299" t="s">
        <v>804</v>
      </c>
      <c r="C182" s="1534">
        <v>2</v>
      </c>
      <c r="D182" s="847">
        <v>2</v>
      </c>
      <c r="E182" s="870">
        <v>0</v>
      </c>
      <c r="F182" s="860">
        <v>0</v>
      </c>
      <c r="G182" s="860">
        <v>0</v>
      </c>
      <c r="H182" s="1021">
        <f t="shared" si="190"/>
        <v>0</v>
      </c>
      <c r="I182" s="1030">
        <f t="shared" si="191"/>
        <v>0</v>
      </c>
      <c r="J182" s="1037" t="s">
        <v>1543</v>
      </c>
      <c r="K182" s="1507"/>
      <c r="L182" s="206"/>
      <c r="M182" s="207"/>
      <c r="N182" s="1023"/>
      <c r="O182" s="195"/>
      <c r="P182" s="195"/>
      <c r="Q182" s="195"/>
      <c r="R182" s="1024"/>
      <c r="S182" s="195"/>
      <c r="T182" s="241">
        <v>4</v>
      </c>
      <c r="U182" s="1130">
        <f t="shared" si="194"/>
        <v>0</v>
      </c>
      <c r="V182" s="1430">
        <f t="shared" si="192"/>
        <v>0</v>
      </c>
      <c r="W182" s="1531">
        <v>7.0000000000000007E-2</v>
      </c>
      <c r="X182" s="495">
        <v>7.0000000000000007E-2</v>
      </c>
      <c r="Y182" s="1543">
        <v>20000000</v>
      </c>
      <c r="Z182" s="1536" t="s">
        <v>887</v>
      </c>
      <c r="AA182" s="1535">
        <f>40285225*0.19</f>
        <v>7654192.75</v>
      </c>
      <c r="AB182" s="1133">
        <f t="shared" si="122"/>
        <v>0.38270963749999998</v>
      </c>
      <c r="AC182" s="1535">
        <f>36548093*0.19</f>
        <v>6944137.6699999999</v>
      </c>
      <c r="AD182" s="1139">
        <f t="shared" si="123"/>
        <v>0.34720688350000001</v>
      </c>
      <c r="AE182" s="1135">
        <f>+AA182-AC182</f>
        <v>710055.08000000007</v>
      </c>
      <c r="AF182" s="1537" t="s">
        <v>887</v>
      </c>
      <c r="AG182" s="1536" t="s">
        <v>887</v>
      </c>
      <c r="AH182" s="1136" t="e">
        <f t="shared" si="124"/>
        <v>#VALUE!</v>
      </c>
      <c r="AI182" s="1138">
        <v>100000000</v>
      </c>
      <c r="AJ182" s="1138">
        <f t="shared" si="193"/>
        <v>7654192.75</v>
      </c>
      <c r="AK182" s="1139">
        <f t="shared" si="125"/>
        <v>7.6541927499999995E-2</v>
      </c>
      <c r="AL182" s="1140"/>
      <c r="AM182" s="1140"/>
      <c r="AN182" s="189" t="s">
        <v>302</v>
      </c>
      <c r="AO182" s="2289"/>
      <c r="AP182" s="1037"/>
      <c r="AQ182" s="1037"/>
    </row>
    <row r="183" spans="1:43" ht="39.75" customHeight="1" thickBot="1">
      <c r="A183" s="961" t="s">
        <v>484</v>
      </c>
      <c r="B183" s="962"/>
      <c r="C183" s="861"/>
      <c r="D183" s="826"/>
      <c r="E183" s="963"/>
      <c r="F183" s="861"/>
      <c r="G183" s="861"/>
      <c r="H183" s="964">
        <f>+(H185*34%)+(H186*33%)+(H187*33%)</f>
        <v>1</v>
      </c>
      <c r="I183" s="973">
        <f>+SUMPRODUCT(I184:I189,X184:X189)</f>
        <v>0.29565217391304349</v>
      </c>
      <c r="J183" s="286"/>
      <c r="K183" s="284"/>
      <c r="L183" s="966"/>
      <c r="M183" s="965"/>
      <c r="N183" s="965"/>
      <c r="O183" s="1466"/>
      <c r="P183" s="1466"/>
      <c r="Q183" s="1466"/>
      <c r="R183" s="1099"/>
      <c r="S183" s="1466"/>
      <c r="T183" s="1467"/>
      <c r="U183" s="969"/>
      <c r="V183" s="1199">
        <f>+SUMPRODUCT(V184:V189,W184:W189)</f>
        <v>0.30000000000000004</v>
      </c>
      <c r="W183" s="964">
        <v>0.3</v>
      </c>
      <c r="X183" s="879">
        <v>0.3</v>
      </c>
      <c r="Y183" s="971">
        <f>SUM(Y184:Y189)</f>
        <v>1000000000</v>
      </c>
      <c r="Z183" s="971">
        <f>SUM(Z184:Z189)</f>
        <v>112250000</v>
      </c>
      <c r="AA183" s="971">
        <f>SUM(AA184:AA189)</f>
        <v>985882952</v>
      </c>
      <c r="AB183" s="972">
        <f t="shared" si="122"/>
        <v>0.98588295199999998</v>
      </c>
      <c r="AC183" s="971">
        <f>SUM(AC184:AC189)</f>
        <v>608304230</v>
      </c>
      <c r="AD183" s="973">
        <f t="shared" si="123"/>
        <v>0.60830423</v>
      </c>
      <c r="AE183" s="974">
        <f>SUM(AE184:AE189)</f>
        <v>377578722</v>
      </c>
      <c r="AF183" s="965">
        <f>SUM(AF184:AF189)</f>
        <v>35850000</v>
      </c>
      <c r="AG183" s="971">
        <f>SUM(AG184:AG189)</f>
        <v>28850000</v>
      </c>
      <c r="AH183" s="967">
        <f t="shared" si="124"/>
        <v>0.80474198047419809</v>
      </c>
      <c r="AI183" s="971">
        <f t="shared" ref="AI183:AJ183" si="195">SUM(AI184:AI189)</f>
        <v>2260000000</v>
      </c>
      <c r="AJ183" s="971">
        <f t="shared" si="195"/>
        <v>1098132952</v>
      </c>
      <c r="AK183" s="964">
        <f t="shared" si="125"/>
        <v>0.48589953628318583</v>
      </c>
      <c r="AL183" s="975"/>
      <c r="AM183" s="975"/>
      <c r="AN183" s="283"/>
      <c r="AO183" s="974"/>
      <c r="AP183" s="286"/>
      <c r="AQ183" s="286"/>
    </row>
    <row r="184" spans="1:43" ht="50.25" customHeight="1">
      <c r="A184" s="350" t="s">
        <v>626</v>
      </c>
      <c r="B184" s="454" t="s">
        <v>776</v>
      </c>
      <c r="C184" s="1544">
        <v>0</v>
      </c>
      <c r="D184" s="403">
        <v>2</v>
      </c>
      <c r="E184" s="978">
        <v>0</v>
      </c>
      <c r="F184" s="858">
        <v>0</v>
      </c>
      <c r="G184" s="858"/>
      <c r="H184" s="821" t="e">
        <f t="shared" ref="H184:H189" si="196">IF((E184+G184)/C184&gt;=100%,100%,(E184+G184)/C184)</f>
        <v>#DIV/0!</v>
      </c>
      <c r="I184" s="988">
        <f t="shared" ref="I184:I189" si="197">IF(F184/D184&gt;=100%,100%,F184/D184)</f>
        <v>0</v>
      </c>
      <c r="J184" s="1175" t="s">
        <v>1544</v>
      </c>
      <c r="L184" s="983"/>
      <c r="M184" s="984"/>
      <c r="N184" s="982"/>
      <c r="O184" s="1470"/>
      <c r="P184" s="1470"/>
      <c r="Q184" s="1470"/>
      <c r="R184" s="985"/>
      <c r="S184" s="1470"/>
      <c r="T184" s="1471">
        <v>4</v>
      </c>
      <c r="U184" s="986">
        <f>SUM(E184:G184)</f>
        <v>0</v>
      </c>
      <c r="V184" s="1438">
        <f t="shared" ref="V184:V189" si="198">IF(U184/T184&gt;=100%,100%,U184/T184)</f>
        <v>0</v>
      </c>
      <c r="W184" s="1545">
        <v>0.3</v>
      </c>
      <c r="X184" s="497">
        <v>0.3</v>
      </c>
      <c r="Y184" s="539">
        <v>380000000</v>
      </c>
      <c r="Z184" s="539" t="s">
        <v>887</v>
      </c>
      <c r="AA184" s="539">
        <v>374099447</v>
      </c>
      <c r="AB184" s="1106">
        <f t="shared" si="122"/>
        <v>0.98447222894736841</v>
      </c>
      <c r="AC184" s="539">
        <v>360589843</v>
      </c>
      <c r="AD184" s="1425">
        <f t="shared" si="123"/>
        <v>0.94892063947368421</v>
      </c>
      <c r="AE184" s="1108">
        <f t="shared" ref="AE184:AE189" si="199">+AA184-AC184</f>
        <v>13509604</v>
      </c>
      <c r="AF184" s="1486" t="s">
        <v>887</v>
      </c>
      <c r="AG184" s="539" t="s">
        <v>887</v>
      </c>
      <c r="AH184" s="1089" t="e">
        <f t="shared" si="124"/>
        <v>#VALUE!</v>
      </c>
      <c r="AI184" s="1110">
        <v>800000000</v>
      </c>
      <c r="AJ184" s="1110">
        <f t="shared" si="193"/>
        <v>374099447</v>
      </c>
      <c r="AK184" s="1257">
        <f t="shared" si="125"/>
        <v>0.46762430875</v>
      </c>
      <c r="AL184" s="1328"/>
      <c r="AM184" s="1111"/>
      <c r="AN184" s="981" t="s">
        <v>302</v>
      </c>
      <c r="AO184" s="454" t="s">
        <v>918</v>
      </c>
      <c r="AP184" s="1047"/>
      <c r="AQ184" s="1047"/>
    </row>
    <row r="185" spans="1:43" ht="89.25" customHeight="1">
      <c r="A185" s="350" t="s">
        <v>627</v>
      </c>
      <c r="B185" s="454" t="s">
        <v>879</v>
      </c>
      <c r="C185" s="1544">
        <v>23</v>
      </c>
      <c r="D185" s="403">
        <v>23</v>
      </c>
      <c r="E185" s="213">
        <v>23</v>
      </c>
      <c r="F185" s="147">
        <v>22</v>
      </c>
      <c r="G185" s="147"/>
      <c r="H185" s="180">
        <f t="shared" si="196"/>
        <v>1</v>
      </c>
      <c r="I185" s="642">
        <f t="shared" si="197"/>
        <v>0.95652173913043481</v>
      </c>
      <c r="J185" s="1230" t="s">
        <v>1545</v>
      </c>
      <c r="K185" s="1507"/>
      <c r="L185" s="101"/>
      <c r="M185" s="104"/>
      <c r="N185" s="146"/>
      <c r="O185" s="195"/>
      <c r="P185" s="195"/>
      <c r="Q185" s="195"/>
      <c r="R185" s="150"/>
      <c r="S185" s="195"/>
      <c r="T185" s="241">
        <v>23</v>
      </c>
      <c r="U185" s="242">
        <f t="shared" ref="U185:U188" si="200">SUM(E185:G185)</f>
        <v>45</v>
      </c>
      <c r="V185" s="1438">
        <f t="shared" si="198"/>
        <v>1</v>
      </c>
      <c r="W185" s="1546">
        <v>0.1</v>
      </c>
      <c r="X185" s="498">
        <v>0.1</v>
      </c>
      <c r="Y185" s="605">
        <v>50000000</v>
      </c>
      <c r="Z185" s="539">
        <v>40000000</v>
      </c>
      <c r="AA185" s="539">
        <v>49223482</v>
      </c>
      <c r="AB185" s="1114">
        <f t="shared" si="122"/>
        <v>0.98446964000000003</v>
      </c>
      <c r="AC185" s="539">
        <v>47478795</v>
      </c>
      <c r="AD185" s="1134">
        <f t="shared" si="123"/>
        <v>0.94957590000000003</v>
      </c>
      <c r="AE185" s="1116">
        <f t="shared" si="199"/>
        <v>1744687</v>
      </c>
      <c r="AF185" s="1486">
        <v>10600000</v>
      </c>
      <c r="AG185" s="539">
        <v>3600000</v>
      </c>
      <c r="AH185" s="1089">
        <f t="shared" si="124"/>
        <v>0.33962264150943394</v>
      </c>
      <c r="AI185" s="1117">
        <v>186666666</v>
      </c>
      <c r="AJ185" s="1117">
        <f t="shared" si="193"/>
        <v>89223482</v>
      </c>
      <c r="AK185" s="1139">
        <f t="shared" si="125"/>
        <v>0.4779829409927962</v>
      </c>
      <c r="AL185" s="1140"/>
      <c r="AM185" s="1119"/>
      <c r="AN185" s="1012" t="s">
        <v>20</v>
      </c>
      <c r="AO185" s="455" t="s">
        <v>919</v>
      </c>
      <c r="AP185" s="93"/>
      <c r="AQ185" s="93"/>
    </row>
    <row r="186" spans="1:43" ht="57" customHeight="1">
      <c r="A186" s="350" t="s">
        <v>628</v>
      </c>
      <c r="B186" s="454" t="s">
        <v>805</v>
      </c>
      <c r="C186" s="1547">
        <v>1</v>
      </c>
      <c r="D186" s="404">
        <v>1</v>
      </c>
      <c r="E186" s="1548">
        <v>1</v>
      </c>
      <c r="F186" s="182">
        <v>1</v>
      </c>
      <c r="G186" s="147"/>
      <c r="H186" s="180">
        <f t="shared" si="196"/>
        <v>1</v>
      </c>
      <c r="I186" s="642">
        <f t="shared" si="197"/>
        <v>1</v>
      </c>
      <c r="J186" s="1230" t="s">
        <v>1546</v>
      </c>
      <c r="K186" s="1507"/>
      <c r="L186" s="101"/>
      <c r="M186" s="104"/>
      <c r="N186" s="146"/>
      <c r="O186" s="195"/>
      <c r="P186" s="195"/>
      <c r="Q186" s="195"/>
      <c r="R186" s="150"/>
      <c r="S186" s="195"/>
      <c r="T186" s="208">
        <v>1</v>
      </c>
      <c r="U186" s="242">
        <f t="shared" si="200"/>
        <v>2</v>
      </c>
      <c r="V186" s="1438">
        <f t="shared" si="198"/>
        <v>1</v>
      </c>
      <c r="W186" s="1549">
        <v>0.1</v>
      </c>
      <c r="X186" s="499">
        <v>0.1</v>
      </c>
      <c r="Y186" s="605">
        <v>50000000</v>
      </c>
      <c r="Z186" s="539">
        <v>37050000</v>
      </c>
      <c r="AA186" s="539">
        <v>49223482</v>
      </c>
      <c r="AB186" s="1114">
        <f t="shared" si="122"/>
        <v>0.98446964000000003</v>
      </c>
      <c r="AC186" s="539">
        <v>47478795</v>
      </c>
      <c r="AD186" s="1134">
        <f t="shared" si="123"/>
        <v>0.94957590000000003</v>
      </c>
      <c r="AE186" s="1116">
        <f t="shared" si="199"/>
        <v>1744687</v>
      </c>
      <c r="AF186" s="1486">
        <v>12250000</v>
      </c>
      <c r="AG186" s="539">
        <v>12250000</v>
      </c>
      <c r="AH186" s="1089">
        <f t="shared" si="124"/>
        <v>1</v>
      </c>
      <c r="AI186" s="1117">
        <v>186666667</v>
      </c>
      <c r="AJ186" s="1117">
        <f t="shared" si="193"/>
        <v>86273482</v>
      </c>
      <c r="AK186" s="1139">
        <f t="shared" si="125"/>
        <v>0.46217936703182255</v>
      </c>
      <c r="AL186" s="1140"/>
      <c r="AM186" s="1119"/>
      <c r="AN186" s="1012" t="s">
        <v>302</v>
      </c>
      <c r="AO186" s="455" t="s">
        <v>909</v>
      </c>
      <c r="AP186" s="93"/>
      <c r="AQ186" s="93"/>
    </row>
    <row r="187" spans="1:43" ht="68.25" customHeight="1">
      <c r="A187" s="350" t="s">
        <v>629</v>
      </c>
      <c r="B187" s="455" t="s">
        <v>880</v>
      </c>
      <c r="C187" s="1547">
        <v>1</v>
      </c>
      <c r="D187" s="404">
        <v>1</v>
      </c>
      <c r="E187" s="1548">
        <v>1</v>
      </c>
      <c r="F187" s="182">
        <v>1</v>
      </c>
      <c r="G187" s="147"/>
      <c r="H187" s="180">
        <f t="shared" si="196"/>
        <v>1</v>
      </c>
      <c r="I187" s="642">
        <f t="shared" si="197"/>
        <v>1</v>
      </c>
      <c r="J187" s="1230" t="s">
        <v>1547</v>
      </c>
      <c r="K187" s="1507"/>
      <c r="L187" s="101"/>
      <c r="M187" s="104"/>
      <c r="N187" s="146"/>
      <c r="O187" s="195"/>
      <c r="P187" s="195"/>
      <c r="Q187" s="195"/>
      <c r="R187" s="150"/>
      <c r="S187" s="195"/>
      <c r="T187" s="208">
        <v>1</v>
      </c>
      <c r="U187" s="242">
        <f t="shared" si="200"/>
        <v>2</v>
      </c>
      <c r="V187" s="1438">
        <f t="shared" si="198"/>
        <v>1</v>
      </c>
      <c r="W187" s="1550">
        <v>0.1</v>
      </c>
      <c r="X187" s="500">
        <v>0.1</v>
      </c>
      <c r="Y187" s="605">
        <v>40000000</v>
      </c>
      <c r="Z187" s="539">
        <v>35200000</v>
      </c>
      <c r="AA187" s="539">
        <v>39466418</v>
      </c>
      <c r="AB187" s="1114">
        <f t="shared" si="122"/>
        <v>0.98666045000000002</v>
      </c>
      <c r="AC187" s="539">
        <v>37943187</v>
      </c>
      <c r="AD187" s="1134">
        <f t="shared" si="123"/>
        <v>0.94857967499999996</v>
      </c>
      <c r="AE187" s="1116">
        <f t="shared" si="199"/>
        <v>1523231</v>
      </c>
      <c r="AF187" s="1486">
        <v>13000000</v>
      </c>
      <c r="AG187" s="539">
        <v>13000000</v>
      </c>
      <c r="AH187" s="1089">
        <f t="shared" si="124"/>
        <v>1</v>
      </c>
      <c r="AI187" s="1117">
        <v>186666667</v>
      </c>
      <c r="AJ187" s="1117">
        <f t="shared" si="193"/>
        <v>74666418</v>
      </c>
      <c r="AK187" s="1130">
        <f t="shared" si="125"/>
        <v>0.39999866714285953</v>
      </c>
      <c r="AL187" s="1140"/>
      <c r="AM187" s="1119"/>
      <c r="AN187" s="1012" t="s">
        <v>29</v>
      </c>
      <c r="AO187" s="455" t="s">
        <v>901</v>
      </c>
      <c r="AP187" s="93"/>
      <c r="AQ187" s="93"/>
    </row>
    <row r="188" spans="1:43" ht="106.5" customHeight="1">
      <c r="A188" s="350" t="s">
        <v>630</v>
      </c>
      <c r="B188" s="454" t="s">
        <v>806</v>
      </c>
      <c r="C188" s="1544">
        <v>0</v>
      </c>
      <c r="D188" s="403">
        <v>1</v>
      </c>
      <c r="E188" s="1551">
        <v>0</v>
      </c>
      <c r="F188" s="147">
        <v>0</v>
      </c>
      <c r="G188" s="147"/>
      <c r="H188" s="180" t="e">
        <f t="shared" si="196"/>
        <v>#DIV/0!</v>
      </c>
      <c r="I188" s="642">
        <f t="shared" si="197"/>
        <v>0</v>
      </c>
      <c r="J188" s="1037" t="s">
        <v>1548</v>
      </c>
      <c r="K188" s="1507"/>
      <c r="L188" s="101"/>
      <c r="M188" s="104"/>
      <c r="N188" s="146"/>
      <c r="O188" s="195"/>
      <c r="P188" s="195"/>
      <c r="Q188" s="195"/>
      <c r="R188" s="150"/>
      <c r="S188" s="195"/>
      <c r="T188" s="241">
        <v>1</v>
      </c>
      <c r="U188" s="242">
        <f t="shared" si="200"/>
        <v>0</v>
      </c>
      <c r="V188" s="1438">
        <f t="shared" si="198"/>
        <v>0</v>
      </c>
      <c r="W188" s="1550">
        <v>0.1</v>
      </c>
      <c r="X188" s="500">
        <v>0.1</v>
      </c>
      <c r="Y188" s="539">
        <v>100000000</v>
      </c>
      <c r="Z188" s="539" t="s">
        <v>887</v>
      </c>
      <c r="AA188" s="539">
        <v>98446960</v>
      </c>
      <c r="AB188" s="1114">
        <f t="shared" si="122"/>
        <v>0.98446959999999994</v>
      </c>
      <c r="AC188" s="539">
        <v>51582590</v>
      </c>
      <c r="AD188" s="1134">
        <f t="shared" si="123"/>
        <v>0.51582589999999995</v>
      </c>
      <c r="AE188" s="1116">
        <f t="shared" si="199"/>
        <v>46864370</v>
      </c>
      <c r="AF188" s="1486" t="s">
        <v>887</v>
      </c>
      <c r="AG188" s="539" t="s">
        <v>887</v>
      </c>
      <c r="AH188" s="1089" t="e">
        <f t="shared" si="124"/>
        <v>#VALUE!</v>
      </c>
      <c r="AI188" s="1118">
        <v>100000000</v>
      </c>
      <c r="AJ188" s="1118">
        <f t="shared" si="193"/>
        <v>98446960</v>
      </c>
      <c r="AK188" s="1134">
        <f t="shared" si="125"/>
        <v>0.98446959999999994</v>
      </c>
      <c r="AL188" s="1140"/>
      <c r="AM188" s="1119"/>
      <c r="AN188" s="1012" t="s">
        <v>302</v>
      </c>
      <c r="AO188" s="455" t="s">
        <v>919</v>
      </c>
      <c r="AP188" s="93"/>
      <c r="AQ188" s="93"/>
    </row>
    <row r="189" spans="1:43" ht="94.5" customHeight="1">
      <c r="A189" s="350" t="s">
        <v>631</v>
      </c>
      <c r="B189" s="454" t="s">
        <v>807</v>
      </c>
      <c r="C189" s="1544">
        <v>0</v>
      </c>
      <c r="D189" s="403">
        <v>2</v>
      </c>
      <c r="E189" s="1551">
        <v>0</v>
      </c>
      <c r="F189" s="147">
        <v>0</v>
      </c>
      <c r="G189" s="147"/>
      <c r="H189" s="180" t="e">
        <f t="shared" si="196"/>
        <v>#DIV/0!</v>
      </c>
      <c r="I189" s="642">
        <f t="shared" si="197"/>
        <v>0</v>
      </c>
      <c r="J189" s="1037" t="s">
        <v>1549</v>
      </c>
      <c r="K189" s="1507"/>
      <c r="L189" s="101"/>
      <c r="M189" s="104"/>
      <c r="N189" s="146"/>
      <c r="O189" s="195"/>
      <c r="P189" s="195"/>
      <c r="Q189" s="195"/>
      <c r="R189" s="150"/>
      <c r="S189" s="195"/>
      <c r="T189" s="241">
        <v>4</v>
      </c>
      <c r="U189" s="242">
        <f>SUM(E189:G189)</f>
        <v>0</v>
      </c>
      <c r="V189" s="1438">
        <f t="shared" si="198"/>
        <v>0</v>
      </c>
      <c r="W189" s="1550">
        <v>0.3</v>
      </c>
      <c r="X189" s="500">
        <v>0.3</v>
      </c>
      <c r="Y189" s="539">
        <v>380000000</v>
      </c>
      <c r="Z189" s="539" t="s">
        <v>887</v>
      </c>
      <c r="AA189" s="539">
        <v>375423163</v>
      </c>
      <c r="AB189" s="1114">
        <f t="shared" si="122"/>
        <v>0.98795569210526313</v>
      </c>
      <c r="AC189" s="539">
        <v>63231020</v>
      </c>
      <c r="AD189" s="1139">
        <f t="shared" si="123"/>
        <v>0.16639742105263158</v>
      </c>
      <c r="AE189" s="1116">
        <f t="shared" si="199"/>
        <v>312192143</v>
      </c>
      <c r="AF189" s="1486" t="s">
        <v>887</v>
      </c>
      <c r="AG189" s="539" t="s">
        <v>887</v>
      </c>
      <c r="AH189" s="1089" t="e">
        <f t="shared" si="124"/>
        <v>#VALUE!</v>
      </c>
      <c r="AI189" s="1118">
        <v>800000000</v>
      </c>
      <c r="AJ189" s="1118">
        <f t="shared" si="193"/>
        <v>375423163</v>
      </c>
      <c r="AK189" s="1139">
        <f t="shared" si="125"/>
        <v>0.46927895375000001</v>
      </c>
      <c r="AL189" s="1140"/>
      <c r="AM189" s="1119"/>
      <c r="AN189" s="1012" t="s">
        <v>302</v>
      </c>
      <c r="AO189" s="455" t="s">
        <v>919</v>
      </c>
      <c r="AP189" s="93"/>
      <c r="AQ189" s="93"/>
    </row>
    <row r="190" spans="1:43" s="617" customFormat="1" ht="42.75" customHeight="1" thickBot="1">
      <c r="A190" s="1490" t="s">
        <v>434</v>
      </c>
      <c r="B190" s="171"/>
      <c r="C190" s="871"/>
      <c r="D190" s="844"/>
      <c r="E190" s="1491"/>
      <c r="F190" s="871"/>
      <c r="G190" s="871"/>
      <c r="H190" s="915">
        <f>+(H191*100%)</f>
        <v>0.93160000000000009</v>
      </c>
      <c r="I190" s="1492">
        <f>+(I191*X191)+(I200*X200)</f>
        <v>0.74998719999999996</v>
      </c>
      <c r="J190" s="1493"/>
      <c r="K190" s="1494"/>
      <c r="L190" s="172"/>
      <c r="M190" s="1495"/>
      <c r="N190" s="1495"/>
      <c r="O190" s="288"/>
      <c r="P190" s="288"/>
      <c r="Q190" s="288"/>
      <c r="R190" s="1496"/>
      <c r="S190" s="288"/>
      <c r="T190" s="289"/>
      <c r="U190" s="280"/>
      <c r="V190" s="1552">
        <f>+(V191*W191)+(V200*W200)</f>
        <v>0.46116550000000001</v>
      </c>
      <c r="W190" s="915">
        <v>0.25</v>
      </c>
      <c r="X190" s="897">
        <v>0.28999999999999998</v>
      </c>
      <c r="Y190" s="1498">
        <f>+Y191+Y200</f>
        <v>2210000000</v>
      </c>
      <c r="Z190" s="1498">
        <f>+Z191+Z200</f>
        <v>1771156569</v>
      </c>
      <c r="AA190" s="1498">
        <f>+AA191+AA200</f>
        <v>2156403564</v>
      </c>
      <c r="AB190" s="1499">
        <f t="shared" si="122"/>
        <v>0.97574821900452491</v>
      </c>
      <c r="AC190" s="1498">
        <f>+AC191+AC200</f>
        <v>1910274275</v>
      </c>
      <c r="AD190" s="1492">
        <f t="shared" si="123"/>
        <v>0.86437750000000002</v>
      </c>
      <c r="AE190" s="171">
        <f>+AE191+AE200</f>
        <v>246129289</v>
      </c>
      <c r="AF190" s="1495">
        <f>+AF191+AF200</f>
        <v>362675833</v>
      </c>
      <c r="AG190" s="1498">
        <f>+AG191+AG200</f>
        <v>344200542</v>
      </c>
      <c r="AH190" s="958">
        <f t="shared" si="124"/>
        <v>0.94905838956189836</v>
      </c>
      <c r="AI190" s="1498">
        <f t="shared" ref="AI190:AJ190" si="201">+AI191+AI200</f>
        <v>7110000000</v>
      </c>
      <c r="AJ190" s="1498">
        <f t="shared" si="201"/>
        <v>3927560133</v>
      </c>
      <c r="AK190" s="1492">
        <f t="shared" si="125"/>
        <v>0.55239945611814345</v>
      </c>
      <c r="AL190" s="172"/>
      <c r="AM190" s="172" t="s">
        <v>293</v>
      </c>
      <c r="AN190" s="1495"/>
      <c r="AO190" s="171"/>
      <c r="AP190" s="1493"/>
      <c r="AQ190" s="1493"/>
    </row>
    <row r="191" spans="1:43" ht="54" customHeight="1" thickBot="1">
      <c r="A191" s="961" t="s">
        <v>485</v>
      </c>
      <c r="B191" s="962"/>
      <c r="C191" s="861"/>
      <c r="D191" s="826"/>
      <c r="E191" s="963"/>
      <c r="F191" s="861"/>
      <c r="G191" s="861"/>
      <c r="H191" s="964">
        <f>+(H192*36%)+(H193*16%)+(H194*14%)+(H197*18%)+(H198*16%)</f>
        <v>0.93160000000000009</v>
      </c>
      <c r="I191" s="973">
        <f>+SUMPRODUCT(I192:I199,X192:X199)</f>
        <v>0.72220799999999996</v>
      </c>
      <c r="J191" s="286"/>
      <c r="K191" s="284"/>
      <c r="L191" s="966"/>
      <c r="M191" s="965"/>
      <c r="N191" s="965"/>
      <c r="O191" s="1466"/>
      <c r="P191" s="1466"/>
      <c r="Q191" s="1466"/>
      <c r="R191" s="1099"/>
      <c r="S191" s="1466"/>
      <c r="T191" s="1467"/>
      <c r="U191" s="969"/>
      <c r="V191" s="1199">
        <f>+SUMPRODUCT(V192:V199,W192:W199)</f>
        <v>0.40129499999999996</v>
      </c>
      <c r="W191" s="964">
        <v>0.9</v>
      </c>
      <c r="X191" s="879">
        <v>0.9</v>
      </c>
      <c r="Y191" s="971">
        <f>SUM(Y192:Y199)</f>
        <v>1960000000</v>
      </c>
      <c r="Z191" s="971">
        <f>SUM(Z192:Z199)</f>
        <v>1771156569</v>
      </c>
      <c r="AA191" s="971">
        <f>SUM(AA192:AA199)</f>
        <v>1912286166</v>
      </c>
      <c r="AB191" s="972">
        <f t="shared" si="122"/>
        <v>0.97565620714285717</v>
      </c>
      <c r="AC191" s="976">
        <f>SUM(AC192:AC199)</f>
        <v>1688979721</v>
      </c>
      <c r="AD191" s="973">
        <f t="shared" si="123"/>
        <v>0.86172434744897963</v>
      </c>
      <c r="AE191" s="974">
        <f>SUM(AE192:AE199)</f>
        <v>223306445</v>
      </c>
      <c r="AF191" s="965">
        <f>SUM(AF192:AF199)</f>
        <v>362675833</v>
      </c>
      <c r="AG191" s="971">
        <f>SUM(AG192:AG199)</f>
        <v>344200542</v>
      </c>
      <c r="AH191" s="967">
        <f t="shared" si="124"/>
        <v>0.94905838956189836</v>
      </c>
      <c r="AI191" s="971">
        <f t="shared" ref="AI191:AJ191" si="202">SUM(AI192:AI199)</f>
        <v>6860000000</v>
      </c>
      <c r="AJ191" s="971">
        <f t="shared" si="202"/>
        <v>3683442735</v>
      </c>
      <c r="AK191" s="973">
        <f t="shared" si="125"/>
        <v>0.5369450051020408</v>
      </c>
      <c r="AL191" s="975"/>
      <c r="AM191" s="975"/>
      <c r="AN191" s="283"/>
      <c r="AO191" s="974"/>
      <c r="AP191" s="286"/>
      <c r="AQ191" s="286"/>
    </row>
    <row r="192" spans="1:43" ht="140.25" customHeight="1">
      <c r="A192" s="346" t="s">
        <v>632</v>
      </c>
      <c r="B192" s="450" t="s">
        <v>808</v>
      </c>
      <c r="C192" s="1553">
        <v>1</v>
      </c>
      <c r="D192" s="405">
        <v>1</v>
      </c>
      <c r="E192" s="1554">
        <v>0.93500000000000005</v>
      </c>
      <c r="F192" s="863">
        <v>0.82</v>
      </c>
      <c r="G192" s="863">
        <v>2.5000000000000001E-2</v>
      </c>
      <c r="H192" s="1090">
        <f>IF((E192+G192)/C192&gt;=100%,100%,(E192+G192)/C192)</f>
        <v>0.96000000000000008</v>
      </c>
      <c r="I192" s="1107">
        <f t="shared" ref="I192:I199" si="203">IF(F192/D192&gt;=100%,100%,F192/D192)</f>
        <v>0.82</v>
      </c>
      <c r="J192" s="1514" t="s">
        <v>1550</v>
      </c>
      <c r="K192" s="1520"/>
      <c r="L192" s="1085"/>
      <c r="M192" s="1086"/>
      <c r="N192" s="1084"/>
      <c r="O192" s="1521"/>
      <c r="P192" s="1521"/>
      <c r="Q192" s="1521"/>
      <c r="R192" s="1088"/>
      <c r="S192" s="1521"/>
      <c r="T192" s="300">
        <v>4</v>
      </c>
      <c r="U192" s="1090">
        <f>SUM(E192:G192)</f>
        <v>1.7799999999999998</v>
      </c>
      <c r="V192" s="1438">
        <f t="shared" ref="V192:V199" si="204">IF(U192/T192&gt;=100%,100%,U192/T192)</f>
        <v>0.44499999999999995</v>
      </c>
      <c r="W192" s="1555">
        <v>0.3</v>
      </c>
      <c r="X192" s="884">
        <v>0.3</v>
      </c>
      <c r="Y192" s="1556">
        <v>600000000</v>
      </c>
      <c r="Z192" s="373">
        <f>299700000+367923631+632082938</f>
        <v>1299706569</v>
      </c>
      <c r="AA192" s="373">
        <v>591956476</v>
      </c>
      <c r="AB192" s="1106">
        <f t="shared" si="122"/>
        <v>0.98659412666666668</v>
      </c>
      <c r="AC192" s="373">
        <v>533085672</v>
      </c>
      <c r="AD192" s="1425">
        <f t="shared" si="123"/>
        <v>0.88847611999999998</v>
      </c>
      <c r="AE192" s="1108">
        <f>+AA192-AC192</f>
        <v>58870804</v>
      </c>
      <c r="AF192" s="1503">
        <f>43164523+100161310+45400000</f>
        <v>188725833</v>
      </c>
      <c r="AG192" s="373">
        <f>35671583+89178959+45400000</f>
        <v>170250542</v>
      </c>
      <c r="AH192" s="1089">
        <f t="shared" si="124"/>
        <v>0.90210512940218412</v>
      </c>
      <c r="AI192" s="1110">
        <f>4900000000/2</f>
        <v>2450000000</v>
      </c>
      <c r="AJ192" s="1110">
        <f t="shared" ref="AJ192:AJ201" si="205">+SUM(Z192:AA192)</f>
        <v>1891663045</v>
      </c>
      <c r="AK192" s="1425">
        <f t="shared" si="125"/>
        <v>0.77210736530612245</v>
      </c>
      <c r="AL192" s="1328"/>
      <c r="AM192" s="1111"/>
      <c r="AN192" s="190" t="s">
        <v>25</v>
      </c>
      <c r="AO192" s="1504" t="s">
        <v>890</v>
      </c>
      <c r="AP192" s="1047"/>
      <c r="AQ192" s="1047"/>
    </row>
    <row r="193" spans="1:43" ht="98.25" customHeight="1">
      <c r="A193" s="346" t="s">
        <v>633</v>
      </c>
      <c r="B193" s="450" t="s">
        <v>809</v>
      </c>
      <c r="C193" s="1553">
        <v>1</v>
      </c>
      <c r="D193" s="405">
        <v>1</v>
      </c>
      <c r="E193" s="301">
        <v>0.85</v>
      </c>
      <c r="F193" s="872">
        <v>0.43</v>
      </c>
      <c r="G193" s="872">
        <v>0.11</v>
      </c>
      <c r="H193" s="1010">
        <f t="shared" ref="H193:H197" si="206">IF((E193+G193)/C193&gt;=100%,100%,(E193+G193)/C193)</f>
        <v>0.96</v>
      </c>
      <c r="I193" s="1115">
        <f t="shared" si="203"/>
        <v>0.43</v>
      </c>
      <c r="J193" s="1230" t="s">
        <v>1551</v>
      </c>
      <c r="K193" s="1525"/>
      <c r="L193" s="1014"/>
      <c r="M193" s="1015"/>
      <c r="N193" s="1013"/>
      <c r="O193" s="1526"/>
      <c r="P193" s="1526"/>
      <c r="Q193" s="1526"/>
      <c r="R193" s="1017"/>
      <c r="S193" s="1526"/>
      <c r="T193" s="300">
        <v>4</v>
      </c>
      <c r="U193" s="1010">
        <f>SUM(E193:G193)</f>
        <v>1.3900000000000001</v>
      </c>
      <c r="V193" s="1438">
        <f t="shared" si="204"/>
        <v>0.34750000000000003</v>
      </c>
      <c r="W193" s="1555">
        <v>0.1</v>
      </c>
      <c r="X193" s="881">
        <v>0.14000000000000001</v>
      </c>
      <c r="Y193" s="606">
        <v>600000000</v>
      </c>
      <c r="Z193" s="373">
        <v>299800000</v>
      </c>
      <c r="AA193" s="373">
        <v>591956476</v>
      </c>
      <c r="AB193" s="1114">
        <f t="shared" si="122"/>
        <v>0.98659412666666668</v>
      </c>
      <c r="AC193" s="373">
        <v>522105349</v>
      </c>
      <c r="AD193" s="1134">
        <f t="shared" si="123"/>
        <v>0.87017558166666664</v>
      </c>
      <c r="AE193" s="1116">
        <f>+AA193-AC193</f>
        <v>69851127</v>
      </c>
      <c r="AF193" s="1503">
        <v>123000000</v>
      </c>
      <c r="AG193" s="373">
        <v>123000000</v>
      </c>
      <c r="AH193" s="1089">
        <f t="shared" si="124"/>
        <v>1</v>
      </c>
      <c r="AI193" s="1118">
        <f>4900000000/2</f>
        <v>2450000000</v>
      </c>
      <c r="AJ193" s="1118">
        <f t="shared" si="205"/>
        <v>891756476</v>
      </c>
      <c r="AK193" s="1139">
        <f t="shared" si="125"/>
        <v>0.36398223510204081</v>
      </c>
      <c r="AL193" s="1140"/>
      <c r="AM193" s="1119"/>
      <c r="AN193" s="152" t="s">
        <v>26</v>
      </c>
      <c r="AO193" s="1557" t="s">
        <v>890</v>
      </c>
      <c r="AP193" s="93"/>
      <c r="AQ193" s="93"/>
    </row>
    <row r="194" spans="1:43" ht="93" customHeight="1">
      <c r="A194" s="346" t="s">
        <v>634</v>
      </c>
      <c r="B194" s="456" t="s">
        <v>882</v>
      </c>
      <c r="C194" s="1553">
        <v>1</v>
      </c>
      <c r="D194" s="405">
        <v>1</v>
      </c>
      <c r="E194" s="301">
        <v>0.66</v>
      </c>
      <c r="F194" s="872">
        <v>0.81</v>
      </c>
      <c r="G194" s="859"/>
      <c r="H194" s="1010">
        <f t="shared" si="206"/>
        <v>0.66</v>
      </c>
      <c r="I194" s="1115">
        <f t="shared" si="203"/>
        <v>0.81</v>
      </c>
      <c r="J194" s="1230" t="s">
        <v>1552</v>
      </c>
      <c r="K194" s="1525"/>
      <c r="L194" s="1014"/>
      <c r="M194" s="1015"/>
      <c r="N194" s="1013"/>
      <c r="O194" s="1526"/>
      <c r="P194" s="1526"/>
      <c r="Q194" s="1526"/>
      <c r="R194" s="1017"/>
      <c r="S194" s="1526"/>
      <c r="T194" s="300">
        <v>4</v>
      </c>
      <c r="U194" s="1010">
        <f>SUM(E194:G194)</f>
        <v>1.4700000000000002</v>
      </c>
      <c r="V194" s="1438">
        <f t="shared" si="204"/>
        <v>0.36750000000000005</v>
      </c>
      <c r="W194" s="1555">
        <v>0.08</v>
      </c>
      <c r="X194" s="881">
        <v>0.08</v>
      </c>
      <c r="Y194" s="540">
        <v>60000000</v>
      </c>
      <c r="Z194" s="373">
        <v>55450000</v>
      </c>
      <c r="AA194" s="373">
        <v>58918176</v>
      </c>
      <c r="AB194" s="1114">
        <f t="shared" si="122"/>
        <v>0.9819696</v>
      </c>
      <c r="AC194" s="373">
        <v>37870506</v>
      </c>
      <c r="AD194" s="1134">
        <f t="shared" si="123"/>
        <v>0.63117509999999999</v>
      </c>
      <c r="AE194" s="1116">
        <f>+AA194-AC194</f>
        <v>21047670</v>
      </c>
      <c r="AF194" s="1503">
        <v>32850000</v>
      </c>
      <c r="AG194" s="373">
        <v>32850000</v>
      </c>
      <c r="AH194" s="1089">
        <f t="shared" si="124"/>
        <v>1</v>
      </c>
      <c r="AI194" s="1118">
        <v>240000000</v>
      </c>
      <c r="AJ194" s="1118">
        <f t="shared" si="205"/>
        <v>114368176</v>
      </c>
      <c r="AK194" s="1139">
        <f t="shared" si="125"/>
        <v>0.47653406666666664</v>
      </c>
      <c r="AL194" s="1140"/>
      <c r="AM194" s="1119"/>
      <c r="AN194" s="152" t="s">
        <v>302</v>
      </c>
      <c r="AO194" s="1557" t="s">
        <v>1523</v>
      </c>
      <c r="AP194" s="93"/>
      <c r="AQ194" s="93"/>
    </row>
    <row r="195" spans="1:43" ht="90" customHeight="1">
      <c r="A195" s="346" t="s">
        <v>635</v>
      </c>
      <c r="B195" s="450" t="s">
        <v>760</v>
      </c>
      <c r="C195" s="1558">
        <v>0</v>
      </c>
      <c r="D195" s="406">
        <v>1</v>
      </c>
      <c r="E195" s="1559">
        <v>0</v>
      </c>
      <c r="F195" s="859">
        <v>1</v>
      </c>
      <c r="G195" s="859"/>
      <c r="H195" s="1010" t="e">
        <f t="shared" si="206"/>
        <v>#DIV/0!</v>
      </c>
      <c r="I195" s="1115">
        <f t="shared" si="203"/>
        <v>1</v>
      </c>
      <c r="J195" s="1230" t="s">
        <v>1553</v>
      </c>
      <c r="K195" s="1525"/>
      <c r="L195" s="1014"/>
      <c r="M195" s="1015"/>
      <c r="N195" s="1013"/>
      <c r="O195" s="1526"/>
      <c r="P195" s="1526"/>
      <c r="Q195" s="1526"/>
      <c r="R195" s="1017"/>
      <c r="S195" s="1526"/>
      <c r="T195" s="302">
        <v>1</v>
      </c>
      <c r="U195" s="1008">
        <f>SUM(E195:G195)</f>
        <v>1</v>
      </c>
      <c r="V195" s="1438">
        <f t="shared" si="204"/>
        <v>1</v>
      </c>
      <c r="W195" s="1555">
        <v>0.1</v>
      </c>
      <c r="X195" s="881">
        <v>0.1</v>
      </c>
      <c r="Y195" s="540">
        <v>250000000</v>
      </c>
      <c r="Z195" s="373" t="s">
        <v>887</v>
      </c>
      <c r="AA195" s="373">
        <v>244443805</v>
      </c>
      <c r="AB195" s="1114">
        <f t="shared" si="122"/>
        <v>0.97777521999999994</v>
      </c>
      <c r="AC195" s="373">
        <v>231001294</v>
      </c>
      <c r="AD195" s="1134">
        <f t="shared" si="123"/>
        <v>0.92400517599999998</v>
      </c>
      <c r="AE195" s="1116">
        <f>+AA195-AC195</f>
        <v>13442511</v>
      </c>
      <c r="AF195" s="1503" t="s">
        <v>887</v>
      </c>
      <c r="AG195" s="373" t="s">
        <v>887</v>
      </c>
      <c r="AH195" s="1089" t="e">
        <f t="shared" si="124"/>
        <v>#VALUE!</v>
      </c>
      <c r="AI195" s="1118">
        <v>250000000</v>
      </c>
      <c r="AJ195" s="1118">
        <f t="shared" si="205"/>
        <v>244443805</v>
      </c>
      <c r="AK195" s="1134">
        <f t="shared" si="125"/>
        <v>0.97777521999999994</v>
      </c>
      <c r="AL195" s="1140"/>
      <c r="AM195" s="1119"/>
      <c r="AN195" s="152" t="s">
        <v>302</v>
      </c>
      <c r="AO195" s="1557" t="s">
        <v>890</v>
      </c>
      <c r="AP195" s="93"/>
      <c r="AQ195" s="93"/>
    </row>
    <row r="196" spans="1:43" ht="51.75" customHeight="1">
      <c r="A196" s="346" t="s">
        <v>636</v>
      </c>
      <c r="B196" s="450" t="s">
        <v>810</v>
      </c>
      <c r="C196" s="1553">
        <v>0</v>
      </c>
      <c r="D196" s="405">
        <v>0</v>
      </c>
      <c r="E196" s="301">
        <v>0</v>
      </c>
      <c r="F196" s="301">
        <v>0</v>
      </c>
      <c r="G196" s="859"/>
      <c r="H196" s="1010" t="e">
        <f t="shared" si="206"/>
        <v>#DIV/0!</v>
      </c>
      <c r="I196" s="1115">
        <v>0</v>
      </c>
      <c r="J196" s="1230"/>
      <c r="K196" s="1525"/>
      <c r="L196" s="1014"/>
      <c r="M196" s="1015"/>
      <c r="N196" s="1013"/>
      <c r="O196" s="1526"/>
      <c r="P196" s="1526"/>
      <c r="Q196" s="1526"/>
      <c r="R196" s="1017"/>
      <c r="S196" s="1526"/>
      <c r="T196" s="300">
        <v>1</v>
      </c>
      <c r="U196" s="1010">
        <f>SUM(E196:G196)</f>
        <v>0</v>
      </c>
      <c r="V196" s="1438">
        <f t="shared" si="204"/>
        <v>0</v>
      </c>
      <c r="W196" s="1555">
        <v>0.1</v>
      </c>
      <c r="X196" s="881">
        <v>0</v>
      </c>
      <c r="Y196" s="1560" t="s">
        <v>887</v>
      </c>
      <c r="Z196" s="373" t="s">
        <v>887</v>
      </c>
      <c r="AA196" s="373" t="s">
        <v>887</v>
      </c>
      <c r="AB196" s="1114" t="e">
        <f t="shared" si="122"/>
        <v>#VALUE!</v>
      </c>
      <c r="AC196" s="373">
        <v>0</v>
      </c>
      <c r="AD196" s="1130" t="e">
        <f t="shared" si="123"/>
        <v>#VALUE!</v>
      </c>
      <c r="AE196" s="1135"/>
      <c r="AF196" s="1503" t="s">
        <v>887</v>
      </c>
      <c r="AG196" s="373" t="s">
        <v>887</v>
      </c>
      <c r="AH196" s="1089" t="e">
        <f t="shared" si="124"/>
        <v>#VALUE!</v>
      </c>
      <c r="AI196" s="1118">
        <v>200000000</v>
      </c>
      <c r="AJ196" s="1118">
        <f t="shared" si="205"/>
        <v>0</v>
      </c>
      <c r="AK196" s="1139">
        <f t="shared" si="125"/>
        <v>0</v>
      </c>
      <c r="AL196" s="1140"/>
      <c r="AM196" s="1119"/>
      <c r="AN196" s="152" t="s">
        <v>302</v>
      </c>
      <c r="AO196" s="1557" t="s">
        <v>890</v>
      </c>
      <c r="AP196" s="93"/>
      <c r="AQ196" s="93"/>
    </row>
    <row r="197" spans="1:43" ht="171.75" customHeight="1">
      <c r="A197" s="346" t="s">
        <v>637</v>
      </c>
      <c r="B197" s="450" t="s">
        <v>811</v>
      </c>
      <c r="C197" s="1553">
        <v>1</v>
      </c>
      <c r="D197" s="405">
        <v>1</v>
      </c>
      <c r="E197" s="301">
        <v>1</v>
      </c>
      <c r="F197" s="872">
        <v>0.83499999999999996</v>
      </c>
      <c r="G197" s="859"/>
      <c r="H197" s="1010">
        <f t="shared" si="206"/>
        <v>1</v>
      </c>
      <c r="I197" s="1010">
        <f t="shared" si="203"/>
        <v>0.83499999999999996</v>
      </c>
      <c r="J197" s="1230" t="s">
        <v>1554</v>
      </c>
      <c r="K197" s="1525"/>
      <c r="L197" s="1014"/>
      <c r="M197" s="1015"/>
      <c r="N197" s="1013"/>
      <c r="O197" s="1526"/>
      <c r="P197" s="1526"/>
      <c r="Q197" s="1526"/>
      <c r="R197" s="1017"/>
      <c r="S197" s="1526"/>
      <c r="T197" s="300">
        <v>4</v>
      </c>
      <c r="U197" s="1010">
        <f t="shared" ref="U197:U199" si="207">SUM(E197:G197)</f>
        <v>1.835</v>
      </c>
      <c r="V197" s="1438">
        <f t="shared" si="204"/>
        <v>0.45874999999999999</v>
      </c>
      <c r="W197" s="1555">
        <v>0.12</v>
      </c>
      <c r="X197" s="881">
        <v>0.12</v>
      </c>
      <c r="Y197" s="543">
        <v>130000000</v>
      </c>
      <c r="Z197" s="373">
        <v>60000000</v>
      </c>
      <c r="AA197" s="373">
        <v>127981050</v>
      </c>
      <c r="AB197" s="1114">
        <f t="shared" si="122"/>
        <v>0.98446961538461542</v>
      </c>
      <c r="AC197" s="373">
        <v>119177761</v>
      </c>
      <c r="AD197" s="1134">
        <f t="shared" si="123"/>
        <v>0.91675200769230769</v>
      </c>
      <c r="AE197" s="1116">
        <f>+AA197-AC197</f>
        <v>8803289</v>
      </c>
      <c r="AF197" s="1503">
        <v>4300000</v>
      </c>
      <c r="AG197" s="373">
        <v>4300000</v>
      </c>
      <c r="AH197" s="1089">
        <f t="shared" si="124"/>
        <v>1</v>
      </c>
      <c r="AI197" s="1118">
        <v>435000000</v>
      </c>
      <c r="AJ197" s="1118">
        <f t="shared" si="205"/>
        <v>187981050</v>
      </c>
      <c r="AK197" s="1139">
        <f t="shared" si="125"/>
        <v>0.43214034482758623</v>
      </c>
      <c r="AL197" s="1140"/>
      <c r="AM197" s="1119"/>
      <c r="AN197" s="152" t="s">
        <v>302</v>
      </c>
      <c r="AO197" s="1557" t="s">
        <v>890</v>
      </c>
      <c r="AP197" s="93"/>
      <c r="AQ197" s="93"/>
    </row>
    <row r="198" spans="1:43" ht="105" customHeight="1">
      <c r="A198" s="346" t="s">
        <v>638</v>
      </c>
      <c r="B198" s="456" t="s">
        <v>881</v>
      </c>
      <c r="C198" s="1553">
        <v>1</v>
      </c>
      <c r="D198" s="405">
        <v>1</v>
      </c>
      <c r="E198" s="301">
        <v>1</v>
      </c>
      <c r="F198" s="872">
        <v>0.94379999999999997</v>
      </c>
      <c r="G198" s="859"/>
      <c r="H198" s="1010">
        <f>IF((E198+G198)/C198&gt;=100%,100%,(E198+G198)/C198)</f>
        <v>1</v>
      </c>
      <c r="I198" s="1115">
        <f t="shared" si="203"/>
        <v>0.94379999999999997</v>
      </c>
      <c r="J198" s="1230" t="s">
        <v>1555</v>
      </c>
      <c r="K198" s="1525"/>
      <c r="L198" s="1014"/>
      <c r="M198" s="1015"/>
      <c r="N198" s="1013"/>
      <c r="O198" s="1526"/>
      <c r="P198" s="1526"/>
      <c r="Q198" s="1526"/>
      <c r="R198" s="1017"/>
      <c r="S198" s="1526"/>
      <c r="T198" s="300">
        <v>4</v>
      </c>
      <c r="U198" s="1010">
        <f t="shared" si="207"/>
        <v>1.9438</v>
      </c>
      <c r="V198" s="1438">
        <f t="shared" si="204"/>
        <v>0.48594999999999999</v>
      </c>
      <c r="W198" s="1555">
        <v>0.1</v>
      </c>
      <c r="X198" s="881">
        <v>0.16</v>
      </c>
      <c r="Y198" s="543">
        <v>120000000</v>
      </c>
      <c r="Z198" s="373">
        <v>56200000</v>
      </c>
      <c r="AA198" s="373">
        <v>118136352</v>
      </c>
      <c r="AB198" s="1114">
        <f t="shared" si="122"/>
        <v>0.98446959999999994</v>
      </c>
      <c r="AC198" s="373">
        <v>112404117</v>
      </c>
      <c r="AD198" s="1134">
        <f t="shared" si="123"/>
        <v>0.93670097500000005</v>
      </c>
      <c r="AE198" s="1116">
        <f>+AA198-AC198</f>
        <v>5732235</v>
      </c>
      <c r="AF198" s="1503">
        <v>13800000</v>
      </c>
      <c r="AG198" s="373">
        <v>13800000</v>
      </c>
      <c r="AH198" s="1089">
        <f t="shared" si="124"/>
        <v>1</v>
      </c>
      <c r="AI198" s="1118">
        <v>435000000</v>
      </c>
      <c r="AJ198" s="1118">
        <f t="shared" si="205"/>
        <v>174336352</v>
      </c>
      <c r="AK198" s="1139">
        <f t="shared" si="125"/>
        <v>0.40077322298850576</v>
      </c>
      <c r="AL198" s="1140"/>
      <c r="AM198" s="1119"/>
      <c r="AN198" s="152" t="s">
        <v>302</v>
      </c>
      <c r="AO198" s="1557" t="s">
        <v>920</v>
      </c>
      <c r="AP198" s="93"/>
      <c r="AQ198" s="93"/>
    </row>
    <row r="199" spans="1:43" ht="96" customHeight="1" thickBot="1">
      <c r="A199" s="1468" t="s">
        <v>639</v>
      </c>
      <c r="B199" s="1475" t="s">
        <v>812</v>
      </c>
      <c r="C199" s="1561">
        <v>0</v>
      </c>
      <c r="D199" s="848">
        <v>1</v>
      </c>
      <c r="E199" s="1562">
        <v>0</v>
      </c>
      <c r="F199" s="866">
        <v>0</v>
      </c>
      <c r="G199" s="866"/>
      <c r="H199" s="1139" t="e">
        <f t="shared" ref="H199" si="208">IF((E199+G199)/C199&gt;=100%,100%,(E199+G199)/C199)</f>
        <v>#DIV/0!</v>
      </c>
      <c r="I199" s="1134">
        <f t="shared" si="203"/>
        <v>0</v>
      </c>
      <c r="J199" s="1230" t="s">
        <v>1556</v>
      </c>
      <c r="K199" s="1525"/>
      <c r="L199" s="1220"/>
      <c r="M199" s="1221"/>
      <c r="N199" s="1219"/>
      <c r="O199" s="1526"/>
      <c r="P199" s="1526"/>
      <c r="Q199" s="1526"/>
      <c r="R199" s="1223"/>
      <c r="S199" s="1526"/>
      <c r="T199" s="1563">
        <v>1</v>
      </c>
      <c r="U199" s="1130">
        <f t="shared" si="207"/>
        <v>0</v>
      </c>
      <c r="V199" s="1430">
        <f t="shared" si="204"/>
        <v>0</v>
      </c>
      <c r="W199" s="1564">
        <v>0.1</v>
      </c>
      <c r="X199" s="885">
        <v>0.1</v>
      </c>
      <c r="Y199" s="1510">
        <v>200000000</v>
      </c>
      <c r="Z199" s="1565" t="s">
        <v>887</v>
      </c>
      <c r="AA199" s="1565">
        <v>178893831</v>
      </c>
      <c r="AB199" s="1133">
        <f t="shared" si="122"/>
        <v>0.89446915500000002</v>
      </c>
      <c r="AC199" s="1565">
        <v>133335022</v>
      </c>
      <c r="AD199" s="1134">
        <f t="shared" si="123"/>
        <v>0.66667511000000002</v>
      </c>
      <c r="AE199" s="1135">
        <f>+AA199-AC199</f>
        <v>45558809</v>
      </c>
      <c r="AF199" s="1566" t="s">
        <v>887</v>
      </c>
      <c r="AG199" s="1565" t="s">
        <v>887</v>
      </c>
      <c r="AH199" s="1136" t="e">
        <f t="shared" si="124"/>
        <v>#VALUE!</v>
      </c>
      <c r="AI199" s="1138">
        <v>400000000</v>
      </c>
      <c r="AJ199" s="1138">
        <f t="shared" si="205"/>
        <v>178893831</v>
      </c>
      <c r="AK199" s="1139">
        <f t="shared" si="125"/>
        <v>0.44723457750000001</v>
      </c>
      <c r="AL199" s="1140"/>
      <c r="AM199" s="1140"/>
      <c r="AN199" s="189" t="s">
        <v>302</v>
      </c>
      <c r="AO199" s="1512" t="s">
        <v>920</v>
      </c>
      <c r="AP199" s="1037"/>
      <c r="AQ199" s="1037"/>
    </row>
    <row r="200" spans="1:43" ht="54" customHeight="1" thickBot="1">
      <c r="A200" s="961" t="s">
        <v>486</v>
      </c>
      <c r="B200" s="962"/>
      <c r="C200" s="861"/>
      <c r="D200" s="826"/>
      <c r="E200" s="963"/>
      <c r="F200" s="861"/>
      <c r="G200" s="861"/>
      <c r="H200" s="964">
        <v>0</v>
      </c>
      <c r="I200" s="973">
        <f>+SUMPRODUCT(I201:I201,X201:X201)</f>
        <v>1</v>
      </c>
      <c r="J200" s="286"/>
      <c r="K200" s="284"/>
      <c r="L200" s="966"/>
      <c r="M200" s="965"/>
      <c r="N200" s="965"/>
      <c r="O200" s="1466"/>
      <c r="P200" s="1466"/>
      <c r="Q200" s="1466"/>
      <c r="R200" s="1099"/>
      <c r="S200" s="1466"/>
      <c r="T200" s="1289"/>
      <c r="U200" s="969"/>
      <c r="V200" s="1199">
        <f>+SUMPRODUCT(V201:V201,W201:W201)</f>
        <v>1</v>
      </c>
      <c r="W200" s="964">
        <v>0.1</v>
      </c>
      <c r="X200" s="879">
        <v>0.1</v>
      </c>
      <c r="Y200" s="971">
        <f>SUM(Y201)</f>
        <v>250000000</v>
      </c>
      <c r="Z200" s="971">
        <f>SUM(Z201)</f>
        <v>0</v>
      </c>
      <c r="AA200" s="971">
        <f>SUM(AA201)</f>
        <v>244117398</v>
      </c>
      <c r="AB200" s="972">
        <f t="shared" si="122"/>
        <v>0.97646959200000005</v>
      </c>
      <c r="AC200" s="971">
        <f>SUM(AC201)</f>
        <v>221294554</v>
      </c>
      <c r="AD200" s="973">
        <f t="shared" si="123"/>
        <v>0.88517821600000002</v>
      </c>
      <c r="AE200" s="974">
        <f>SUM(AE201)</f>
        <v>22822844</v>
      </c>
      <c r="AF200" s="965">
        <f>SUM(AF201)</f>
        <v>0</v>
      </c>
      <c r="AG200" s="971">
        <f>SUM(AG201)</f>
        <v>0</v>
      </c>
      <c r="AH200" s="967" t="e">
        <f t="shared" si="124"/>
        <v>#DIV/0!</v>
      </c>
      <c r="AI200" s="971">
        <f t="shared" ref="AI200:AJ200" si="209">SUM(AI201)</f>
        <v>250000000</v>
      </c>
      <c r="AJ200" s="971">
        <f t="shared" si="209"/>
        <v>244117398</v>
      </c>
      <c r="AK200" s="973">
        <f t="shared" si="125"/>
        <v>0.97646959200000005</v>
      </c>
      <c r="AL200" s="975"/>
      <c r="AM200" s="975"/>
      <c r="AN200" s="283"/>
      <c r="AO200" s="974"/>
      <c r="AP200" s="286"/>
      <c r="AQ200" s="286"/>
    </row>
    <row r="201" spans="1:43" ht="108.75" customHeight="1" thickBot="1">
      <c r="A201" s="348" t="s">
        <v>640</v>
      </c>
      <c r="B201" s="1513" t="s">
        <v>813</v>
      </c>
      <c r="C201" s="1469">
        <v>0</v>
      </c>
      <c r="D201" s="842">
        <v>1</v>
      </c>
      <c r="E201" s="1269">
        <v>0</v>
      </c>
      <c r="F201" s="867">
        <v>1</v>
      </c>
      <c r="G201" s="867"/>
      <c r="H201" s="1270" t="e">
        <f t="shared" ref="H201" si="210">IF((E201+G201)/C201&gt;=100%,100%,(E201+G201)/C201)</f>
        <v>#DIV/0!</v>
      </c>
      <c r="I201" s="1331">
        <f t="shared" ref="I201" si="211">IF(F201/D201&gt;=100%,100%,F201/D201)</f>
        <v>1</v>
      </c>
      <c r="J201" s="1175" t="s">
        <v>1557</v>
      </c>
      <c r="L201" s="1274"/>
      <c r="M201" s="1275"/>
      <c r="N201" s="1273"/>
      <c r="O201" s="1470"/>
      <c r="P201" s="1470"/>
      <c r="Q201" s="1470"/>
      <c r="R201" s="1277"/>
      <c r="S201" s="1470"/>
      <c r="T201" s="1563">
        <v>1</v>
      </c>
      <c r="U201" s="1278">
        <f>SUM(E201:G201)</f>
        <v>1</v>
      </c>
      <c r="V201" s="1387">
        <f t="shared" ref="V201" si="212">IF(U201/T201&gt;=100%,100%,U201/T201)</f>
        <v>1</v>
      </c>
      <c r="W201" s="1567">
        <v>1</v>
      </c>
      <c r="X201" s="898">
        <v>1</v>
      </c>
      <c r="Y201" s="1483">
        <v>250000000</v>
      </c>
      <c r="Z201" s="1565" t="s">
        <v>887</v>
      </c>
      <c r="AA201" s="1483">
        <v>244117398</v>
      </c>
      <c r="AB201" s="1282">
        <f t="shared" ref="AB201:AB264" si="213">+AA201/Y201</f>
        <v>0.97646959200000005</v>
      </c>
      <c r="AC201" s="1483">
        <v>221294554</v>
      </c>
      <c r="AD201" s="1331">
        <f t="shared" ref="AD201:AD264" si="214">+AC201/Y201</f>
        <v>0.88517821600000002</v>
      </c>
      <c r="AE201" s="1283">
        <f>+AA201-AC201</f>
        <v>22822844</v>
      </c>
      <c r="AF201" s="1566" t="s">
        <v>887</v>
      </c>
      <c r="AG201" s="1565" t="s">
        <v>887</v>
      </c>
      <c r="AH201" s="1053" t="e">
        <f t="shared" ref="AH201:AH264" si="215">+AG201/AF201</f>
        <v>#VALUE!</v>
      </c>
      <c r="AI201" s="1285">
        <v>250000000</v>
      </c>
      <c r="AJ201" s="1285">
        <f t="shared" si="205"/>
        <v>244117398</v>
      </c>
      <c r="AK201" s="1331">
        <f t="shared" si="125"/>
        <v>0.97646959200000005</v>
      </c>
      <c r="AL201" s="1286"/>
      <c r="AM201" s="1286"/>
      <c r="AN201" s="1272" t="s">
        <v>302</v>
      </c>
      <c r="AO201" s="1484" t="s">
        <v>890</v>
      </c>
      <c r="AP201" s="1175"/>
      <c r="AQ201" s="1175"/>
    </row>
    <row r="202" spans="1:43" s="617" customFormat="1" ht="54" customHeight="1" thickBot="1">
      <c r="A202" s="1065" t="s">
        <v>435</v>
      </c>
      <c r="B202" s="1066"/>
      <c r="C202" s="862"/>
      <c r="D202" s="835"/>
      <c r="E202" s="1067"/>
      <c r="F202" s="862"/>
      <c r="G202" s="862"/>
      <c r="H202" s="1077">
        <f>+(H203*W203)</f>
        <v>1</v>
      </c>
      <c r="I202" s="1068">
        <f>+(I203*X203)</f>
        <v>1</v>
      </c>
      <c r="J202" s="1082"/>
      <c r="K202" s="1463"/>
      <c r="L202" s="1071"/>
      <c r="M202" s="1069"/>
      <c r="N202" s="1069"/>
      <c r="O202" s="1464"/>
      <c r="P202" s="1464"/>
      <c r="Q202" s="1464"/>
      <c r="R202" s="1072"/>
      <c r="S202" s="1464"/>
      <c r="T202" s="1465"/>
      <c r="U202" s="1075"/>
      <c r="V202" s="1246">
        <f>+(V203*W203)</f>
        <v>0.4</v>
      </c>
      <c r="W202" s="1077">
        <v>0.15</v>
      </c>
      <c r="X202" s="883">
        <v>0.18</v>
      </c>
      <c r="Y202" s="1078">
        <f>+Y203</f>
        <v>200000000</v>
      </c>
      <c r="Z202" s="1078">
        <f>+Z203</f>
        <v>176700000</v>
      </c>
      <c r="AA202" s="1078">
        <f>+AA203</f>
        <v>181800319</v>
      </c>
      <c r="AB202" s="1079">
        <f t="shared" si="213"/>
        <v>0.909001595</v>
      </c>
      <c r="AC202" s="1078">
        <f>+AC203</f>
        <v>153323642</v>
      </c>
      <c r="AD202" s="1068">
        <f t="shared" si="214"/>
        <v>0.76661820999999997</v>
      </c>
      <c r="AE202" s="1066">
        <f>+AE203</f>
        <v>28476677</v>
      </c>
      <c r="AF202" s="1069">
        <f>+AF203</f>
        <v>79500000</v>
      </c>
      <c r="AG202" s="1078">
        <f>+AG203</f>
        <v>79500000</v>
      </c>
      <c r="AH202" s="1080">
        <f t="shared" si="215"/>
        <v>1</v>
      </c>
      <c r="AI202" s="1078">
        <f t="shared" ref="AI202:AJ202" si="216">+AI203</f>
        <v>2500000000</v>
      </c>
      <c r="AJ202" s="1078">
        <f t="shared" si="216"/>
        <v>358500319</v>
      </c>
      <c r="AK202" s="1077">
        <f t="shared" si="125"/>
        <v>0.14340012760000001</v>
      </c>
      <c r="AL202" s="1071"/>
      <c r="AM202" s="1071" t="s">
        <v>297</v>
      </c>
      <c r="AN202" s="1069"/>
      <c r="AO202" s="1066"/>
      <c r="AP202" s="1082"/>
      <c r="AQ202" s="1082"/>
    </row>
    <row r="203" spans="1:43" ht="48.75" customHeight="1" thickBot="1">
      <c r="A203" s="961" t="s">
        <v>487</v>
      </c>
      <c r="B203" s="962"/>
      <c r="C203" s="861"/>
      <c r="D203" s="826"/>
      <c r="E203" s="963"/>
      <c r="F203" s="861"/>
      <c r="G203" s="861"/>
      <c r="H203" s="964">
        <f>+(H206*50%)+(H207*50%)</f>
        <v>1</v>
      </c>
      <c r="I203" s="973">
        <f>+SUMPRODUCT(I204:I207,X204:X207)</f>
        <v>1</v>
      </c>
      <c r="J203" s="286"/>
      <c r="K203" s="284"/>
      <c r="L203" s="966"/>
      <c r="M203" s="965"/>
      <c r="N203" s="965"/>
      <c r="O203" s="1466"/>
      <c r="P203" s="1466"/>
      <c r="Q203" s="1466"/>
      <c r="R203" s="1099"/>
      <c r="S203" s="1466"/>
      <c r="T203" s="1467"/>
      <c r="U203" s="969"/>
      <c r="V203" s="1199">
        <f>+SUMPRODUCT(V204:V207,W204:W207)</f>
        <v>0.4</v>
      </c>
      <c r="W203" s="964">
        <v>1</v>
      </c>
      <c r="X203" s="879">
        <v>1</v>
      </c>
      <c r="Y203" s="971">
        <f>SUM(Y204:Y207)</f>
        <v>200000000</v>
      </c>
      <c r="Z203" s="971">
        <f>SUM(Z204:Z207)</f>
        <v>176700000</v>
      </c>
      <c r="AA203" s="971">
        <f>SUM(AA204:AA207)</f>
        <v>181800319</v>
      </c>
      <c r="AB203" s="972">
        <f t="shared" si="213"/>
        <v>0.909001595</v>
      </c>
      <c r="AC203" s="971">
        <f>SUM(AC204:AC207)</f>
        <v>153323642</v>
      </c>
      <c r="AD203" s="973">
        <f t="shared" si="214"/>
        <v>0.76661820999999997</v>
      </c>
      <c r="AE203" s="974">
        <f>SUM(AE204:AE207)</f>
        <v>28476677</v>
      </c>
      <c r="AF203" s="965">
        <f>SUM(AF204:AF207)</f>
        <v>79500000</v>
      </c>
      <c r="AG203" s="971">
        <f>SUM(AG204:AG207)</f>
        <v>79500000</v>
      </c>
      <c r="AH203" s="967">
        <f t="shared" si="215"/>
        <v>1</v>
      </c>
      <c r="AI203" s="971">
        <f t="shared" ref="AI203:AJ203" si="217">SUM(AI204:AI207)</f>
        <v>2500000000</v>
      </c>
      <c r="AJ203" s="971">
        <f t="shared" si="217"/>
        <v>358500319</v>
      </c>
      <c r="AK203" s="964">
        <f t="shared" si="125"/>
        <v>0.14340012760000001</v>
      </c>
      <c r="AL203" s="975"/>
      <c r="AM203" s="975"/>
      <c r="AN203" s="283"/>
      <c r="AO203" s="974"/>
      <c r="AP203" s="286"/>
      <c r="AQ203" s="286"/>
    </row>
    <row r="204" spans="1:43" ht="50.25" customHeight="1">
      <c r="A204" s="347" t="s">
        <v>641</v>
      </c>
      <c r="B204" s="453" t="s">
        <v>814</v>
      </c>
      <c r="C204" s="1519">
        <v>0</v>
      </c>
      <c r="D204" s="401">
        <v>0</v>
      </c>
      <c r="E204" s="978">
        <v>0</v>
      </c>
      <c r="F204" s="858">
        <v>0</v>
      </c>
      <c r="G204" s="858"/>
      <c r="H204" s="821" t="e">
        <f t="shared" ref="H204:H207" si="218">IF((E204+G204)/C204&gt;=100%,100%,(E204+G204)/C204)</f>
        <v>#DIV/0!</v>
      </c>
      <c r="I204" s="988">
        <v>0</v>
      </c>
      <c r="J204" s="1047"/>
      <c r="L204" s="983"/>
      <c r="M204" s="984"/>
      <c r="N204" s="982"/>
      <c r="O204" s="1470"/>
      <c r="P204" s="1470"/>
      <c r="Q204" s="1470"/>
      <c r="R204" s="985"/>
      <c r="S204" s="1470"/>
      <c r="T204" s="1471">
        <v>4</v>
      </c>
      <c r="U204" s="986">
        <f>SUM(E204:G204)</f>
        <v>0</v>
      </c>
      <c r="V204" s="186">
        <f t="shared" ref="V204:V207" si="219">IF(U204/T204&gt;=100%,100%,U204/T204)</f>
        <v>0</v>
      </c>
      <c r="W204" s="1523">
        <v>0.3</v>
      </c>
      <c r="X204" s="880">
        <v>0</v>
      </c>
      <c r="Y204" s="541" t="s">
        <v>887</v>
      </c>
      <c r="Z204" s="375" t="s">
        <v>887</v>
      </c>
      <c r="AA204" s="541" t="s">
        <v>887</v>
      </c>
      <c r="AB204" s="987" t="e">
        <f t="shared" si="213"/>
        <v>#VALUE!</v>
      </c>
      <c r="AC204" s="541" t="s">
        <v>887</v>
      </c>
      <c r="AD204" s="1278" t="e">
        <f t="shared" si="214"/>
        <v>#VALUE!</v>
      </c>
      <c r="AE204" s="1283"/>
      <c r="AF204" s="1524" t="s">
        <v>887</v>
      </c>
      <c r="AG204" s="375" t="s">
        <v>887</v>
      </c>
      <c r="AH204" s="614" t="e">
        <f t="shared" si="215"/>
        <v>#VALUE!</v>
      </c>
      <c r="AI204" s="1046">
        <v>650000000</v>
      </c>
      <c r="AJ204" s="1110">
        <f t="shared" ref="AJ204:AJ207" si="220">+SUM(Z204:AA204)</f>
        <v>0</v>
      </c>
      <c r="AK204" s="1257">
        <f t="shared" ref="AK204:AK267" si="221">+AJ204/AI204</f>
        <v>0</v>
      </c>
      <c r="AL204" s="1328"/>
      <c r="AM204" s="1111"/>
      <c r="AN204" s="190" t="s">
        <v>302</v>
      </c>
      <c r="AO204" s="2297" t="s">
        <v>905</v>
      </c>
      <c r="AP204" s="1047"/>
      <c r="AQ204" s="1047"/>
    </row>
    <row r="205" spans="1:43" ht="46.5" customHeight="1">
      <c r="A205" s="347" t="s">
        <v>642</v>
      </c>
      <c r="B205" s="453" t="s">
        <v>815</v>
      </c>
      <c r="C205" s="1519">
        <v>0</v>
      </c>
      <c r="D205" s="401">
        <v>0</v>
      </c>
      <c r="E205" s="213">
        <v>0</v>
      </c>
      <c r="F205" s="147">
        <v>0</v>
      </c>
      <c r="G205" s="147"/>
      <c r="H205" s="180" t="e">
        <f t="shared" si="218"/>
        <v>#DIV/0!</v>
      </c>
      <c r="I205" s="642">
        <v>0</v>
      </c>
      <c r="J205" s="1037"/>
      <c r="K205" s="1507"/>
      <c r="L205" s="101"/>
      <c r="M205" s="104"/>
      <c r="N205" s="146"/>
      <c r="O205" s="195"/>
      <c r="P205" s="195"/>
      <c r="Q205" s="195"/>
      <c r="R205" s="150"/>
      <c r="S205" s="195"/>
      <c r="T205" s="241">
        <v>23</v>
      </c>
      <c r="U205" s="242">
        <f t="shared" ref="U205:U207" si="222">SUM(E205:G205)</f>
        <v>0</v>
      </c>
      <c r="V205" s="186">
        <f t="shared" si="219"/>
        <v>0</v>
      </c>
      <c r="W205" s="1523">
        <v>0.3</v>
      </c>
      <c r="X205" s="472">
        <v>0</v>
      </c>
      <c r="Y205" s="541" t="s">
        <v>887</v>
      </c>
      <c r="Z205" s="375" t="s">
        <v>887</v>
      </c>
      <c r="AA205" s="541" t="s">
        <v>887</v>
      </c>
      <c r="AB205" s="273" t="e">
        <f t="shared" si="213"/>
        <v>#VALUE!</v>
      </c>
      <c r="AC205" s="541" t="s">
        <v>887</v>
      </c>
      <c r="AD205" s="1026" t="e">
        <f t="shared" si="214"/>
        <v>#VALUE!</v>
      </c>
      <c r="AE205" s="175"/>
      <c r="AF205" s="1524" t="s">
        <v>887</v>
      </c>
      <c r="AG205" s="375" t="s">
        <v>887</v>
      </c>
      <c r="AH205" s="614" t="e">
        <f t="shared" si="215"/>
        <v>#VALUE!</v>
      </c>
      <c r="AI205" s="250">
        <v>950000000</v>
      </c>
      <c r="AJ205" s="1118">
        <f t="shared" si="220"/>
        <v>0</v>
      </c>
      <c r="AK205" s="1139">
        <f t="shared" si="221"/>
        <v>0</v>
      </c>
      <c r="AL205" s="1140"/>
      <c r="AM205" s="1119"/>
      <c r="AN205" s="152" t="s">
        <v>302</v>
      </c>
      <c r="AO205" s="2290"/>
      <c r="AP205" s="93"/>
      <c r="AQ205" s="93"/>
    </row>
    <row r="206" spans="1:43" ht="59.25" customHeight="1">
      <c r="A206" s="347" t="s">
        <v>643</v>
      </c>
      <c r="B206" s="453" t="s">
        <v>816</v>
      </c>
      <c r="C206" s="1529">
        <v>1</v>
      </c>
      <c r="D206" s="402">
        <v>1</v>
      </c>
      <c r="E206" s="1530">
        <v>1</v>
      </c>
      <c r="F206" s="182">
        <v>1</v>
      </c>
      <c r="G206" s="147"/>
      <c r="H206" s="180">
        <f t="shared" si="218"/>
        <v>1</v>
      </c>
      <c r="I206" s="642">
        <f t="shared" ref="I206:I207" si="223">IF(F206/D206&gt;=100%,100%,F206/D206)</f>
        <v>1</v>
      </c>
      <c r="J206" s="1037" t="s">
        <v>1558</v>
      </c>
      <c r="K206" s="1507"/>
      <c r="L206" s="101"/>
      <c r="M206" s="104"/>
      <c r="N206" s="146"/>
      <c r="O206" s="195"/>
      <c r="P206" s="195"/>
      <c r="Q206" s="195"/>
      <c r="R206" s="150"/>
      <c r="S206" s="195"/>
      <c r="T206" s="241">
        <v>1</v>
      </c>
      <c r="U206" s="242">
        <f t="shared" si="222"/>
        <v>2</v>
      </c>
      <c r="V206" s="186">
        <f t="shared" si="219"/>
        <v>1</v>
      </c>
      <c r="W206" s="1523">
        <v>0.2</v>
      </c>
      <c r="X206" s="472">
        <v>0.5</v>
      </c>
      <c r="Y206" s="538">
        <v>100000000</v>
      </c>
      <c r="Z206" s="371">
        <v>79700000</v>
      </c>
      <c r="AA206" s="541">
        <v>83453359</v>
      </c>
      <c r="AB206" s="273">
        <f t="shared" si="213"/>
        <v>0.83453359000000005</v>
      </c>
      <c r="AC206" s="541">
        <v>62161821</v>
      </c>
      <c r="AD206" s="1030">
        <f t="shared" si="214"/>
        <v>0.62161820999999995</v>
      </c>
      <c r="AE206" s="156">
        <f>+AA206-AC206</f>
        <v>21291538</v>
      </c>
      <c r="AF206" s="1532">
        <v>28900000</v>
      </c>
      <c r="AG206" s="371">
        <v>28900000</v>
      </c>
      <c r="AH206" s="614">
        <f t="shared" si="215"/>
        <v>1</v>
      </c>
      <c r="AI206" s="250">
        <v>400000000</v>
      </c>
      <c r="AJ206" s="1118">
        <f t="shared" si="220"/>
        <v>163153359</v>
      </c>
      <c r="AK206" s="1139">
        <f t="shared" si="221"/>
        <v>0.40788339750000002</v>
      </c>
      <c r="AL206" s="1140"/>
      <c r="AM206" s="1119"/>
      <c r="AN206" s="152" t="s">
        <v>9</v>
      </c>
      <c r="AO206" s="1533" t="s">
        <v>905</v>
      </c>
      <c r="AP206" s="93"/>
      <c r="AQ206" s="93"/>
    </row>
    <row r="207" spans="1:43" ht="84" customHeight="1" thickBot="1">
      <c r="A207" s="1476" t="s">
        <v>644</v>
      </c>
      <c r="B207" s="299" t="s">
        <v>817</v>
      </c>
      <c r="C207" s="1534">
        <v>23</v>
      </c>
      <c r="D207" s="847">
        <v>23</v>
      </c>
      <c r="E207" s="1568">
        <v>23</v>
      </c>
      <c r="F207" s="860">
        <v>23</v>
      </c>
      <c r="G207" s="860"/>
      <c r="H207" s="1021">
        <f t="shared" si="218"/>
        <v>1</v>
      </c>
      <c r="I207" s="1030">
        <f t="shared" si="223"/>
        <v>1</v>
      </c>
      <c r="J207" s="1037" t="s">
        <v>1559</v>
      </c>
      <c r="K207" s="1507"/>
      <c r="L207" s="206"/>
      <c r="M207" s="207"/>
      <c r="N207" s="1023"/>
      <c r="O207" s="195"/>
      <c r="P207" s="195"/>
      <c r="Q207" s="195"/>
      <c r="R207" s="1024"/>
      <c r="S207" s="195"/>
      <c r="T207" s="241">
        <v>23</v>
      </c>
      <c r="U207" s="1026">
        <f t="shared" si="222"/>
        <v>46</v>
      </c>
      <c r="V207" s="1387">
        <f t="shared" si="219"/>
        <v>1</v>
      </c>
      <c r="W207" s="1528">
        <v>0.2</v>
      </c>
      <c r="X207" s="477">
        <v>0.5</v>
      </c>
      <c r="Y207" s="1479">
        <v>100000000</v>
      </c>
      <c r="Z207" s="1569">
        <v>97000000</v>
      </c>
      <c r="AA207" s="1570">
        <v>98346960</v>
      </c>
      <c r="AB207" s="1029">
        <f t="shared" si="213"/>
        <v>0.98346960000000005</v>
      </c>
      <c r="AC207" s="1570">
        <v>91161821</v>
      </c>
      <c r="AD207" s="1030">
        <f t="shared" si="214"/>
        <v>0.91161820999999998</v>
      </c>
      <c r="AE207" s="175">
        <f>+AA207-AC207</f>
        <v>7185139</v>
      </c>
      <c r="AF207" s="1571">
        <v>50600000</v>
      </c>
      <c r="AG207" s="1569">
        <v>50600000</v>
      </c>
      <c r="AH207" s="1053">
        <f t="shared" si="215"/>
        <v>1</v>
      </c>
      <c r="AI207" s="1054">
        <v>500000000</v>
      </c>
      <c r="AJ207" s="1138">
        <f t="shared" si="220"/>
        <v>195346960</v>
      </c>
      <c r="AK207" s="1139">
        <f t="shared" si="221"/>
        <v>0.39069391999999997</v>
      </c>
      <c r="AL207" s="1140"/>
      <c r="AM207" s="1140"/>
      <c r="AN207" s="189" t="s">
        <v>302</v>
      </c>
      <c r="AO207" s="1538" t="s">
        <v>905</v>
      </c>
      <c r="AP207" s="1037"/>
      <c r="AQ207" s="1037"/>
    </row>
    <row r="208" spans="1:43" s="617" customFormat="1" ht="42.75" customHeight="1" thickBot="1">
      <c r="A208" s="1065" t="s">
        <v>436</v>
      </c>
      <c r="B208" s="1066"/>
      <c r="C208" s="862"/>
      <c r="D208" s="835"/>
      <c r="E208" s="1067"/>
      <c r="F208" s="862"/>
      <c r="G208" s="862"/>
      <c r="H208" s="1077">
        <f>+(H209*0%)</f>
        <v>0</v>
      </c>
      <c r="I208" s="1068">
        <f>+(I209*X209)</f>
        <v>0</v>
      </c>
      <c r="J208" s="1082"/>
      <c r="K208" s="1463"/>
      <c r="L208" s="1071"/>
      <c r="M208" s="1069"/>
      <c r="N208" s="1069"/>
      <c r="O208" s="1464"/>
      <c r="P208" s="1464"/>
      <c r="Q208" s="1464"/>
      <c r="R208" s="1072"/>
      <c r="S208" s="1464"/>
      <c r="T208" s="1465"/>
      <c r="U208" s="1075"/>
      <c r="V208" s="1246">
        <f>+(V209*W209)</f>
        <v>0</v>
      </c>
      <c r="W208" s="1077">
        <v>0.15</v>
      </c>
      <c r="X208" s="883">
        <v>0</v>
      </c>
      <c r="Y208" s="1078">
        <f>+Y209</f>
        <v>0</v>
      </c>
      <c r="Z208" s="1078">
        <f>+Z209</f>
        <v>0</v>
      </c>
      <c r="AA208" s="1078">
        <f>+AA209</f>
        <v>0</v>
      </c>
      <c r="AB208" s="1079" t="e">
        <f t="shared" si="213"/>
        <v>#DIV/0!</v>
      </c>
      <c r="AC208" s="1078">
        <f>+AC209</f>
        <v>0</v>
      </c>
      <c r="AD208" s="1075" t="e">
        <f t="shared" si="214"/>
        <v>#DIV/0!</v>
      </c>
      <c r="AE208" s="1066">
        <f>+AE209</f>
        <v>0</v>
      </c>
      <c r="AF208" s="1069">
        <f>+AF209</f>
        <v>0</v>
      </c>
      <c r="AG208" s="1078">
        <f>+AG209</f>
        <v>0</v>
      </c>
      <c r="AH208" s="1080" t="e">
        <f t="shared" si="215"/>
        <v>#DIV/0!</v>
      </c>
      <c r="AI208" s="1078">
        <f t="shared" ref="AI208:AJ208" si="224">+AI209</f>
        <v>3500000000</v>
      </c>
      <c r="AJ208" s="1078">
        <f t="shared" si="224"/>
        <v>0</v>
      </c>
      <c r="AK208" s="1077">
        <f t="shared" si="221"/>
        <v>0</v>
      </c>
      <c r="AL208" s="1071"/>
      <c r="AM208" s="1071" t="s">
        <v>298</v>
      </c>
      <c r="AN208" s="1069"/>
      <c r="AO208" s="1066"/>
      <c r="AP208" s="1082"/>
      <c r="AQ208" s="1082"/>
    </row>
    <row r="209" spans="1:43" ht="46.5" customHeight="1">
      <c r="A209" s="331" t="s">
        <v>488</v>
      </c>
      <c r="B209" s="437"/>
      <c r="C209" s="873"/>
      <c r="D209" s="849"/>
      <c r="E209" s="1572"/>
      <c r="F209" s="873"/>
      <c r="G209" s="873"/>
      <c r="H209" s="294">
        <v>0</v>
      </c>
      <c r="I209" s="1573">
        <f>+SUMPRODUCT(I210:I210,X210:X210)</f>
        <v>0</v>
      </c>
      <c r="J209" s="1574"/>
      <c r="K209" s="1575"/>
      <c r="L209" s="243"/>
      <c r="M209" s="1576"/>
      <c r="N209" s="1576"/>
      <c r="O209" s="1577"/>
      <c r="P209" s="1577"/>
      <c r="Q209" s="1577"/>
      <c r="R209" s="1578"/>
      <c r="S209" s="1577"/>
      <c r="T209" s="1579"/>
      <c r="U209" s="261"/>
      <c r="V209" s="1580">
        <f>+SUMPRODUCT(V210:V210,W210:W210)</f>
        <v>0</v>
      </c>
      <c r="W209" s="294">
        <v>1</v>
      </c>
      <c r="X209" s="899">
        <v>0</v>
      </c>
      <c r="Y209" s="1581">
        <f>SUM(Y210)</f>
        <v>0</v>
      </c>
      <c r="Z209" s="1581">
        <f>SUM(Z210)</f>
        <v>0</v>
      </c>
      <c r="AA209" s="1581">
        <f>SUM(AA210)</f>
        <v>0</v>
      </c>
      <c r="AB209" s="1582" t="e">
        <f t="shared" si="213"/>
        <v>#DIV/0!</v>
      </c>
      <c r="AC209" s="1581">
        <f>SUM(AC210)</f>
        <v>0</v>
      </c>
      <c r="AD209" s="1583" t="e">
        <f t="shared" si="214"/>
        <v>#DIV/0!</v>
      </c>
      <c r="AE209" s="1584">
        <f>SUM(AE210)</f>
        <v>0</v>
      </c>
      <c r="AF209" s="1576">
        <f>SUM(AF210)</f>
        <v>0</v>
      </c>
      <c r="AG209" s="1581">
        <f>SUM(AG210)</f>
        <v>0</v>
      </c>
      <c r="AH209" s="613" t="e">
        <f t="shared" si="215"/>
        <v>#DIV/0!</v>
      </c>
      <c r="AI209" s="1585">
        <f t="shared" ref="AI209:AJ209" si="225">SUM(AI210)</f>
        <v>3500000000</v>
      </c>
      <c r="AJ209" s="1585">
        <f t="shared" si="225"/>
        <v>0</v>
      </c>
      <c r="AK209" s="1586">
        <f t="shared" si="221"/>
        <v>0</v>
      </c>
      <c r="AL209" s="1587"/>
      <c r="AM209" s="1588"/>
      <c r="AN209" s="1589"/>
      <c r="AO209" s="1584"/>
      <c r="AP209" s="1590"/>
      <c r="AQ209" s="1590"/>
    </row>
    <row r="210" spans="1:43" ht="72.75" customHeight="1" thickBot="1">
      <c r="A210" s="1468" t="s">
        <v>645</v>
      </c>
      <c r="B210" s="1475" t="s">
        <v>818</v>
      </c>
      <c r="C210" s="1505">
        <v>0</v>
      </c>
      <c r="D210" s="850">
        <v>0</v>
      </c>
      <c r="E210" s="870">
        <v>0</v>
      </c>
      <c r="F210" s="860">
        <v>0</v>
      </c>
      <c r="G210" s="860"/>
      <c r="H210" s="1021" t="e">
        <f t="shared" ref="H210" si="226">IF((E210+G210)/C210&gt;=100%,100%,(E210+G210)/C210)</f>
        <v>#DIV/0!</v>
      </c>
      <c r="I210" s="1030">
        <v>0</v>
      </c>
      <c r="J210" s="1037"/>
      <c r="K210" s="1507"/>
      <c r="L210" s="206"/>
      <c r="M210" s="207"/>
      <c r="N210" s="1023"/>
      <c r="O210" s="195"/>
      <c r="P210" s="195"/>
      <c r="Q210" s="195"/>
      <c r="R210" s="1024"/>
      <c r="S210" s="195"/>
      <c r="T210" s="241">
        <v>2</v>
      </c>
      <c r="U210" s="1026">
        <f>SUM(E210:G210)</f>
        <v>0</v>
      </c>
      <c r="V210" s="1387">
        <f t="shared" ref="V210" si="227">IF(U210/T210&gt;=100%,100%,U210/T210)</f>
        <v>0</v>
      </c>
      <c r="W210" s="1388">
        <v>1</v>
      </c>
      <c r="X210" s="477">
        <v>0</v>
      </c>
      <c r="Y210" s="1591">
        <v>0</v>
      </c>
      <c r="Z210" s="1592">
        <v>0</v>
      </c>
      <c r="AA210" s="1591">
        <v>0</v>
      </c>
      <c r="AB210" s="1029" t="e">
        <f t="shared" si="213"/>
        <v>#DIV/0!</v>
      </c>
      <c r="AC210" s="1591">
        <v>0</v>
      </c>
      <c r="AD210" s="1026" t="e">
        <f t="shared" si="214"/>
        <v>#DIV/0!</v>
      </c>
      <c r="AE210" s="175"/>
      <c r="AF210" s="1593">
        <v>0</v>
      </c>
      <c r="AG210" s="1592">
        <v>0</v>
      </c>
      <c r="AH210" s="1053" t="e">
        <f t="shared" si="215"/>
        <v>#DIV/0!</v>
      </c>
      <c r="AI210" s="1054">
        <v>3500000000</v>
      </c>
      <c r="AJ210" s="1138">
        <f t="shared" ref="AJ210" si="228">+SUM(Z210:AA210)</f>
        <v>0</v>
      </c>
      <c r="AK210" s="1139">
        <f t="shared" si="221"/>
        <v>0</v>
      </c>
      <c r="AL210" s="1140"/>
      <c r="AM210" s="173"/>
      <c r="AN210" s="189" t="s">
        <v>302</v>
      </c>
      <c r="AO210" s="1512" t="s">
        <v>905</v>
      </c>
      <c r="AP210" s="1037"/>
      <c r="AQ210" s="1037"/>
    </row>
    <row r="211" spans="1:43" ht="46.5" customHeight="1" thickBot="1">
      <c r="A211" s="919" t="s">
        <v>419</v>
      </c>
      <c r="B211" s="1185"/>
      <c r="C211" s="869"/>
      <c r="D211" s="1186"/>
      <c r="E211" s="1187"/>
      <c r="F211" s="869"/>
      <c r="G211" s="869"/>
      <c r="H211" s="924">
        <f>+(H212*W212)+(H218*W218)+(H229*W229)+(H239*W239)+(H245*W245)+(H250*W250)+(H260*W260)+(H270*W270)+(H278*W278)+(H286*W286)+(H293*W293)</f>
        <v>0.95050000000000001</v>
      </c>
      <c r="I211" s="924">
        <f>+(I212*X212)+(I218*X218)+(I229*X229)+(I239*X239)+(I245*X245)+(I250*X250)+(I260*X260)+(I270*X270)+(I278*X278)+(I286*X286)+(I293*X293)</f>
        <v>0.81236699165639603</v>
      </c>
      <c r="J211" s="1196"/>
      <c r="K211" s="1459"/>
      <c r="L211" s="927"/>
      <c r="M211" s="925"/>
      <c r="N211" s="925"/>
      <c r="O211" s="1460"/>
      <c r="P211" s="1460"/>
      <c r="Q211" s="1460"/>
      <c r="R211" s="1461"/>
      <c r="S211" s="1460"/>
      <c r="T211" s="1462"/>
      <c r="U211" s="1194"/>
      <c r="V211" s="932">
        <f>+(V212*W212)+(V218*W218)+(V229*W229)+(V239*W239)+(V245*W245)+(V250*W250)+(V260*W260)+(V270*W270)+(V278*W278)+(V286*W286)+(V293*W293)</f>
        <v>0.52722370631028614</v>
      </c>
      <c r="W211" s="933">
        <v>0.15</v>
      </c>
      <c r="X211" s="877">
        <v>0.15</v>
      </c>
      <c r="Y211" s="934">
        <f>+Y212+Y218+Y229+Y239+Y245+Y250+Y260+Y270+Y278+Y286</f>
        <v>6394000000</v>
      </c>
      <c r="Z211" s="935">
        <f>+Z212+Z218+Z229+Z239+Z245+Z250+Z260+Z270+Z278+Z286</f>
        <v>3756011938.75</v>
      </c>
      <c r="AA211" s="935">
        <f>+AA212+AA218+AA229+AA239+AA245+AA250+AA260+AA270+AA278+AA286</f>
        <v>5306096496.5799999</v>
      </c>
      <c r="AB211" s="929">
        <f t="shared" si="213"/>
        <v>0.82985556718486075</v>
      </c>
      <c r="AC211" s="935">
        <f>+AC212+AC218+AC229+AC239+AC245+AC250+AC260+AC270+AC278+AC286</f>
        <v>4098867829.7200003</v>
      </c>
      <c r="AD211" s="936">
        <f t="shared" si="214"/>
        <v>0.64104908190803878</v>
      </c>
      <c r="AE211" s="920">
        <f>+AE212+AE218+AE229+AE239+AE245+AE250+AE260+AE270+AE278+AE286</f>
        <v>1207228666.8599999</v>
      </c>
      <c r="AF211" s="1594">
        <f>+AF212+AF218+AF229+AF239+AF245+AF250+AF260+AF270+AF278+AF286</f>
        <v>1871280053.75</v>
      </c>
      <c r="AG211" s="934">
        <f>+AG212+AG218+AG229+AG239+AG245+AG250+AG260+AG270+AG278+AG286</f>
        <v>1789671589.02</v>
      </c>
      <c r="AH211" s="1195">
        <f t="shared" si="215"/>
        <v>0.95638896242897553</v>
      </c>
      <c r="AI211" s="934">
        <f>+AI212+AI218+AI229+AI239+AI245+AI250+AI260+AI270+AI278+AI286</f>
        <v>33671000000</v>
      </c>
      <c r="AJ211" s="934">
        <f>+AJ212+AJ218+AJ229+AJ239+AJ245+AJ250+AJ260+AJ270+AJ278+AJ286</f>
        <v>9062108435.3299999</v>
      </c>
      <c r="AK211" s="933">
        <f t="shared" si="221"/>
        <v>0.26913689630037718</v>
      </c>
      <c r="AL211" s="939"/>
      <c r="AM211" s="939"/>
      <c r="AN211" s="937"/>
      <c r="AO211" s="920"/>
      <c r="AP211" s="1196"/>
      <c r="AQ211" s="1196"/>
    </row>
    <row r="212" spans="1:43" ht="57" customHeight="1" thickBot="1">
      <c r="A212" s="1065" t="s">
        <v>437</v>
      </c>
      <c r="B212" s="1066"/>
      <c r="C212" s="862"/>
      <c r="D212" s="835"/>
      <c r="E212" s="1067"/>
      <c r="F212" s="862"/>
      <c r="G212" s="862"/>
      <c r="H212" s="1077">
        <f>+(H213*W213)</f>
        <v>1</v>
      </c>
      <c r="I212" s="1068">
        <f>+(I213*X213)</f>
        <v>1</v>
      </c>
      <c r="J212" s="1082"/>
      <c r="K212" s="1463"/>
      <c r="L212" s="1071"/>
      <c r="M212" s="1069"/>
      <c r="N212" s="1069"/>
      <c r="O212" s="1464"/>
      <c r="P212" s="1464"/>
      <c r="Q212" s="1464"/>
      <c r="R212" s="1072"/>
      <c r="S212" s="1464"/>
      <c r="T212" s="1465"/>
      <c r="U212" s="1075"/>
      <c r="V212" s="1246">
        <f>+(V213*W213)</f>
        <v>0.94666666666666666</v>
      </c>
      <c r="W212" s="1077">
        <v>0.1</v>
      </c>
      <c r="X212" s="883">
        <v>0.1</v>
      </c>
      <c r="Y212" s="1078">
        <f>+Y213</f>
        <v>630000000</v>
      </c>
      <c r="Z212" s="1078">
        <f>+Z213</f>
        <v>341342657</v>
      </c>
      <c r="AA212" s="1078">
        <f>+AA213</f>
        <v>576619318.39999998</v>
      </c>
      <c r="AB212" s="1079">
        <f t="shared" si="213"/>
        <v>0.91526875936507934</v>
      </c>
      <c r="AC212" s="1078">
        <f>+AC213</f>
        <v>500799213</v>
      </c>
      <c r="AD212" s="1068">
        <f t="shared" si="214"/>
        <v>0.79491938571428566</v>
      </c>
      <c r="AE212" s="1066">
        <f>+AE213</f>
        <v>75820105.399999976</v>
      </c>
      <c r="AF212" s="1069">
        <f>+AF213</f>
        <v>28000000</v>
      </c>
      <c r="AG212" s="1078">
        <f>+AG213</f>
        <v>19001563</v>
      </c>
      <c r="AH212" s="1314">
        <f t="shared" si="215"/>
        <v>0.67862725000000002</v>
      </c>
      <c r="AI212" s="1078">
        <f>+AI213</f>
        <v>2270000000</v>
      </c>
      <c r="AJ212" s="1078">
        <f>+AJ213</f>
        <v>917961975.39999998</v>
      </c>
      <c r="AK212" s="1077">
        <f t="shared" si="221"/>
        <v>0.40438853541850217</v>
      </c>
      <c r="AL212" s="1071"/>
      <c r="AM212" s="1071" t="s">
        <v>301</v>
      </c>
      <c r="AN212" s="1069"/>
      <c r="AO212" s="1066"/>
      <c r="AP212" s="1315"/>
      <c r="AQ212" s="1315"/>
    </row>
    <row r="213" spans="1:43" ht="43.5" customHeight="1">
      <c r="A213" s="331" t="s">
        <v>489</v>
      </c>
      <c r="B213" s="437"/>
      <c r="C213" s="873"/>
      <c r="D213" s="849"/>
      <c r="E213" s="1572"/>
      <c r="F213" s="873"/>
      <c r="G213" s="873"/>
      <c r="H213" s="294">
        <f>+(H215*12%)+(H216*44%)+(H217*44%)</f>
        <v>1</v>
      </c>
      <c r="I213" s="1573">
        <f>+SUMPRODUCT(I214:I217,X214:X217)</f>
        <v>1</v>
      </c>
      <c r="J213" s="1574"/>
      <c r="K213" s="1575"/>
      <c r="L213" s="243"/>
      <c r="M213" s="1576"/>
      <c r="N213" s="1576"/>
      <c r="O213" s="1577"/>
      <c r="P213" s="1577"/>
      <c r="Q213" s="1577"/>
      <c r="R213" s="1578"/>
      <c r="S213" s="1577"/>
      <c r="T213" s="1579"/>
      <c r="U213" s="261"/>
      <c r="V213" s="1580">
        <f>+SUMPRODUCT(V214:V217,W214:W217)</f>
        <v>0.94666666666666666</v>
      </c>
      <c r="W213" s="294">
        <v>1</v>
      </c>
      <c r="X213" s="899">
        <v>1</v>
      </c>
      <c r="Y213" s="1581">
        <f>SUM(Y214:Y217)</f>
        <v>630000000</v>
      </c>
      <c r="Z213" s="1581">
        <f>SUM(Z214:Z217)</f>
        <v>341342657</v>
      </c>
      <c r="AA213" s="1581">
        <f>SUM(AA214:AA217)</f>
        <v>576619318.39999998</v>
      </c>
      <c r="AB213" s="1582">
        <f t="shared" si="213"/>
        <v>0.91526875936507934</v>
      </c>
      <c r="AC213" s="1581">
        <f>SUM(AC214:AC217)</f>
        <v>500799213</v>
      </c>
      <c r="AD213" s="1595">
        <f t="shared" si="214"/>
        <v>0.79491938571428566</v>
      </c>
      <c r="AE213" s="1584">
        <f>SUM(AE214:AE217)</f>
        <v>75820105.399999976</v>
      </c>
      <c r="AF213" s="1576">
        <f>SUM(AF214:AF217)</f>
        <v>28000000</v>
      </c>
      <c r="AG213" s="1581">
        <f>SUM(AG214:AG217)</f>
        <v>19001563</v>
      </c>
      <c r="AH213" s="613">
        <f t="shared" si="215"/>
        <v>0.67862725000000002</v>
      </c>
      <c r="AI213" s="1581">
        <f>SUM(AI214:AI217)</f>
        <v>2270000000</v>
      </c>
      <c r="AJ213" s="1581">
        <f>SUM(AJ214:AJ217)</f>
        <v>917961975.39999998</v>
      </c>
      <c r="AK213" s="1586">
        <f t="shared" si="221"/>
        <v>0.40438853541850217</v>
      </c>
      <c r="AL213" s="1587"/>
      <c r="AM213" s="1588"/>
      <c r="AN213" s="1589"/>
      <c r="AO213" s="1584"/>
      <c r="AP213" s="1590"/>
      <c r="AQ213" s="1590"/>
    </row>
    <row r="214" spans="1:43" ht="63.75" customHeight="1">
      <c r="A214" s="352" t="s">
        <v>646</v>
      </c>
      <c r="B214" s="457" t="s">
        <v>819</v>
      </c>
      <c r="C214" s="1596">
        <v>0</v>
      </c>
      <c r="D214" s="407">
        <v>1</v>
      </c>
      <c r="E214" s="304">
        <v>0</v>
      </c>
      <c r="F214" s="147">
        <v>1</v>
      </c>
      <c r="G214" s="147"/>
      <c r="H214" s="180" t="e">
        <f t="shared" ref="H214:H217" si="229">IF((E214+G214)/C214&gt;=100%,100%,(E214+G214)/C214)</f>
        <v>#DIV/0!</v>
      </c>
      <c r="I214" s="642">
        <f t="shared" ref="I214:I217" si="230">IF(F214/D214&gt;=100%,100%,F214/D214)</f>
        <v>1</v>
      </c>
      <c r="J214" s="1037" t="s">
        <v>1560</v>
      </c>
      <c r="K214" s="1507"/>
      <c r="L214" s="101"/>
      <c r="M214" s="104"/>
      <c r="N214" s="146"/>
      <c r="O214" s="195"/>
      <c r="P214" s="195"/>
      <c r="Q214" s="195"/>
      <c r="R214" s="150"/>
      <c r="S214" s="195"/>
      <c r="T214" s="241">
        <v>1</v>
      </c>
      <c r="U214" s="242">
        <f>SUM(E214:G214)</f>
        <v>1</v>
      </c>
      <c r="V214" s="186">
        <f t="shared" ref="V214:V217" si="231">IF(U214/T214&gt;=100%,100%,U214/T214)</f>
        <v>1</v>
      </c>
      <c r="W214" s="1597">
        <v>0.1</v>
      </c>
      <c r="X214" s="502">
        <v>0.1</v>
      </c>
      <c r="Y214" s="544">
        <v>80000000</v>
      </c>
      <c r="Z214" s="376">
        <v>0</v>
      </c>
      <c r="AA214" s="544">
        <v>78856872</v>
      </c>
      <c r="AB214" s="273">
        <f t="shared" si="213"/>
        <v>0.98571089999999995</v>
      </c>
      <c r="AC214" s="544">
        <v>75227275</v>
      </c>
      <c r="AD214" s="1030">
        <f t="shared" si="214"/>
        <v>0.94034093750000003</v>
      </c>
      <c r="AE214" s="156">
        <f>+AA214-AC214</f>
        <v>3629597</v>
      </c>
      <c r="AF214" s="1598">
        <v>0</v>
      </c>
      <c r="AG214" s="376">
        <v>0</v>
      </c>
      <c r="AH214" s="614" t="e">
        <f t="shared" si="215"/>
        <v>#DIV/0!</v>
      </c>
      <c r="AI214" s="250">
        <v>100000000</v>
      </c>
      <c r="AJ214" s="250">
        <f t="shared" ref="AJ214:AJ217" si="232">+SUM(Z214:AA214)</f>
        <v>78856872</v>
      </c>
      <c r="AK214" s="1030">
        <f t="shared" si="221"/>
        <v>0.78856872</v>
      </c>
      <c r="AL214" s="173"/>
      <c r="AM214" s="157"/>
      <c r="AN214" s="152" t="s">
        <v>302</v>
      </c>
      <c r="AO214" s="1599" t="s">
        <v>890</v>
      </c>
      <c r="AP214" s="93"/>
      <c r="AQ214" s="93"/>
    </row>
    <row r="215" spans="1:43" ht="78.75" customHeight="1">
      <c r="A215" s="352" t="s">
        <v>647</v>
      </c>
      <c r="B215" s="457" t="s">
        <v>820</v>
      </c>
      <c r="C215" s="1596">
        <v>3</v>
      </c>
      <c r="D215" s="407">
        <v>4</v>
      </c>
      <c r="E215" s="304">
        <v>3</v>
      </c>
      <c r="F215" s="147">
        <v>4</v>
      </c>
      <c r="G215" s="147"/>
      <c r="H215" s="180">
        <f t="shared" si="229"/>
        <v>1</v>
      </c>
      <c r="I215" s="642">
        <f t="shared" si="230"/>
        <v>1</v>
      </c>
      <c r="J215" s="1037" t="s">
        <v>1561</v>
      </c>
      <c r="K215" s="1507"/>
      <c r="L215" s="101"/>
      <c r="M215" s="104"/>
      <c r="N215" s="146"/>
      <c r="O215" s="195"/>
      <c r="P215" s="195"/>
      <c r="Q215" s="195"/>
      <c r="R215" s="150"/>
      <c r="S215" s="195"/>
      <c r="T215" s="241">
        <v>15</v>
      </c>
      <c r="U215" s="242">
        <f t="shared" ref="U215:U217" si="233">SUM(E215:G215)</f>
        <v>7</v>
      </c>
      <c r="V215" s="186">
        <f t="shared" si="231"/>
        <v>0.46666666666666667</v>
      </c>
      <c r="W215" s="1597">
        <v>0.1</v>
      </c>
      <c r="X215" s="502">
        <v>0.1</v>
      </c>
      <c r="Y215" s="544">
        <v>30000000</v>
      </c>
      <c r="Z215" s="376">
        <v>2112242</v>
      </c>
      <c r="AA215" s="544">
        <v>7331359</v>
      </c>
      <c r="AB215" s="273">
        <f t="shared" si="213"/>
        <v>0.24437863333333334</v>
      </c>
      <c r="AC215" s="544">
        <v>5555028</v>
      </c>
      <c r="AD215" s="1139">
        <f t="shared" si="214"/>
        <v>0.18516759999999999</v>
      </c>
      <c r="AE215" s="1116">
        <f>+AA215-AC215</f>
        <v>1776331</v>
      </c>
      <c r="AF215" s="1598">
        <v>0</v>
      </c>
      <c r="AG215" s="376">
        <v>0</v>
      </c>
      <c r="AH215" s="1089" t="e">
        <f t="shared" si="215"/>
        <v>#DIV/0!</v>
      </c>
      <c r="AI215" s="1118">
        <v>120000000</v>
      </c>
      <c r="AJ215" s="1118">
        <f t="shared" si="232"/>
        <v>9443601</v>
      </c>
      <c r="AK215" s="1139">
        <f t="shared" si="221"/>
        <v>7.8696674999999994E-2</v>
      </c>
      <c r="AL215" s="1140"/>
      <c r="AM215" s="1119"/>
      <c r="AN215" s="152" t="s">
        <v>302</v>
      </c>
      <c r="AO215" s="1599" t="s">
        <v>921</v>
      </c>
      <c r="AP215" s="93"/>
      <c r="AQ215" s="93"/>
    </row>
    <row r="216" spans="1:43" ht="62.25" customHeight="1">
      <c r="A216" s="352" t="s">
        <v>648</v>
      </c>
      <c r="B216" s="457" t="s">
        <v>821</v>
      </c>
      <c r="C216" s="1600">
        <v>0.9</v>
      </c>
      <c r="D216" s="408">
        <v>0.9</v>
      </c>
      <c r="E216" s="305">
        <v>0.9</v>
      </c>
      <c r="F216" s="182">
        <v>1</v>
      </c>
      <c r="G216" s="147"/>
      <c r="H216" s="180">
        <f t="shared" si="229"/>
        <v>1</v>
      </c>
      <c r="I216" s="642">
        <f t="shared" si="230"/>
        <v>1</v>
      </c>
      <c r="J216" s="1037" t="s">
        <v>1562</v>
      </c>
      <c r="K216" s="1507"/>
      <c r="L216" s="101"/>
      <c r="M216" s="104"/>
      <c r="N216" s="146"/>
      <c r="O216" s="195"/>
      <c r="P216" s="195"/>
      <c r="Q216" s="195"/>
      <c r="R216" s="150"/>
      <c r="S216" s="195"/>
      <c r="T216" s="208">
        <v>0.9</v>
      </c>
      <c r="U216" s="242">
        <f t="shared" si="233"/>
        <v>1.9</v>
      </c>
      <c r="V216" s="186">
        <f t="shared" si="231"/>
        <v>1</v>
      </c>
      <c r="W216" s="1597">
        <v>0.4</v>
      </c>
      <c r="X216" s="502">
        <v>0.4</v>
      </c>
      <c r="Y216" s="544">
        <v>200000000</v>
      </c>
      <c r="Z216" s="376">
        <v>120914682</v>
      </c>
      <c r="AA216" s="544">
        <v>179743921</v>
      </c>
      <c r="AB216" s="273">
        <f t="shared" si="213"/>
        <v>0.89871960500000003</v>
      </c>
      <c r="AC216" s="544">
        <v>123723644</v>
      </c>
      <c r="AD216" s="1134">
        <f t="shared" si="214"/>
        <v>0.61861822</v>
      </c>
      <c r="AE216" s="1116">
        <f>+AA216-AC216</f>
        <v>56020277</v>
      </c>
      <c r="AF216" s="1598">
        <v>28000000</v>
      </c>
      <c r="AG216" s="376">
        <v>19001563</v>
      </c>
      <c r="AH216" s="1089">
        <f t="shared" si="215"/>
        <v>0.67862725000000002</v>
      </c>
      <c r="AI216" s="1118">
        <v>1050000000</v>
      </c>
      <c r="AJ216" s="1118">
        <f t="shared" si="232"/>
        <v>300658603</v>
      </c>
      <c r="AK216" s="1139">
        <f t="shared" si="221"/>
        <v>0.28634152666666668</v>
      </c>
      <c r="AL216" s="1140"/>
      <c r="AM216" s="1119"/>
      <c r="AN216" s="152" t="s">
        <v>302</v>
      </c>
      <c r="AO216" s="1599" t="s">
        <v>922</v>
      </c>
      <c r="AP216" s="93"/>
      <c r="AQ216" s="93"/>
    </row>
    <row r="217" spans="1:43" ht="78" customHeight="1" thickBot="1">
      <c r="A217" s="355" t="s">
        <v>649</v>
      </c>
      <c r="B217" s="310" t="s">
        <v>822</v>
      </c>
      <c r="C217" s="1601">
        <v>10</v>
      </c>
      <c r="D217" s="851">
        <v>10</v>
      </c>
      <c r="E217" s="1602">
        <v>10</v>
      </c>
      <c r="F217" s="860">
        <v>31</v>
      </c>
      <c r="G217" s="860"/>
      <c r="H217" s="1021">
        <f t="shared" si="229"/>
        <v>1</v>
      </c>
      <c r="I217" s="1030">
        <f t="shared" si="230"/>
        <v>1</v>
      </c>
      <c r="J217" s="1037" t="s">
        <v>1563</v>
      </c>
      <c r="K217" s="1507"/>
      <c r="L217" s="206"/>
      <c r="M217" s="207"/>
      <c r="N217" s="1023"/>
      <c r="O217" s="195"/>
      <c r="P217" s="195"/>
      <c r="Q217" s="195"/>
      <c r="R217" s="1024"/>
      <c r="S217" s="195"/>
      <c r="T217" s="241">
        <v>40</v>
      </c>
      <c r="U217" s="1026">
        <f t="shared" si="233"/>
        <v>41</v>
      </c>
      <c r="V217" s="1387">
        <f t="shared" si="231"/>
        <v>1</v>
      </c>
      <c r="W217" s="1603">
        <v>0.4</v>
      </c>
      <c r="X217" s="503">
        <v>0.4</v>
      </c>
      <c r="Y217" s="1604">
        <v>320000000</v>
      </c>
      <c r="Z217" s="1605">
        <v>218315733</v>
      </c>
      <c r="AA217" s="1604">
        <v>310687166.39999998</v>
      </c>
      <c r="AB217" s="1029">
        <f t="shared" si="213"/>
        <v>0.97089739499999994</v>
      </c>
      <c r="AC217" s="1604">
        <v>296293266</v>
      </c>
      <c r="AD217" s="1030">
        <f t="shared" si="214"/>
        <v>0.92591645624999996</v>
      </c>
      <c r="AE217" s="175">
        <f>+AA217-AC217</f>
        <v>14393900.399999976</v>
      </c>
      <c r="AF217" s="1606">
        <v>0</v>
      </c>
      <c r="AG217" s="1605">
        <v>0</v>
      </c>
      <c r="AH217" s="1053" t="e">
        <f t="shared" si="215"/>
        <v>#DIV/0!</v>
      </c>
      <c r="AI217" s="1054">
        <v>1000000000</v>
      </c>
      <c r="AJ217" s="1054">
        <f t="shared" si="232"/>
        <v>529002899.39999998</v>
      </c>
      <c r="AK217" s="1030">
        <f t="shared" si="221"/>
        <v>0.5290028994</v>
      </c>
      <c r="AL217" s="173"/>
      <c r="AM217" s="173"/>
      <c r="AN217" s="189" t="s">
        <v>302</v>
      </c>
      <c r="AO217" s="1607" t="s">
        <v>923</v>
      </c>
      <c r="AP217" s="1037"/>
      <c r="AQ217" s="1037"/>
    </row>
    <row r="218" spans="1:43" ht="48.75" customHeight="1" thickBot="1">
      <c r="A218" s="1065" t="s">
        <v>438</v>
      </c>
      <c r="B218" s="1066"/>
      <c r="C218" s="862"/>
      <c r="D218" s="835"/>
      <c r="E218" s="1067"/>
      <c r="F218" s="862"/>
      <c r="G218" s="862"/>
      <c r="H218" s="1077">
        <f>+(H219*W219)+(H227*W227)</f>
        <v>1</v>
      </c>
      <c r="I218" s="1068">
        <f>+(I219*X219)+(I227*X227)</f>
        <v>0.6399999999999999</v>
      </c>
      <c r="J218" s="1082"/>
      <c r="K218" s="1463"/>
      <c r="L218" s="1071"/>
      <c r="M218" s="1069"/>
      <c r="N218" s="1069"/>
      <c r="O218" s="1464"/>
      <c r="P218" s="1464"/>
      <c r="Q218" s="1464"/>
      <c r="R218" s="1072"/>
      <c r="S218" s="1464"/>
      <c r="T218" s="1465"/>
      <c r="U218" s="1075"/>
      <c r="V218" s="1246">
        <f>+(V219*W219)+(V227*W227)</f>
        <v>0.54</v>
      </c>
      <c r="W218" s="1077">
        <v>0.1</v>
      </c>
      <c r="X218" s="883">
        <v>0.1</v>
      </c>
      <c r="Y218" s="1078">
        <f>+Y219+Y227</f>
        <v>349000000</v>
      </c>
      <c r="Z218" s="1078">
        <f>+Z219+Z227</f>
        <v>103830000</v>
      </c>
      <c r="AA218" s="1078">
        <f>+AA219+AA227</f>
        <v>170793813</v>
      </c>
      <c r="AB218" s="1079">
        <f t="shared" si="213"/>
        <v>0.48938055300859601</v>
      </c>
      <c r="AC218" s="1078">
        <f>+AC219+AC227</f>
        <v>154222709</v>
      </c>
      <c r="AD218" s="1306">
        <f t="shared" si="214"/>
        <v>0.44189887965616048</v>
      </c>
      <c r="AE218" s="1066">
        <f>+AE219+AE227</f>
        <v>16571104</v>
      </c>
      <c r="AF218" s="1069">
        <f>+AF219+AF227</f>
        <v>36600000</v>
      </c>
      <c r="AG218" s="1078">
        <f>+AG219+AG227</f>
        <v>36600000</v>
      </c>
      <c r="AH218" s="1314">
        <f t="shared" si="215"/>
        <v>1</v>
      </c>
      <c r="AI218" s="1078">
        <f t="shared" ref="AI218" si="234">+AI219+AI227</f>
        <v>1570000000</v>
      </c>
      <c r="AJ218" s="1078">
        <f>+AJ219+AJ227</f>
        <v>274623813</v>
      </c>
      <c r="AK218" s="1306">
        <f t="shared" si="221"/>
        <v>0.17491962611464967</v>
      </c>
      <c r="AL218" s="1071"/>
      <c r="AM218" s="1071" t="s">
        <v>301</v>
      </c>
      <c r="AN218" s="1069"/>
      <c r="AO218" s="1066"/>
      <c r="AP218" s="1315"/>
      <c r="AQ218" s="1315"/>
    </row>
    <row r="219" spans="1:43" ht="42" customHeight="1">
      <c r="A219" s="331" t="s">
        <v>490</v>
      </c>
      <c r="B219" s="437"/>
      <c r="C219" s="873"/>
      <c r="D219" s="849"/>
      <c r="E219" s="1572"/>
      <c r="F219" s="873"/>
      <c r="G219" s="873"/>
      <c r="H219" s="294">
        <f>+(H220*22%)+(H221*16%)+(H222*16%)+(H223*16%)++(H224*18%)+(H226*12%)</f>
        <v>1</v>
      </c>
      <c r="I219" s="1608">
        <f>+SUMPRODUCT(I220:I226,X220:X226)</f>
        <v>0.54999999999999993</v>
      </c>
      <c r="J219" s="1609"/>
      <c r="K219" s="1575"/>
      <c r="L219" s="243"/>
      <c r="M219" s="1576"/>
      <c r="N219" s="1576"/>
      <c r="O219" s="1577"/>
      <c r="P219" s="1577"/>
      <c r="Q219" s="1577"/>
      <c r="R219" s="1578"/>
      <c r="S219" s="1577"/>
      <c r="T219" s="1610"/>
      <c r="U219" s="261"/>
      <c r="V219" s="1580">
        <f>+SUMPRODUCT(V220:V226,W220:W226)</f>
        <v>0.55000000000000004</v>
      </c>
      <c r="W219" s="294">
        <v>0.8</v>
      </c>
      <c r="X219" s="899">
        <v>0.8</v>
      </c>
      <c r="Y219" s="1581">
        <f>SUM(Y220:Y226)</f>
        <v>304000000</v>
      </c>
      <c r="Z219" s="1581">
        <f>SUM(Z220:Z226)</f>
        <v>52830000</v>
      </c>
      <c r="AA219" s="1581">
        <f>SUM(AA220:AA226)</f>
        <v>126817400</v>
      </c>
      <c r="AB219" s="1582">
        <f t="shared" si="213"/>
        <v>0.41716249999999999</v>
      </c>
      <c r="AC219" s="1585">
        <f>SUM(AC220:AC226)</f>
        <v>112237392</v>
      </c>
      <c r="AD219" s="1586">
        <f t="shared" si="214"/>
        <v>0.36920194736842105</v>
      </c>
      <c r="AE219" s="1584">
        <f>SUM(AE220:AE226)</f>
        <v>14580008</v>
      </c>
      <c r="AF219" s="1576">
        <f>SUM(AF220:AF226)</f>
        <v>3600000</v>
      </c>
      <c r="AG219" s="1581">
        <f>SUM(AG220:AG226)</f>
        <v>3600000</v>
      </c>
      <c r="AH219" s="613">
        <f t="shared" si="215"/>
        <v>1</v>
      </c>
      <c r="AI219" s="1581">
        <f t="shared" ref="AI219" si="235">SUM(AI220:AI226)</f>
        <v>1250000000</v>
      </c>
      <c r="AJ219" s="1581">
        <f>SUM(AJ220:AJ226)</f>
        <v>179647400</v>
      </c>
      <c r="AK219" s="1586">
        <f t="shared" si="221"/>
        <v>0.14371792</v>
      </c>
      <c r="AL219" s="1587"/>
      <c r="AM219" s="1588"/>
      <c r="AN219" s="1589"/>
      <c r="AO219" s="1584"/>
      <c r="AP219" s="1590"/>
      <c r="AQ219" s="1590"/>
    </row>
    <row r="220" spans="1:43" ht="75.75" customHeight="1">
      <c r="A220" s="353" t="s">
        <v>650</v>
      </c>
      <c r="B220" s="458" t="s">
        <v>823</v>
      </c>
      <c r="C220" s="1611">
        <v>1</v>
      </c>
      <c r="D220" s="409">
        <v>1</v>
      </c>
      <c r="E220" s="213">
        <v>1</v>
      </c>
      <c r="F220" s="147">
        <v>1</v>
      </c>
      <c r="G220" s="147"/>
      <c r="H220" s="180">
        <f t="shared" ref="H220:H226" si="236">IF((E220+G220)/C220&gt;=100%,100%,(E220+G220)/C220)</f>
        <v>1</v>
      </c>
      <c r="I220" s="682">
        <f t="shared" ref="I220" si="237">IF(F220/D220&gt;=100%,100%,F220/D220)</f>
        <v>1</v>
      </c>
      <c r="J220" s="93" t="s">
        <v>1564</v>
      </c>
      <c r="K220" s="1507"/>
      <c r="L220" s="101"/>
      <c r="M220" s="104"/>
      <c r="N220" s="146"/>
      <c r="O220" s="195"/>
      <c r="P220" s="195"/>
      <c r="Q220" s="195"/>
      <c r="R220" s="150"/>
      <c r="S220" s="195"/>
      <c r="T220" s="306">
        <v>4</v>
      </c>
      <c r="U220" s="242">
        <f>SUM(E220:G220)</f>
        <v>2</v>
      </c>
      <c r="V220" s="186">
        <f t="shared" ref="V220:V226" si="238">IF(U220/T220&gt;=100%,100%,U220/T220)</f>
        <v>0.5</v>
      </c>
      <c r="W220" s="479">
        <v>0.2</v>
      </c>
      <c r="X220" s="479">
        <v>0.2</v>
      </c>
      <c r="Y220" s="545">
        <v>40000000</v>
      </c>
      <c r="Z220" s="377">
        <v>8330000</v>
      </c>
      <c r="AA220" s="545">
        <v>31878784</v>
      </c>
      <c r="AB220" s="273">
        <f t="shared" si="213"/>
        <v>0.79696959999999994</v>
      </c>
      <c r="AC220" s="545">
        <v>29804729</v>
      </c>
      <c r="AD220" s="1030">
        <f t="shared" si="214"/>
        <v>0.74511822500000002</v>
      </c>
      <c r="AE220" s="156">
        <f t="shared" ref="AE220:AE226" si="239">+AA220-AC220</f>
        <v>2074055</v>
      </c>
      <c r="AF220" s="1612">
        <v>0</v>
      </c>
      <c r="AG220" s="377">
        <v>0</v>
      </c>
      <c r="AH220" s="614" t="e">
        <f t="shared" si="215"/>
        <v>#DIV/0!</v>
      </c>
      <c r="AI220" s="250">
        <v>200000000</v>
      </c>
      <c r="AJ220" s="250">
        <f t="shared" ref="AJ220:AJ228" si="240">+SUM(Z220:AA220)</f>
        <v>40208784</v>
      </c>
      <c r="AK220" s="1021">
        <f t="shared" si="221"/>
        <v>0.20104391999999999</v>
      </c>
      <c r="AL220" s="173"/>
      <c r="AM220" s="157"/>
      <c r="AN220" s="152" t="s">
        <v>302</v>
      </c>
      <c r="AO220" s="1613" t="s">
        <v>924</v>
      </c>
      <c r="AP220" s="93"/>
      <c r="AQ220" s="93"/>
    </row>
    <row r="221" spans="1:43" ht="87.75" customHeight="1">
      <c r="A221" s="353" t="s">
        <v>651</v>
      </c>
      <c r="B221" s="458" t="s">
        <v>824</v>
      </c>
      <c r="C221" s="1611">
        <v>1</v>
      </c>
      <c r="D221" s="409">
        <v>0.1</v>
      </c>
      <c r="E221" s="1009">
        <v>0</v>
      </c>
      <c r="F221" s="859">
        <v>0</v>
      </c>
      <c r="G221" s="859">
        <v>1</v>
      </c>
      <c r="H221" s="1010">
        <f t="shared" si="236"/>
        <v>1</v>
      </c>
      <c r="I221" s="1614">
        <v>0</v>
      </c>
      <c r="J221" s="1615" t="s">
        <v>1565</v>
      </c>
      <c r="K221" s="1525"/>
      <c r="L221" s="1014"/>
      <c r="M221" s="1015"/>
      <c r="N221" s="1013"/>
      <c r="O221" s="1526"/>
      <c r="P221" s="1526"/>
      <c r="Q221" s="1526"/>
      <c r="R221" s="1017"/>
      <c r="S221" s="1526"/>
      <c r="T221" s="306">
        <v>1</v>
      </c>
      <c r="U221" s="1008">
        <f>SUM(E221:G221)</f>
        <v>1</v>
      </c>
      <c r="V221" s="1438">
        <f t="shared" si="238"/>
        <v>1</v>
      </c>
      <c r="W221" s="479">
        <v>0.15</v>
      </c>
      <c r="X221" s="479">
        <v>0.15</v>
      </c>
      <c r="Y221" s="1616">
        <v>40000000</v>
      </c>
      <c r="Z221" s="377">
        <v>15000000</v>
      </c>
      <c r="AA221" s="545">
        <v>20178784</v>
      </c>
      <c r="AB221" s="1114">
        <f t="shared" si="213"/>
        <v>0.50446959999999996</v>
      </c>
      <c r="AC221" s="545">
        <v>18104729</v>
      </c>
      <c r="AD221" s="1139">
        <f t="shared" si="214"/>
        <v>0.45261822499999999</v>
      </c>
      <c r="AE221" s="1116">
        <f t="shared" si="239"/>
        <v>2074055</v>
      </c>
      <c r="AF221" s="1612">
        <v>0</v>
      </c>
      <c r="AG221" s="377">
        <v>0</v>
      </c>
      <c r="AH221" s="1089" t="e">
        <f t="shared" si="215"/>
        <v>#DIV/0!</v>
      </c>
      <c r="AI221" s="1208">
        <v>80000000</v>
      </c>
      <c r="AJ221" s="1118">
        <f t="shared" si="240"/>
        <v>35178784</v>
      </c>
      <c r="AK221" s="1139">
        <f t="shared" si="221"/>
        <v>0.43973479999999998</v>
      </c>
      <c r="AL221" s="1140"/>
      <c r="AM221" s="1119"/>
      <c r="AN221" s="152" t="s">
        <v>302</v>
      </c>
      <c r="AO221" s="2292" t="s">
        <v>924</v>
      </c>
      <c r="AP221" s="93"/>
      <c r="AQ221" s="93"/>
    </row>
    <row r="222" spans="1:43" ht="85.5" customHeight="1">
      <c r="A222" s="353" t="s">
        <v>652</v>
      </c>
      <c r="B222" s="458" t="s">
        <v>825</v>
      </c>
      <c r="C222" s="1611">
        <v>1</v>
      </c>
      <c r="D222" s="409">
        <v>0.1</v>
      </c>
      <c r="E222" s="1009">
        <v>1</v>
      </c>
      <c r="F222" s="859">
        <v>0</v>
      </c>
      <c r="G222" s="859"/>
      <c r="H222" s="1010">
        <f t="shared" si="236"/>
        <v>1</v>
      </c>
      <c r="I222" s="1614">
        <v>0</v>
      </c>
      <c r="J222" s="1615" t="s">
        <v>1565</v>
      </c>
      <c r="K222" s="1525"/>
      <c r="L222" s="1014"/>
      <c r="M222" s="1015"/>
      <c r="N222" s="1013"/>
      <c r="O222" s="1526"/>
      <c r="P222" s="1526"/>
      <c r="Q222" s="1526"/>
      <c r="R222" s="1017"/>
      <c r="S222" s="1526"/>
      <c r="T222" s="306">
        <v>2</v>
      </c>
      <c r="U222" s="1008">
        <f t="shared" ref="U222:U226" si="241">SUM(E222:G222)</f>
        <v>1</v>
      </c>
      <c r="V222" s="1438">
        <f t="shared" si="238"/>
        <v>0.5</v>
      </c>
      <c r="W222" s="479">
        <v>0.15</v>
      </c>
      <c r="X222" s="479">
        <v>0.15</v>
      </c>
      <c r="Y222" s="1616">
        <v>40000000</v>
      </c>
      <c r="Z222" s="377">
        <v>15000000</v>
      </c>
      <c r="AA222" s="545">
        <v>20178784</v>
      </c>
      <c r="AB222" s="1114">
        <f t="shared" si="213"/>
        <v>0.50446959999999996</v>
      </c>
      <c r="AC222" s="545">
        <v>18104729</v>
      </c>
      <c r="AD222" s="1139">
        <f t="shared" si="214"/>
        <v>0.45261822499999999</v>
      </c>
      <c r="AE222" s="1116">
        <f t="shared" si="239"/>
        <v>2074055</v>
      </c>
      <c r="AF222" s="1612">
        <v>3600000</v>
      </c>
      <c r="AG222" s="377">
        <v>3600000</v>
      </c>
      <c r="AH222" s="1089">
        <f t="shared" si="215"/>
        <v>1</v>
      </c>
      <c r="AI222" s="1208">
        <v>80000000</v>
      </c>
      <c r="AJ222" s="1118">
        <f t="shared" si="240"/>
        <v>35178784</v>
      </c>
      <c r="AK222" s="1139">
        <f t="shared" si="221"/>
        <v>0.43973479999999998</v>
      </c>
      <c r="AL222" s="1140"/>
      <c r="AM222" s="1119"/>
      <c r="AN222" s="152" t="s">
        <v>302</v>
      </c>
      <c r="AO222" s="2289"/>
      <c r="AP222" s="93"/>
      <c r="AQ222" s="93"/>
    </row>
    <row r="223" spans="1:43" ht="69.75" customHeight="1">
      <c r="A223" s="353" t="s">
        <v>653</v>
      </c>
      <c r="B223" s="458" t="s">
        <v>826</v>
      </c>
      <c r="C223" s="1611">
        <v>1</v>
      </c>
      <c r="D223" s="409">
        <v>0.1</v>
      </c>
      <c r="E223" s="1009">
        <v>0</v>
      </c>
      <c r="F223" s="859">
        <v>0</v>
      </c>
      <c r="G223" s="859">
        <v>1</v>
      </c>
      <c r="H223" s="1010">
        <f t="shared" si="236"/>
        <v>1</v>
      </c>
      <c r="I223" s="1614">
        <v>0</v>
      </c>
      <c r="J223" s="1615" t="s">
        <v>1565</v>
      </c>
      <c r="K223" s="1525"/>
      <c r="L223" s="1014"/>
      <c r="M223" s="1015"/>
      <c r="N223" s="1013"/>
      <c r="O223" s="1526"/>
      <c r="P223" s="1526"/>
      <c r="Q223" s="1526"/>
      <c r="R223" s="1017"/>
      <c r="S223" s="1526"/>
      <c r="T223" s="306">
        <v>3</v>
      </c>
      <c r="U223" s="1008">
        <f t="shared" si="241"/>
        <v>1</v>
      </c>
      <c r="V223" s="1438">
        <f t="shared" si="238"/>
        <v>0.33333333333333331</v>
      </c>
      <c r="W223" s="479">
        <v>0.15</v>
      </c>
      <c r="X223" s="479">
        <v>0.15</v>
      </c>
      <c r="Y223" s="1616">
        <v>30000000</v>
      </c>
      <c r="Z223" s="377">
        <v>0</v>
      </c>
      <c r="AA223" s="545">
        <v>19534088</v>
      </c>
      <c r="AB223" s="1114">
        <f t="shared" si="213"/>
        <v>0.65113626666666669</v>
      </c>
      <c r="AC223" s="545">
        <v>17978547</v>
      </c>
      <c r="AD223" s="1134">
        <f t="shared" si="214"/>
        <v>0.59928490000000001</v>
      </c>
      <c r="AE223" s="1116">
        <f t="shared" si="239"/>
        <v>1555541</v>
      </c>
      <c r="AF223" s="1612">
        <v>0</v>
      </c>
      <c r="AG223" s="377">
        <v>0</v>
      </c>
      <c r="AH223" s="1089" t="e">
        <f t="shared" si="215"/>
        <v>#DIV/0!</v>
      </c>
      <c r="AI223" s="1208">
        <v>80000000</v>
      </c>
      <c r="AJ223" s="1118">
        <f t="shared" si="240"/>
        <v>19534088</v>
      </c>
      <c r="AK223" s="1139">
        <f t="shared" si="221"/>
        <v>0.24417610000000001</v>
      </c>
      <c r="AL223" s="1140"/>
      <c r="AM223" s="1119"/>
      <c r="AN223" s="152" t="s">
        <v>302</v>
      </c>
      <c r="AO223" s="2289"/>
      <c r="AP223" s="93"/>
      <c r="AQ223" s="93"/>
    </row>
    <row r="224" spans="1:43" ht="68.25" customHeight="1">
      <c r="A224" s="353" t="s">
        <v>654</v>
      </c>
      <c r="B224" s="458" t="s">
        <v>827</v>
      </c>
      <c r="C224" s="1611">
        <v>1</v>
      </c>
      <c r="D224" s="409">
        <v>1</v>
      </c>
      <c r="E224" s="1009">
        <v>1</v>
      </c>
      <c r="F224" s="859">
        <v>1</v>
      </c>
      <c r="G224" s="859"/>
      <c r="H224" s="1010">
        <f t="shared" si="236"/>
        <v>1</v>
      </c>
      <c r="I224" s="1614">
        <f t="shared" ref="I224:I226" si="242">IF(F224/D224&gt;=100%,100%,F224/D224)</f>
        <v>1</v>
      </c>
      <c r="J224" s="1230" t="s">
        <v>1566</v>
      </c>
      <c r="K224" s="1525"/>
      <c r="L224" s="1014"/>
      <c r="M224" s="1015"/>
      <c r="N224" s="1013"/>
      <c r="O224" s="1526"/>
      <c r="P224" s="1526"/>
      <c r="Q224" s="1526"/>
      <c r="R224" s="1017"/>
      <c r="S224" s="1526"/>
      <c r="T224" s="306">
        <v>4</v>
      </c>
      <c r="U224" s="1008">
        <f t="shared" si="241"/>
        <v>2</v>
      </c>
      <c r="V224" s="1438">
        <f t="shared" si="238"/>
        <v>0.5</v>
      </c>
      <c r="W224" s="479">
        <v>0.15</v>
      </c>
      <c r="X224" s="479">
        <v>0.15</v>
      </c>
      <c r="Y224" s="545">
        <v>130000000</v>
      </c>
      <c r="Z224" s="377">
        <v>14500000</v>
      </c>
      <c r="AA224" s="545">
        <v>32646960</v>
      </c>
      <c r="AB224" s="1114">
        <f t="shared" si="213"/>
        <v>0.25113046153846152</v>
      </c>
      <c r="AC224" s="545">
        <v>27461821</v>
      </c>
      <c r="AD224" s="1139">
        <f t="shared" si="214"/>
        <v>0.21124477692307692</v>
      </c>
      <c r="AE224" s="1116">
        <f t="shared" si="239"/>
        <v>5185139</v>
      </c>
      <c r="AF224" s="1612">
        <v>0</v>
      </c>
      <c r="AG224" s="377">
        <v>0</v>
      </c>
      <c r="AH224" s="1089" t="e">
        <f t="shared" si="215"/>
        <v>#DIV/0!</v>
      </c>
      <c r="AI224" s="1118">
        <v>650000000</v>
      </c>
      <c r="AJ224" s="1118">
        <f t="shared" si="240"/>
        <v>47146960</v>
      </c>
      <c r="AK224" s="1139">
        <f t="shared" si="221"/>
        <v>7.2533784615384622E-2</v>
      </c>
      <c r="AL224" s="1140"/>
      <c r="AM224" s="1119"/>
      <c r="AN224" s="152" t="s">
        <v>302</v>
      </c>
      <c r="AO224" s="2289"/>
      <c r="AP224" s="93"/>
      <c r="AQ224" s="93"/>
    </row>
    <row r="225" spans="1:43" ht="57.75" customHeight="1">
      <c r="A225" s="353" t="s">
        <v>655</v>
      </c>
      <c r="B225" s="458" t="s">
        <v>828</v>
      </c>
      <c r="C225" s="1611">
        <v>0</v>
      </c>
      <c r="D225" s="409">
        <v>1</v>
      </c>
      <c r="E225" s="1009">
        <v>0</v>
      </c>
      <c r="F225" s="859">
        <v>1</v>
      </c>
      <c r="G225" s="859"/>
      <c r="H225" s="1010" t="e">
        <f t="shared" si="236"/>
        <v>#DIV/0!</v>
      </c>
      <c r="I225" s="1614">
        <f t="shared" si="242"/>
        <v>1</v>
      </c>
      <c r="J225" s="1230" t="s">
        <v>1567</v>
      </c>
      <c r="K225" s="1525"/>
      <c r="L225" s="1014"/>
      <c r="M225" s="1015"/>
      <c r="N225" s="1013"/>
      <c r="O225" s="1526"/>
      <c r="P225" s="1526"/>
      <c r="Q225" s="1526"/>
      <c r="R225" s="1017"/>
      <c r="S225" s="1526"/>
      <c r="T225" s="306">
        <v>2</v>
      </c>
      <c r="U225" s="1008">
        <f t="shared" si="241"/>
        <v>1</v>
      </c>
      <c r="V225" s="1438">
        <f t="shared" si="238"/>
        <v>0.5</v>
      </c>
      <c r="W225" s="479">
        <v>0.1</v>
      </c>
      <c r="X225" s="479">
        <v>0.1</v>
      </c>
      <c r="Y225" s="545">
        <v>15000000</v>
      </c>
      <c r="Z225" s="377">
        <v>0</v>
      </c>
      <c r="AA225" s="545">
        <v>1500000</v>
      </c>
      <c r="AB225" s="1114">
        <f t="shared" si="213"/>
        <v>0.1</v>
      </c>
      <c r="AC225" s="545">
        <v>489273</v>
      </c>
      <c r="AD225" s="1139">
        <f t="shared" si="214"/>
        <v>3.26182E-2</v>
      </c>
      <c r="AE225" s="1116">
        <f t="shared" si="239"/>
        <v>1010727</v>
      </c>
      <c r="AF225" s="1612">
        <v>0</v>
      </c>
      <c r="AG225" s="377">
        <v>0</v>
      </c>
      <c r="AH225" s="1089" t="e">
        <f t="shared" si="215"/>
        <v>#DIV/0!</v>
      </c>
      <c r="AI225" s="1118">
        <v>80000000</v>
      </c>
      <c r="AJ225" s="1118">
        <f t="shared" si="240"/>
        <v>1500000</v>
      </c>
      <c r="AK225" s="1139">
        <f t="shared" si="221"/>
        <v>1.8749999999999999E-2</v>
      </c>
      <c r="AL225" s="1140"/>
      <c r="AM225" s="1119"/>
      <c r="AN225" s="152" t="s">
        <v>302</v>
      </c>
      <c r="AO225" s="2290"/>
      <c r="AP225" s="93"/>
      <c r="AQ225" s="93"/>
    </row>
    <row r="226" spans="1:43" ht="51.75" customHeight="1">
      <c r="A226" s="353" t="s">
        <v>656</v>
      </c>
      <c r="B226" s="458" t="s">
        <v>829</v>
      </c>
      <c r="C226" s="1611">
        <v>1</v>
      </c>
      <c r="D226" s="409">
        <v>1</v>
      </c>
      <c r="E226" s="1009">
        <v>1</v>
      </c>
      <c r="F226" s="859">
        <v>1</v>
      </c>
      <c r="G226" s="859"/>
      <c r="H226" s="1010">
        <f t="shared" si="236"/>
        <v>1</v>
      </c>
      <c r="I226" s="1614">
        <f t="shared" si="242"/>
        <v>1</v>
      </c>
      <c r="J226" s="1230" t="s">
        <v>1568</v>
      </c>
      <c r="K226" s="1525"/>
      <c r="L226" s="1014"/>
      <c r="M226" s="1015"/>
      <c r="N226" s="1013"/>
      <c r="O226" s="1526"/>
      <c r="P226" s="1526"/>
      <c r="Q226" s="1526"/>
      <c r="R226" s="1017"/>
      <c r="S226" s="1526"/>
      <c r="T226" s="306">
        <v>4</v>
      </c>
      <c r="U226" s="1008">
        <f t="shared" si="241"/>
        <v>2</v>
      </c>
      <c r="V226" s="1438">
        <f t="shared" si="238"/>
        <v>0.5</v>
      </c>
      <c r="W226" s="479">
        <v>0.1</v>
      </c>
      <c r="X226" s="479">
        <v>0.1</v>
      </c>
      <c r="Y226" s="545">
        <v>9000000</v>
      </c>
      <c r="Z226" s="377">
        <v>0</v>
      </c>
      <c r="AA226" s="545">
        <v>900000</v>
      </c>
      <c r="AB226" s="1114">
        <f t="shared" si="213"/>
        <v>0.1</v>
      </c>
      <c r="AC226" s="545">
        <v>293564</v>
      </c>
      <c r="AD226" s="1139">
        <f t="shared" si="214"/>
        <v>3.2618222222222222E-2</v>
      </c>
      <c r="AE226" s="1116">
        <f t="shared" si="239"/>
        <v>606436</v>
      </c>
      <c r="AF226" s="1612">
        <v>0</v>
      </c>
      <c r="AG226" s="377">
        <v>0</v>
      </c>
      <c r="AH226" s="1089" t="e">
        <f t="shared" si="215"/>
        <v>#DIV/0!</v>
      </c>
      <c r="AI226" s="1118">
        <v>80000000</v>
      </c>
      <c r="AJ226" s="1118">
        <f t="shared" si="240"/>
        <v>900000</v>
      </c>
      <c r="AK226" s="1139">
        <f t="shared" si="221"/>
        <v>1.125E-2</v>
      </c>
      <c r="AL226" s="1140"/>
      <c r="AM226" s="1119"/>
      <c r="AN226" s="152" t="s">
        <v>302</v>
      </c>
      <c r="AO226" s="1613" t="s">
        <v>924</v>
      </c>
      <c r="AP226" s="93"/>
      <c r="AQ226" s="93"/>
    </row>
    <row r="227" spans="1:43" ht="38.25" customHeight="1">
      <c r="A227" s="315" t="s">
        <v>491</v>
      </c>
      <c r="B227" s="138"/>
      <c r="C227" s="139"/>
      <c r="D227" s="223"/>
      <c r="E227" s="212"/>
      <c r="F227" s="139"/>
      <c r="G227" s="139"/>
      <c r="H227" s="140">
        <f>+SUMPRODUCT(H228:H228,W228:W228)</f>
        <v>1</v>
      </c>
      <c r="I227" s="1617">
        <f>+SUMPRODUCT(I228:I228,X228:X228)</f>
        <v>1</v>
      </c>
      <c r="J227" s="1618"/>
      <c r="K227" s="1619"/>
      <c r="L227" s="141"/>
      <c r="M227" s="142"/>
      <c r="N227" s="142"/>
      <c r="O227" s="194"/>
      <c r="P227" s="194"/>
      <c r="Q227" s="194"/>
      <c r="R227" s="163"/>
      <c r="S227" s="194"/>
      <c r="T227" s="240"/>
      <c r="U227" s="261"/>
      <c r="V227" s="177">
        <f>+SUMPRODUCT(V228:V228,W228:W228)</f>
        <v>0.5</v>
      </c>
      <c r="W227" s="140">
        <v>0.2</v>
      </c>
      <c r="X227" s="471">
        <v>0.2</v>
      </c>
      <c r="Y227" s="1453">
        <f>SUM(Y228)</f>
        <v>45000000</v>
      </c>
      <c r="Z227" s="1453">
        <f>SUM(Z228)</f>
        <v>51000000</v>
      </c>
      <c r="AA227" s="1453">
        <f>SUM(AA228)</f>
        <v>43976413</v>
      </c>
      <c r="AB227" s="272">
        <f t="shared" si="213"/>
        <v>0.97725362222222223</v>
      </c>
      <c r="AC227" s="1453">
        <f>SUM(AC228)</f>
        <v>41985317</v>
      </c>
      <c r="AD227" s="1454">
        <f t="shared" si="214"/>
        <v>0.93300704444444449</v>
      </c>
      <c r="AE227" s="145">
        <f>SUM(AE228)</f>
        <v>1991096</v>
      </c>
      <c r="AF227" s="142">
        <f>SUM(AF228)</f>
        <v>33000000</v>
      </c>
      <c r="AG227" s="1453">
        <f>SUM(AG228)</f>
        <v>33000000</v>
      </c>
      <c r="AH227" s="613">
        <f t="shared" si="215"/>
        <v>1</v>
      </c>
      <c r="AI227" s="1453">
        <f t="shared" ref="AI227:AJ227" si="243">SUM(AI228)</f>
        <v>320000000</v>
      </c>
      <c r="AJ227" s="1453">
        <f t="shared" si="243"/>
        <v>94976413</v>
      </c>
      <c r="AK227" s="1455">
        <f t="shared" si="221"/>
        <v>0.29680129062499999</v>
      </c>
      <c r="AL227" s="179"/>
      <c r="AM227" s="165"/>
      <c r="AN227" s="553"/>
      <c r="AO227" s="145"/>
      <c r="AP227" s="98"/>
      <c r="AQ227" s="98"/>
    </row>
    <row r="228" spans="1:43" ht="83.25" customHeight="1" thickBot="1">
      <c r="A228" s="1620" t="s">
        <v>657</v>
      </c>
      <c r="B228" s="1621" t="s">
        <v>830</v>
      </c>
      <c r="C228" s="1622">
        <v>1</v>
      </c>
      <c r="D228" s="852">
        <v>1</v>
      </c>
      <c r="E228" s="870">
        <v>1</v>
      </c>
      <c r="F228" s="860">
        <v>1</v>
      </c>
      <c r="G228" s="860"/>
      <c r="H228" s="1021">
        <f t="shared" ref="H228" si="244">IF((E228+G228)/C228&gt;=100%,100%,(E228+G228)/C228)</f>
        <v>1</v>
      </c>
      <c r="I228" s="1623">
        <f t="shared" ref="I228" si="245">IF(F228/D228&gt;=100%,100%,F228/D228)</f>
        <v>1</v>
      </c>
      <c r="J228" s="1624" t="s">
        <v>1569</v>
      </c>
      <c r="K228" s="1507"/>
      <c r="L228" s="206"/>
      <c r="M228" s="207"/>
      <c r="N228" s="1023"/>
      <c r="O228" s="195"/>
      <c r="P228" s="195"/>
      <c r="Q228" s="195"/>
      <c r="R228" s="1024"/>
      <c r="S228" s="195"/>
      <c r="T228" s="1625">
        <v>4</v>
      </c>
      <c r="U228" s="1026">
        <f>SUM(E228:G228)</f>
        <v>2</v>
      </c>
      <c r="V228" s="1387">
        <f t="shared" ref="V228" si="246">IF(U228/T228&gt;=100%,100%,U228/T228)</f>
        <v>0.5</v>
      </c>
      <c r="W228" s="1388">
        <v>1</v>
      </c>
      <c r="X228" s="477">
        <v>1</v>
      </c>
      <c r="Y228" s="1626">
        <v>45000000</v>
      </c>
      <c r="Z228" s="1627">
        <v>51000000</v>
      </c>
      <c r="AA228" s="1627">
        <v>43976413</v>
      </c>
      <c r="AB228" s="1029">
        <f t="shared" si="213"/>
        <v>0.97725362222222223</v>
      </c>
      <c r="AC228" s="1627">
        <v>41985317</v>
      </c>
      <c r="AD228" s="1030">
        <f t="shared" si="214"/>
        <v>0.93300704444444449</v>
      </c>
      <c r="AE228" s="175">
        <f>+AA228-AC228</f>
        <v>1991096</v>
      </c>
      <c r="AF228" s="1628">
        <v>33000000</v>
      </c>
      <c r="AG228" s="1627">
        <v>33000000</v>
      </c>
      <c r="AH228" s="1053">
        <f t="shared" si="215"/>
        <v>1</v>
      </c>
      <c r="AI228" s="1054">
        <v>320000000</v>
      </c>
      <c r="AJ228" s="1054">
        <f t="shared" si="240"/>
        <v>94976413</v>
      </c>
      <c r="AK228" s="1139">
        <f t="shared" si="221"/>
        <v>0.29680129062499999</v>
      </c>
      <c r="AL228" s="173"/>
      <c r="AM228" s="173"/>
      <c r="AN228" s="189" t="s">
        <v>302</v>
      </c>
      <c r="AO228" s="1629" t="s">
        <v>924</v>
      </c>
      <c r="AP228" s="1037"/>
      <c r="AQ228" s="1037"/>
    </row>
    <row r="229" spans="1:43" ht="51" customHeight="1" thickBot="1">
      <c r="A229" s="1065" t="s">
        <v>439</v>
      </c>
      <c r="B229" s="1066"/>
      <c r="C229" s="862"/>
      <c r="D229" s="835"/>
      <c r="E229" s="1067"/>
      <c r="F229" s="862"/>
      <c r="G229" s="862"/>
      <c r="H229" s="1077">
        <f>+(H230*0%)+(H234*100%)</f>
        <v>1</v>
      </c>
      <c r="I229" s="1068">
        <f>+(I230*X230)+(I234*X234)</f>
        <v>0.83200000000000007</v>
      </c>
      <c r="J229" s="1082"/>
      <c r="K229" s="1463"/>
      <c r="L229" s="1071"/>
      <c r="M229" s="1069"/>
      <c r="N229" s="1069"/>
      <c r="O229" s="1464"/>
      <c r="P229" s="1464"/>
      <c r="Q229" s="1464"/>
      <c r="R229" s="1072"/>
      <c r="S229" s="1464"/>
      <c r="T229" s="1465"/>
      <c r="U229" s="1075"/>
      <c r="V229" s="1246">
        <f>+(V230*W30)+(V234*W234)</f>
        <v>0.55199999999999994</v>
      </c>
      <c r="W229" s="1077">
        <v>0.1</v>
      </c>
      <c r="X229" s="883">
        <v>0.1</v>
      </c>
      <c r="Y229" s="1078">
        <f>+Y230+Y234</f>
        <v>1300000000</v>
      </c>
      <c r="Z229" s="1078">
        <f>+Z230+Z234</f>
        <v>1216381367</v>
      </c>
      <c r="AA229" s="1078">
        <f>+AA230+AA234</f>
        <v>1068130934</v>
      </c>
      <c r="AB229" s="1079">
        <f t="shared" si="213"/>
        <v>0.82163918000000002</v>
      </c>
      <c r="AC229" s="1078">
        <f>+AC230+AC234</f>
        <v>924899955</v>
      </c>
      <c r="AD229" s="1068">
        <f t="shared" si="214"/>
        <v>0.71146150384615381</v>
      </c>
      <c r="AE229" s="1066">
        <f>+AE230+AE234</f>
        <v>143230979</v>
      </c>
      <c r="AF229" s="1069">
        <f>+AF230+AF234</f>
        <v>1154381367</v>
      </c>
      <c r="AG229" s="1078">
        <f>+AG230+AG234</f>
        <v>1144381367</v>
      </c>
      <c r="AH229" s="1314">
        <f t="shared" si="215"/>
        <v>0.99133735151496083</v>
      </c>
      <c r="AI229" s="1078">
        <f t="shared" ref="AI229" si="247">+AI230+AI234</f>
        <v>5700000000</v>
      </c>
      <c r="AJ229" s="1078">
        <f>+AJ230+AJ234</f>
        <v>2284512301</v>
      </c>
      <c r="AK229" s="1247">
        <f t="shared" si="221"/>
        <v>0.40079163175438598</v>
      </c>
      <c r="AL229" s="1071"/>
      <c r="AM229" s="1071" t="s">
        <v>301</v>
      </c>
      <c r="AN229" s="1069"/>
      <c r="AO229" s="1066"/>
      <c r="AP229" s="1315"/>
      <c r="AQ229" s="1315"/>
    </row>
    <row r="230" spans="1:43" ht="47.25" customHeight="1">
      <c r="A230" s="331" t="s">
        <v>492</v>
      </c>
      <c r="B230" s="437"/>
      <c r="C230" s="873"/>
      <c r="D230" s="849"/>
      <c r="E230" s="1572"/>
      <c r="F230" s="873"/>
      <c r="G230" s="873"/>
      <c r="H230" s="294">
        <v>0</v>
      </c>
      <c r="I230" s="1608">
        <f>+SUMPRODUCT(I231:I233,X231:X233)</f>
        <v>0.4</v>
      </c>
      <c r="J230" s="1609"/>
      <c r="K230" s="1575"/>
      <c r="L230" s="243"/>
      <c r="M230" s="1576"/>
      <c r="N230" s="1576"/>
      <c r="O230" s="1577"/>
      <c r="P230" s="1577"/>
      <c r="Q230" s="1577"/>
      <c r="R230" s="1578"/>
      <c r="S230" s="1577"/>
      <c r="T230" s="1579"/>
      <c r="U230" s="261"/>
      <c r="V230" s="1580">
        <f>+SUMPRODUCT(V231:V233,W231:W233)</f>
        <v>0.13333333333333333</v>
      </c>
      <c r="W230" s="294">
        <v>0.2</v>
      </c>
      <c r="X230" s="899">
        <v>0.2</v>
      </c>
      <c r="Y230" s="1581">
        <f>SUM(Y231:Y233)</f>
        <v>140000000</v>
      </c>
      <c r="Z230" s="1581">
        <f>SUM(Z231:Z233)</f>
        <v>0</v>
      </c>
      <c r="AA230" s="1581">
        <f>SUM(AA231:AA233)</f>
        <v>12626203</v>
      </c>
      <c r="AB230" s="1582">
        <f t="shared" si="213"/>
        <v>9.0187164285714286E-2</v>
      </c>
      <c r="AC230" s="1581">
        <f>SUM(AC231:AC233)</f>
        <v>4098282</v>
      </c>
      <c r="AD230" s="1586">
        <f t="shared" si="214"/>
        <v>2.9273442857142857E-2</v>
      </c>
      <c r="AE230" s="1584">
        <f>SUM(AE231:AE233)</f>
        <v>8527921</v>
      </c>
      <c r="AF230" s="1576">
        <f>SUM(AF231:AF233)</f>
        <v>0</v>
      </c>
      <c r="AG230" s="1581">
        <f>SUM(AG231:AG233)</f>
        <v>0</v>
      </c>
      <c r="AH230" s="613" t="e">
        <f t="shared" si="215"/>
        <v>#DIV/0!</v>
      </c>
      <c r="AI230" s="1581">
        <f t="shared" ref="AI230" si="248">SUM(AI231:AI233)</f>
        <v>450000000</v>
      </c>
      <c r="AJ230" s="1581">
        <f>SUM(AJ231:AJ233)</f>
        <v>12626203</v>
      </c>
      <c r="AK230" s="1586">
        <f t="shared" si="221"/>
        <v>2.8058228888888891E-2</v>
      </c>
      <c r="AL230" s="1587"/>
      <c r="AM230" s="1588"/>
      <c r="AN230" s="1589"/>
      <c r="AO230" s="1584"/>
      <c r="AP230" s="1590"/>
      <c r="AQ230" s="1590"/>
    </row>
    <row r="231" spans="1:43" ht="75" customHeight="1">
      <c r="A231" s="353" t="s">
        <v>658</v>
      </c>
      <c r="B231" s="458" t="s">
        <v>831</v>
      </c>
      <c r="C231" s="1630">
        <v>0</v>
      </c>
      <c r="D231" s="220">
        <v>1</v>
      </c>
      <c r="E231" s="1631">
        <v>0</v>
      </c>
      <c r="F231" s="859">
        <v>1</v>
      </c>
      <c r="G231" s="859"/>
      <c r="H231" s="1010" t="e">
        <f t="shared" ref="H231:H233" si="249">IF((E231+G231)/C231&gt;=100%,100%,(E231+G231)/C231)</f>
        <v>#DIV/0!</v>
      </c>
      <c r="I231" s="1614">
        <f t="shared" ref="I231:I233" si="250">IF(F231/D231&gt;=100%,100%,F231/D231)</f>
        <v>1</v>
      </c>
      <c r="J231" s="1230" t="s">
        <v>1570</v>
      </c>
      <c r="K231" s="1525"/>
      <c r="L231" s="1014"/>
      <c r="M231" s="1015"/>
      <c r="N231" s="1013"/>
      <c r="O231" s="1526"/>
      <c r="P231" s="1526"/>
      <c r="Q231" s="1526"/>
      <c r="R231" s="1017"/>
      <c r="S231" s="1526"/>
      <c r="T231" s="1527">
        <v>3</v>
      </c>
      <c r="U231" s="1008">
        <f>SUM(E231:G231)</f>
        <v>1</v>
      </c>
      <c r="V231" s="1438">
        <f t="shared" ref="V231:V233" si="251">IF(U231/T231&gt;=100%,100%,U231/T231)</f>
        <v>0.33333333333333331</v>
      </c>
      <c r="W231" s="479">
        <v>0.4</v>
      </c>
      <c r="X231" s="479">
        <v>0.4</v>
      </c>
      <c r="Y231" s="624">
        <v>50000000</v>
      </c>
      <c r="Z231" s="378">
        <v>0</v>
      </c>
      <c r="AA231" s="624">
        <v>4156650</v>
      </c>
      <c r="AB231" s="1114">
        <f t="shared" si="213"/>
        <v>8.3132999999999999E-2</v>
      </c>
      <c r="AC231" s="624">
        <v>1343991</v>
      </c>
      <c r="AD231" s="1139">
        <f t="shared" si="214"/>
        <v>2.6879819999999999E-2</v>
      </c>
      <c r="AE231" s="1116">
        <f>+AA231-AC231</f>
        <v>2812659</v>
      </c>
      <c r="AF231" s="1632">
        <v>0</v>
      </c>
      <c r="AG231" s="378">
        <v>0</v>
      </c>
      <c r="AH231" s="1089" t="e">
        <f t="shared" si="215"/>
        <v>#DIV/0!</v>
      </c>
      <c r="AI231" s="1118">
        <f>450000000/3</f>
        <v>150000000</v>
      </c>
      <c r="AJ231" s="1118">
        <f t="shared" ref="AJ231:AJ238" si="252">+SUM(Z231:AA231)</f>
        <v>4156650</v>
      </c>
      <c r="AK231" s="1139">
        <f t="shared" si="221"/>
        <v>2.7711E-2</v>
      </c>
      <c r="AL231" s="1140"/>
      <c r="AM231" s="1119"/>
      <c r="AN231" s="152" t="s">
        <v>302</v>
      </c>
      <c r="AO231" s="1613" t="s">
        <v>890</v>
      </c>
      <c r="AP231" s="93"/>
      <c r="AQ231" s="93"/>
    </row>
    <row r="232" spans="1:43" ht="57.75" customHeight="1">
      <c r="A232" s="353" t="s">
        <v>659</v>
      </c>
      <c r="B232" s="458" t="s">
        <v>832</v>
      </c>
      <c r="C232" s="1630">
        <v>0</v>
      </c>
      <c r="D232" s="308">
        <v>1</v>
      </c>
      <c r="E232" s="1633">
        <v>0</v>
      </c>
      <c r="F232" s="859">
        <v>0</v>
      </c>
      <c r="G232" s="859"/>
      <c r="H232" s="1010" t="e">
        <f t="shared" si="249"/>
        <v>#DIV/0!</v>
      </c>
      <c r="I232" s="1614">
        <f t="shared" si="250"/>
        <v>0</v>
      </c>
      <c r="J232" s="1230" t="s">
        <v>1571</v>
      </c>
      <c r="K232" s="1525"/>
      <c r="L232" s="1014"/>
      <c r="M232" s="1015"/>
      <c r="N232" s="1013"/>
      <c r="O232" s="1526"/>
      <c r="P232" s="1526"/>
      <c r="Q232" s="1526"/>
      <c r="R232" s="1017"/>
      <c r="S232" s="1526"/>
      <c r="T232" s="1527">
        <v>2</v>
      </c>
      <c r="U232" s="1008">
        <f t="shared" ref="U232:U238" si="253">SUM(E232:G232)</f>
        <v>0</v>
      </c>
      <c r="V232" s="1438">
        <f t="shared" si="251"/>
        <v>0</v>
      </c>
      <c r="W232" s="479">
        <v>0.3</v>
      </c>
      <c r="X232" s="479">
        <v>0.3</v>
      </c>
      <c r="Y232" s="624">
        <v>50000000</v>
      </c>
      <c r="Z232" s="378">
        <v>0</v>
      </c>
      <c r="AA232" s="624">
        <v>4156650</v>
      </c>
      <c r="AB232" s="1114">
        <f t="shared" si="213"/>
        <v>8.3132999999999999E-2</v>
      </c>
      <c r="AC232" s="624">
        <v>1343991</v>
      </c>
      <c r="AD232" s="1139">
        <f t="shared" si="214"/>
        <v>2.6879819999999999E-2</v>
      </c>
      <c r="AE232" s="1116">
        <f>+AA232-AC232</f>
        <v>2812659</v>
      </c>
      <c r="AF232" s="1632">
        <v>0</v>
      </c>
      <c r="AG232" s="378">
        <v>0</v>
      </c>
      <c r="AH232" s="1089" t="e">
        <f t="shared" si="215"/>
        <v>#DIV/0!</v>
      </c>
      <c r="AI232" s="1118">
        <f t="shared" ref="AI232:AI233" si="254">450000000/3</f>
        <v>150000000</v>
      </c>
      <c r="AJ232" s="1118">
        <f t="shared" si="252"/>
        <v>4156650</v>
      </c>
      <c r="AK232" s="1139">
        <f t="shared" si="221"/>
        <v>2.7711E-2</v>
      </c>
      <c r="AL232" s="1140"/>
      <c r="AM232" s="1119"/>
      <c r="AN232" s="152" t="s">
        <v>302</v>
      </c>
      <c r="AO232" s="1613" t="s">
        <v>890</v>
      </c>
      <c r="AP232" s="93"/>
      <c r="AQ232" s="93"/>
    </row>
    <row r="233" spans="1:43" ht="95.25" customHeight="1">
      <c r="A233" s="353" t="s">
        <v>660</v>
      </c>
      <c r="B233" s="458" t="s">
        <v>833</v>
      </c>
      <c r="C233" s="1630">
        <v>0</v>
      </c>
      <c r="D233" s="220">
        <v>0.1</v>
      </c>
      <c r="E233" s="1631">
        <v>0</v>
      </c>
      <c r="F233" s="859">
        <v>0</v>
      </c>
      <c r="G233" s="859"/>
      <c r="H233" s="1010" t="e">
        <f t="shared" si="249"/>
        <v>#DIV/0!</v>
      </c>
      <c r="I233" s="1614">
        <f t="shared" si="250"/>
        <v>0</v>
      </c>
      <c r="J233" s="1615" t="s">
        <v>1572</v>
      </c>
      <c r="K233" s="1525"/>
      <c r="L233" s="1014"/>
      <c r="M233" s="1015"/>
      <c r="N233" s="1013"/>
      <c r="O233" s="1526"/>
      <c r="P233" s="1526"/>
      <c r="Q233" s="1526"/>
      <c r="R233" s="1017"/>
      <c r="S233" s="1526"/>
      <c r="T233" s="1527">
        <v>3</v>
      </c>
      <c r="U233" s="1008">
        <f t="shared" si="253"/>
        <v>0</v>
      </c>
      <c r="V233" s="1438">
        <f t="shared" si="251"/>
        <v>0</v>
      </c>
      <c r="W233" s="479">
        <v>0.3</v>
      </c>
      <c r="X233" s="479">
        <v>0.3</v>
      </c>
      <c r="Y233" s="546">
        <v>40000000</v>
      </c>
      <c r="Z233" s="378">
        <v>0</v>
      </c>
      <c r="AA233" s="624">
        <v>4312903</v>
      </c>
      <c r="AB233" s="1114">
        <f t="shared" si="213"/>
        <v>0.107822575</v>
      </c>
      <c r="AC233" s="624">
        <v>1410300</v>
      </c>
      <c r="AD233" s="1139">
        <f t="shared" si="214"/>
        <v>3.5257499999999997E-2</v>
      </c>
      <c r="AE233" s="1116">
        <f>+AA233-AC233</f>
        <v>2902603</v>
      </c>
      <c r="AF233" s="1632">
        <v>0</v>
      </c>
      <c r="AG233" s="378">
        <v>0</v>
      </c>
      <c r="AH233" s="1089" t="e">
        <f t="shared" si="215"/>
        <v>#DIV/0!</v>
      </c>
      <c r="AI233" s="1118">
        <f t="shared" si="254"/>
        <v>150000000</v>
      </c>
      <c r="AJ233" s="1118">
        <f t="shared" si="252"/>
        <v>4312903</v>
      </c>
      <c r="AK233" s="1139">
        <f t="shared" si="221"/>
        <v>2.8752686666666666E-2</v>
      </c>
      <c r="AL233" s="1140"/>
      <c r="AM233" s="1119"/>
      <c r="AN233" s="152" t="s">
        <v>302</v>
      </c>
      <c r="AO233" s="1613" t="s">
        <v>890</v>
      </c>
      <c r="AP233" s="93"/>
      <c r="AQ233" s="93"/>
    </row>
    <row r="234" spans="1:43" ht="46.5" customHeight="1">
      <c r="A234" s="315" t="s">
        <v>493</v>
      </c>
      <c r="B234" s="138"/>
      <c r="C234" s="139"/>
      <c r="D234" s="223"/>
      <c r="E234" s="212"/>
      <c r="F234" s="139"/>
      <c r="G234" s="139"/>
      <c r="H234" s="140">
        <f>+SUMPRODUCT(H235:H238,W235:W238)</f>
        <v>1</v>
      </c>
      <c r="I234" s="1617">
        <f>+SUMPRODUCT(I235:I238,X235:X238)</f>
        <v>0.94000000000000006</v>
      </c>
      <c r="J234" s="1618"/>
      <c r="K234" s="1619"/>
      <c r="L234" s="141"/>
      <c r="M234" s="142"/>
      <c r="N234" s="142"/>
      <c r="O234" s="194"/>
      <c r="P234" s="194"/>
      <c r="Q234" s="194"/>
      <c r="R234" s="163"/>
      <c r="S234" s="194"/>
      <c r="T234" s="240"/>
      <c r="U234" s="258"/>
      <c r="V234" s="177">
        <f>+SUMPRODUCT(V235:V238,W235:W238)</f>
        <v>0.65666666666666662</v>
      </c>
      <c r="W234" s="140">
        <v>0.8</v>
      </c>
      <c r="X234" s="471">
        <v>0.8</v>
      </c>
      <c r="Y234" s="1453">
        <f>SUM(Y235:Y238)</f>
        <v>1160000000</v>
      </c>
      <c r="Z234" s="1453">
        <f>SUM(Z235:Z238)</f>
        <v>1216381367</v>
      </c>
      <c r="AA234" s="1453">
        <f>SUM(AA235:AA238)</f>
        <v>1055504731</v>
      </c>
      <c r="AB234" s="272">
        <f t="shared" si="213"/>
        <v>0.9099178715517241</v>
      </c>
      <c r="AC234" s="1453">
        <f>SUM(AC235:AC238)</f>
        <v>920801673</v>
      </c>
      <c r="AD234" s="1454">
        <f t="shared" si="214"/>
        <v>0.79379454568965513</v>
      </c>
      <c r="AE234" s="145">
        <f>SUM(AE235:AE238)</f>
        <v>134703058</v>
      </c>
      <c r="AF234" s="142">
        <f>SUM(AF235:AF238)</f>
        <v>1154381367</v>
      </c>
      <c r="AG234" s="1453">
        <f>SUM(AG235:AG238)</f>
        <v>1144381367</v>
      </c>
      <c r="AH234" s="613">
        <f t="shared" si="215"/>
        <v>0.99133735151496083</v>
      </c>
      <c r="AI234" s="1453">
        <f>SUM(AI235:AI238)</f>
        <v>5250000000</v>
      </c>
      <c r="AJ234" s="1453">
        <f>SUM(AJ235:AJ238)</f>
        <v>2271886098</v>
      </c>
      <c r="AK234" s="1455">
        <f t="shared" si="221"/>
        <v>0.43274020914285716</v>
      </c>
      <c r="AL234" s="179"/>
      <c r="AM234" s="165"/>
      <c r="AN234" s="553"/>
      <c r="AO234" s="145"/>
      <c r="AP234" s="98"/>
      <c r="AQ234" s="98"/>
    </row>
    <row r="235" spans="1:43" ht="130.5" customHeight="1">
      <c r="A235" s="352" t="s">
        <v>661</v>
      </c>
      <c r="B235" s="457" t="s">
        <v>834</v>
      </c>
      <c r="C235" s="1600">
        <v>0.5</v>
      </c>
      <c r="D235" s="408">
        <v>0.4</v>
      </c>
      <c r="E235" s="305">
        <v>0.5</v>
      </c>
      <c r="F235" s="872">
        <v>0.4</v>
      </c>
      <c r="G235" s="859"/>
      <c r="H235" s="1010">
        <f t="shared" ref="H235:H238" si="255">IF((E235+G235)/C235&gt;=100%,100%,(E235+G235)/C235)</f>
        <v>1</v>
      </c>
      <c r="I235" s="1614">
        <f t="shared" ref="I235:I237" si="256">IF(F235/D235&gt;=100%,100%,F235/D235)</f>
        <v>1</v>
      </c>
      <c r="J235" s="1210" t="s">
        <v>1573</v>
      </c>
      <c r="K235" s="1525"/>
      <c r="L235" s="1014"/>
      <c r="M235" s="1015"/>
      <c r="N235" s="1013"/>
      <c r="O235" s="1526"/>
      <c r="P235" s="1526"/>
      <c r="Q235" s="1526"/>
      <c r="R235" s="1017"/>
      <c r="S235" s="1526"/>
      <c r="T235" s="1634">
        <v>1</v>
      </c>
      <c r="U235" s="1635">
        <f t="shared" si="253"/>
        <v>0.9</v>
      </c>
      <c r="V235" s="1438">
        <f t="shared" ref="V235:V238" si="257">IF(U235/T235&gt;=100%,100%,U235/T235)</f>
        <v>0.9</v>
      </c>
      <c r="W235" s="1636">
        <v>0.35</v>
      </c>
      <c r="X235" s="881">
        <v>0.4</v>
      </c>
      <c r="Y235" s="544">
        <v>600000000</v>
      </c>
      <c r="Z235" s="376">
        <v>649891449</v>
      </c>
      <c r="AA235" s="544">
        <v>548728092</v>
      </c>
      <c r="AB235" s="1114">
        <f t="shared" si="213"/>
        <v>0.91454681999999998</v>
      </c>
      <c r="AC235" s="544">
        <v>502151646</v>
      </c>
      <c r="AD235" s="1134">
        <f t="shared" si="214"/>
        <v>0.83691941000000003</v>
      </c>
      <c r="AE235" s="1116">
        <f>+AA235-AC235</f>
        <v>46576446</v>
      </c>
      <c r="AF235" s="1598">
        <v>649891449</v>
      </c>
      <c r="AG235" s="376">
        <v>649891449</v>
      </c>
      <c r="AH235" s="1089">
        <f t="shared" si="215"/>
        <v>1</v>
      </c>
      <c r="AI235" s="1118">
        <v>1800000000</v>
      </c>
      <c r="AJ235" s="1118">
        <f t="shared" si="252"/>
        <v>1198619541</v>
      </c>
      <c r="AK235" s="1134">
        <f t="shared" si="221"/>
        <v>0.66589974500000004</v>
      </c>
      <c r="AL235" s="1140"/>
      <c r="AM235" s="1119"/>
      <c r="AN235" s="152" t="s">
        <v>302</v>
      </c>
      <c r="AO235" s="2288" t="s">
        <v>890</v>
      </c>
      <c r="AP235" s="93"/>
      <c r="AQ235" s="93"/>
    </row>
    <row r="236" spans="1:43" ht="57.75" customHeight="1">
      <c r="A236" s="352" t="s">
        <v>662</v>
      </c>
      <c r="B236" s="457" t="s">
        <v>835</v>
      </c>
      <c r="C236" s="1600">
        <v>0.1</v>
      </c>
      <c r="D236" s="408">
        <v>0.2</v>
      </c>
      <c r="E236" s="305">
        <v>0.1</v>
      </c>
      <c r="F236" s="872">
        <v>0.2</v>
      </c>
      <c r="G236" s="859"/>
      <c r="H236" s="1010">
        <f t="shared" si="255"/>
        <v>1</v>
      </c>
      <c r="I236" s="1614">
        <f t="shared" si="256"/>
        <v>1</v>
      </c>
      <c r="J236" s="1230" t="s">
        <v>1574</v>
      </c>
      <c r="K236" s="1525"/>
      <c r="L236" s="1014"/>
      <c r="M236" s="1015"/>
      <c r="N236" s="1013"/>
      <c r="O236" s="1526"/>
      <c r="P236" s="1526"/>
      <c r="Q236" s="1526"/>
      <c r="R236" s="1017"/>
      <c r="S236" s="1526"/>
      <c r="T236" s="305">
        <v>0.90000000000000013</v>
      </c>
      <c r="U236" s="1008">
        <f t="shared" si="253"/>
        <v>0.30000000000000004</v>
      </c>
      <c r="V236" s="1438">
        <f t="shared" si="257"/>
        <v>0.33333333333333331</v>
      </c>
      <c r="W236" s="1636">
        <v>0.35</v>
      </c>
      <c r="X236" s="881">
        <v>0.4</v>
      </c>
      <c r="Y236" s="544">
        <v>180000000</v>
      </c>
      <c r="Z236" s="376">
        <v>164237276</v>
      </c>
      <c r="AA236" s="544">
        <v>153603288</v>
      </c>
      <c r="AB236" s="1114">
        <f t="shared" si="213"/>
        <v>0.85335159999999999</v>
      </c>
      <c r="AC236" s="544">
        <v>136048810</v>
      </c>
      <c r="AD236" s="1134">
        <f t="shared" si="214"/>
        <v>0.75582672222222225</v>
      </c>
      <c r="AE236" s="1116">
        <f>+AA236-AC236</f>
        <v>17554478</v>
      </c>
      <c r="AF236" s="1598">
        <v>164237276</v>
      </c>
      <c r="AG236" s="376">
        <v>164237276</v>
      </c>
      <c r="AH236" s="1089">
        <f t="shared" si="215"/>
        <v>1</v>
      </c>
      <c r="AI236" s="1118">
        <v>1600000000</v>
      </c>
      <c r="AJ236" s="1118">
        <f t="shared" si="252"/>
        <v>317840564</v>
      </c>
      <c r="AK236" s="1139">
        <f t="shared" si="221"/>
        <v>0.19865035249999999</v>
      </c>
      <c r="AL236" s="1140"/>
      <c r="AM236" s="1119"/>
      <c r="AN236" s="152" t="s">
        <v>302</v>
      </c>
      <c r="AO236" s="2289"/>
      <c r="AP236" s="93"/>
      <c r="AQ236" s="93"/>
    </row>
    <row r="237" spans="1:43" ht="57" customHeight="1">
      <c r="A237" s="352" t="s">
        <v>663</v>
      </c>
      <c r="B237" s="457" t="s">
        <v>836</v>
      </c>
      <c r="C237" s="1600">
        <v>1</v>
      </c>
      <c r="D237" s="408">
        <v>1</v>
      </c>
      <c r="E237" s="305">
        <v>1</v>
      </c>
      <c r="F237" s="872">
        <v>0.7</v>
      </c>
      <c r="G237" s="859"/>
      <c r="H237" s="1010">
        <f t="shared" si="255"/>
        <v>1</v>
      </c>
      <c r="I237" s="1614">
        <f t="shared" si="256"/>
        <v>0.7</v>
      </c>
      <c r="J237" s="1230" t="s">
        <v>1575</v>
      </c>
      <c r="K237" s="1525"/>
      <c r="L237" s="1014"/>
      <c r="M237" s="1015"/>
      <c r="N237" s="1013"/>
      <c r="O237" s="1526"/>
      <c r="P237" s="1526"/>
      <c r="Q237" s="1526"/>
      <c r="R237" s="1017"/>
      <c r="S237" s="1526"/>
      <c r="T237" s="305">
        <v>1</v>
      </c>
      <c r="U237" s="1008">
        <f t="shared" si="253"/>
        <v>1.7</v>
      </c>
      <c r="V237" s="1438">
        <f t="shared" si="257"/>
        <v>1</v>
      </c>
      <c r="W237" s="1636">
        <v>0.15</v>
      </c>
      <c r="X237" s="881">
        <v>0.2</v>
      </c>
      <c r="Y237" s="619">
        <v>200000000</v>
      </c>
      <c r="Z237" s="376">
        <v>250000000</v>
      </c>
      <c r="AA237" s="544">
        <v>176232968</v>
      </c>
      <c r="AB237" s="1114">
        <f t="shared" si="213"/>
        <v>0.88116483999999995</v>
      </c>
      <c r="AC237" s="544">
        <v>153874652</v>
      </c>
      <c r="AD237" s="1134">
        <f t="shared" si="214"/>
        <v>0.76937325999999995</v>
      </c>
      <c r="AE237" s="1116">
        <f>+AA237-AC237</f>
        <v>22358316</v>
      </c>
      <c r="AF237" s="1598">
        <v>250000000</v>
      </c>
      <c r="AG237" s="376">
        <v>250000000</v>
      </c>
      <c r="AH237" s="1089">
        <f t="shared" si="215"/>
        <v>1</v>
      </c>
      <c r="AI237" s="1208">
        <v>925000000</v>
      </c>
      <c r="AJ237" s="1118">
        <f t="shared" si="252"/>
        <v>426232968</v>
      </c>
      <c r="AK237" s="1139">
        <f t="shared" si="221"/>
        <v>0.46079239783783782</v>
      </c>
      <c r="AL237" s="1140"/>
      <c r="AM237" s="1119"/>
      <c r="AN237" s="152" t="s">
        <v>302</v>
      </c>
      <c r="AO237" s="2290"/>
      <c r="AP237" s="93"/>
      <c r="AQ237" s="93"/>
    </row>
    <row r="238" spans="1:43" ht="49.5" customHeight="1" thickBot="1">
      <c r="A238" s="355" t="s">
        <v>664</v>
      </c>
      <c r="B238" s="310" t="s">
        <v>837</v>
      </c>
      <c r="C238" s="1601">
        <v>1</v>
      </c>
      <c r="D238" s="851">
        <v>0</v>
      </c>
      <c r="E238" s="1602">
        <v>1</v>
      </c>
      <c r="F238" s="866">
        <v>0</v>
      </c>
      <c r="G238" s="866"/>
      <c r="H238" s="1139">
        <f t="shared" si="255"/>
        <v>1</v>
      </c>
      <c r="I238" s="1637">
        <v>0</v>
      </c>
      <c r="J238" s="1230"/>
      <c r="K238" s="1525"/>
      <c r="L238" s="1220"/>
      <c r="M238" s="1221"/>
      <c r="N238" s="1219"/>
      <c r="O238" s="1526"/>
      <c r="P238" s="1526"/>
      <c r="Q238" s="1526"/>
      <c r="R238" s="1223"/>
      <c r="S238" s="1526"/>
      <c r="T238" s="1602">
        <v>2</v>
      </c>
      <c r="U238" s="1130">
        <f t="shared" si="253"/>
        <v>1</v>
      </c>
      <c r="V238" s="1430">
        <f t="shared" si="257"/>
        <v>0.5</v>
      </c>
      <c r="W238" s="1263">
        <v>0.15</v>
      </c>
      <c r="X238" s="885">
        <v>0</v>
      </c>
      <c r="Y238" s="1626">
        <v>180000000</v>
      </c>
      <c r="Z238" s="1605">
        <v>152252642</v>
      </c>
      <c r="AA238" s="1604">
        <v>176940383</v>
      </c>
      <c r="AB238" s="1133">
        <f t="shared" si="213"/>
        <v>0.98300212777777773</v>
      </c>
      <c r="AC238" s="1604">
        <v>128726565</v>
      </c>
      <c r="AD238" s="1134">
        <f t="shared" si="214"/>
        <v>0.71514758333333328</v>
      </c>
      <c r="AE238" s="1135">
        <f>+AA238-AC238</f>
        <v>48213818</v>
      </c>
      <c r="AF238" s="1606">
        <v>90252642</v>
      </c>
      <c r="AG238" s="1605">
        <v>80252642</v>
      </c>
      <c r="AH238" s="1136">
        <f t="shared" si="215"/>
        <v>0.88919991948822952</v>
      </c>
      <c r="AI238" s="1638">
        <v>925000000</v>
      </c>
      <c r="AJ238" s="1138">
        <f t="shared" si="252"/>
        <v>329193025</v>
      </c>
      <c r="AK238" s="1139">
        <f>+AJ238/AI238</f>
        <v>0.35588435135135132</v>
      </c>
      <c r="AL238" s="1140"/>
      <c r="AM238" s="1140"/>
      <c r="AN238" s="189" t="s">
        <v>302</v>
      </c>
      <c r="AO238" s="1607" t="s">
        <v>890</v>
      </c>
      <c r="AP238" s="1037"/>
      <c r="AQ238" s="1037"/>
    </row>
    <row r="239" spans="1:43" ht="57" customHeight="1" thickBot="1">
      <c r="A239" s="1065" t="s">
        <v>440</v>
      </c>
      <c r="B239" s="1066"/>
      <c r="C239" s="862"/>
      <c r="D239" s="835"/>
      <c r="E239" s="1067"/>
      <c r="F239" s="862"/>
      <c r="G239" s="862"/>
      <c r="H239" s="1077">
        <f>+(H240*W240)</f>
        <v>1</v>
      </c>
      <c r="I239" s="1639">
        <f>+(I240*X240)</f>
        <v>1</v>
      </c>
      <c r="J239" s="1082"/>
      <c r="K239" s="1463"/>
      <c r="L239" s="1071"/>
      <c r="M239" s="1069"/>
      <c r="N239" s="1069"/>
      <c r="O239" s="1464"/>
      <c r="P239" s="1464"/>
      <c r="Q239" s="1464"/>
      <c r="R239" s="1072"/>
      <c r="S239" s="1464"/>
      <c r="T239" s="1465"/>
      <c r="U239" s="1075"/>
      <c r="V239" s="1246">
        <f>+(V240*W240)</f>
        <v>0.58472222222222225</v>
      </c>
      <c r="W239" s="1077">
        <v>0.1</v>
      </c>
      <c r="X239" s="883">
        <v>0.1</v>
      </c>
      <c r="Y239" s="1078">
        <f>+Y240</f>
        <v>420000000</v>
      </c>
      <c r="Z239" s="1078">
        <f>+Z240</f>
        <v>313482364.75</v>
      </c>
      <c r="AA239" s="1078">
        <f>+AA240</f>
        <v>412454675.72000003</v>
      </c>
      <c r="AB239" s="1079">
        <f t="shared" si="213"/>
        <v>0.98203494219047627</v>
      </c>
      <c r="AC239" s="1078">
        <f>+AC240</f>
        <v>378268839.72000003</v>
      </c>
      <c r="AD239" s="1307">
        <f t="shared" si="214"/>
        <v>0.90064009457142868</v>
      </c>
      <c r="AE239" s="1066">
        <f>+AE240</f>
        <v>34185836.000000015</v>
      </c>
      <c r="AF239" s="1640">
        <f>+AF240</f>
        <v>44190909.75</v>
      </c>
      <c r="AG239" s="1078">
        <f>+AG240</f>
        <v>38890909.25</v>
      </c>
      <c r="AH239" s="1314">
        <f t="shared" si="215"/>
        <v>0.88006582055034521</v>
      </c>
      <c r="AI239" s="1078">
        <f t="shared" ref="AI239" si="258">+AI240</f>
        <v>2000000000</v>
      </c>
      <c r="AJ239" s="1078">
        <f>+AJ240</f>
        <v>725937040.47000003</v>
      </c>
      <c r="AK239" s="1077">
        <f t="shared" si="221"/>
        <v>0.36296852023500004</v>
      </c>
      <c r="AL239" s="1071"/>
      <c r="AM239" s="1071" t="s">
        <v>301</v>
      </c>
      <c r="AN239" s="1069"/>
      <c r="AO239" s="1066"/>
      <c r="AP239" s="1315"/>
      <c r="AQ239" s="1315"/>
    </row>
    <row r="240" spans="1:43" ht="38.25" customHeight="1">
      <c r="A240" s="331" t="s">
        <v>494</v>
      </c>
      <c r="B240" s="437"/>
      <c r="C240" s="873"/>
      <c r="D240" s="849"/>
      <c r="E240" s="1572"/>
      <c r="F240" s="873"/>
      <c r="G240" s="873"/>
      <c r="H240" s="294">
        <f>+SUMPRODUCT(H241:H244,W241:W244)</f>
        <v>1</v>
      </c>
      <c r="I240" s="1573">
        <f>+SUMPRODUCT(I241:I244,X241:X244)</f>
        <v>1</v>
      </c>
      <c r="J240" s="1574"/>
      <c r="K240" s="1575"/>
      <c r="L240" s="243"/>
      <c r="M240" s="1576"/>
      <c r="N240" s="1576"/>
      <c r="O240" s="1577"/>
      <c r="P240" s="1577"/>
      <c r="Q240" s="1577"/>
      <c r="R240" s="1578"/>
      <c r="S240" s="1577"/>
      <c r="T240" s="1579"/>
      <c r="U240" s="261">
        <f>SUM(E240:G240)</f>
        <v>0</v>
      </c>
      <c r="V240" s="1580">
        <f>+SUMPRODUCT(V241:V244,W241:W244)</f>
        <v>0.58472222222222225</v>
      </c>
      <c r="W240" s="294">
        <v>1</v>
      </c>
      <c r="X240" s="899">
        <v>1</v>
      </c>
      <c r="Y240" s="1581">
        <f>SUM(Y241:Y244)</f>
        <v>420000000</v>
      </c>
      <c r="Z240" s="1581">
        <f>SUM(Z241:Z244)</f>
        <v>313482364.75</v>
      </c>
      <c r="AA240" s="1581">
        <f>SUM(AA241:AA244)</f>
        <v>412454675.72000003</v>
      </c>
      <c r="AB240" s="1582">
        <f t="shared" si="213"/>
        <v>0.98203494219047627</v>
      </c>
      <c r="AC240" s="1581">
        <f>SUM(AC241:AC244)</f>
        <v>378268839.72000003</v>
      </c>
      <c r="AD240" s="1595">
        <f t="shared" si="214"/>
        <v>0.90064009457142868</v>
      </c>
      <c r="AE240" s="1584">
        <f>SUM(AE241:AE244)</f>
        <v>34185836.000000015</v>
      </c>
      <c r="AF240" s="1641">
        <f>SUM(AF241:AF244)</f>
        <v>44190909.75</v>
      </c>
      <c r="AG240" s="1581">
        <f>SUM(AG241:AG244)</f>
        <v>38890909.25</v>
      </c>
      <c r="AH240" s="613">
        <f t="shared" si="215"/>
        <v>0.88006582055034521</v>
      </c>
      <c r="AI240" s="1581">
        <f t="shared" ref="AI240" si="259">SUM(AI241:AI244)</f>
        <v>2000000000</v>
      </c>
      <c r="AJ240" s="1581">
        <f>SUM(AJ241:AJ244)</f>
        <v>725937040.47000003</v>
      </c>
      <c r="AK240" s="1586">
        <f t="shared" si="221"/>
        <v>0.36296852023500004</v>
      </c>
      <c r="AL240" s="1587"/>
      <c r="AM240" s="1588"/>
      <c r="AN240" s="1589"/>
      <c r="AO240" s="1584"/>
      <c r="AP240" s="1590"/>
      <c r="AQ240" s="1590"/>
    </row>
    <row r="241" spans="1:43" ht="75.75" customHeight="1">
      <c r="A241" s="353" t="s">
        <v>665</v>
      </c>
      <c r="B241" s="458" t="s">
        <v>838</v>
      </c>
      <c r="C241" s="1611">
        <v>4</v>
      </c>
      <c r="D241" s="409">
        <v>5</v>
      </c>
      <c r="E241" s="213">
        <v>4</v>
      </c>
      <c r="F241" s="147">
        <v>5</v>
      </c>
      <c r="G241" s="147"/>
      <c r="H241" s="180">
        <f t="shared" ref="H241:H244" si="260">IF((E241+G241)/C241&gt;=100%,100%,(E241+G241)/C241)</f>
        <v>1</v>
      </c>
      <c r="I241" s="642">
        <f t="shared" ref="I241:I244" si="261">IF(F241/D241&gt;=100%,100%,F241/D241)</f>
        <v>1</v>
      </c>
      <c r="J241" s="93" t="s">
        <v>1576</v>
      </c>
      <c r="K241" s="1507"/>
      <c r="L241" s="101"/>
      <c r="M241" s="104"/>
      <c r="N241" s="146"/>
      <c r="O241" s="195"/>
      <c r="P241" s="195"/>
      <c r="Q241" s="195"/>
      <c r="R241" s="150"/>
      <c r="S241" s="195"/>
      <c r="T241" s="213">
        <v>20</v>
      </c>
      <c r="U241" s="242">
        <f>SUM(E241:G241)</f>
        <v>9</v>
      </c>
      <c r="V241" s="186">
        <f t="shared" ref="V241:V244" si="262">IF(U241/T241&gt;=100%,100%,U241/T241)</f>
        <v>0.45</v>
      </c>
      <c r="W241" s="1397">
        <v>0.25</v>
      </c>
      <c r="X241" s="476">
        <v>0.25</v>
      </c>
      <c r="Y241" s="1642">
        <v>150000000</v>
      </c>
      <c r="Z241" s="376">
        <v>87791455.5</v>
      </c>
      <c r="AA241" s="1642">
        <v>147519988.86000001</v>
      </c>
      <c r="AB241" s="273">
        <f t="shared" si="213"/>
        <v>0.98346659240000012</v>
      </c>
      <c r="AC241" s="1642">
        <v>141357288.86000001</v>
      </c>
      <c r="AD241" s="1030">
        <f t="shared" si="214"/>
        <v>0.94238192573333346</v>
      </c>
      <c r="AE241" s="156">
        <f>+AA241-AC241</f>
        <v>6162700</v>
      </c>
      <c r="AF241" s="1643">
        <v>5700000.5</v>
      </c>
      <c r="AG241" s="376">
        <v>5400000</v>
      </c>
      <c r="AH241" s="614">
        <f t="shared" si="215"/>
        <v>0.94736833795014574</v>
      </c>
      <c r="AI241" s="250">
        <f>2000000000/4</f>
        <v>500000000</v>
      </c>
      <c r="AJ241" s="1118">
        <f t="shared" ref="AJ241:AJ244" si="263">+SUM(Z241:AA241)</f>
        <v>235311444.36000001</v>
      </c>
      <c r="AK241" s="1139">
        <f t="shared" si="221"/>
        <v>0.47062288872000002</v>
      </c>
      <c r="AL241" s="1140"/>
      <c r="AM241" s="157"/>
      <c r="AN241" s="152" t="s">
        <v>302</v>
      </c>
      <c r="AO241" s="2291" t="s">
        <v>922</v>
      </c>
      <c r="AP241" s="93"/>
      <c r="AQ241" s="93"/>
    </row>
    <row r="242" spans="1:43" ht="60" customHeight="1">
      <c r="A242" s="353" t="s">
        <v>666</v>
      </c>
      <c r="B242" s="458" t="s">
        <v>839</v>
      </c>
      <c r="C242" s="1611">
        <v>2</v>
      </c>
      <c r="D242" s="409">
        <v>4</v>
      </c>
      <c r="E242" s="307">
        <v>2</v>
      </c>
      <c r="F242" s="147">
        <v>5</v>
      </c>
      <c r="G242" s="147"/>
      <c r="H242" s="180">
        <f t="shared" si="260"/>
        <v>1</v>
      </c>
      <c r="I242" s="642">
        <f t="shared" si="261"/>
        <v>1</v>
      </c>
      <c r="J242" s="93" t="s">
        <v>1577</v>
      </c>
      <c r="K242" s="1507"/>
      <c r="L242" s="101"/>
      <c r="M242" s="104"/>
      <c r="N242" s="146"/>
      <c r="O242" s="195"/>
      <c r="P242" s="195"/>
      <c r="Q242" s="195"/>
      <c r="R242" s="150"/>
      <c r="S242" s="195"/>
      <c r="T242" s="307">
        <v>18</v>
      </c>
      <c r="U242" s="242">
        <f t="shared" ref="U242:U244" si="264">SUM(E242:G242)</f>
        <v>7</v>
      </c>
      <c r="V242" s="186">
        <f t="shared" si="262"/>
        <v>0.3888888888888889</v>
      </c>
      <c r="W242" s="1397">
        <v>0.25</v>
      </c>
      <c r="X242" s="476">
        <v>0.25</v>
      </c>
      <c r="Y242" s="621">
        <v>60000000</v>
      </c>
      <c r="Z242" s="376">
        <v>93190909.25</v>
      </c>
      <c r="AA242" s="1642">
        <v>58402045</v>
      </c>
      <c r="AB242" s="273">
        <f t="shared" si="213"/>
        <v>0.97336741666666671</v>
      </c>
      <c r="AC242" s="1642">
        <v>55481190</v>
      </c>
      <c r="AD242" s="1030">
        <f t="shared" si="214"/>
        <v>0.92468649999999997</v>
      </c>
      <c r="AE242" s="156">
        <f>+AA242-AC242</f>
        <v>2920855</v>
      </c>
      <c r="AF242" s="1643">
        <v>28490909.25</v>
      </c>
      <c r="AG242" s="376">
        <v>23490909.25</v>
      </c>
      <c r="AH242" s="614">
        <f t="shared" si="215"/>
        <v>0.8245054253577393</v>
      </c>
      <c r="AI242" s="250">
        <f t="shared" ref="AI242:AI244" si="265">2000000000/4</f>
        <v>500000000</v>
      </c>
      <c r="AJ242" s="1118">
        <f t="shared" si="263"/>
        <v>151592954.25</v>
      </c>
      <c r="AK242" s="1139">
        <f t="shared" si="221"/>
        <v>0.30318590849999999</v>
      </c>
      <c r="AL242" s="1140"/>
      <c r="AM242" s="157"/>
      <c r="AN242" s="152" t="s">
        <v>302</v>
      </c>
      <c r="AO242" s="2289"/>
      <c r="AP242" s="93"/>
      <c r="AQ242" s="93"/>
    </row>
    <row r="243" spans="1:43" ht="135.75" customHeight="1" thickBot="1">
      <c r="A243" s="353" t="s">
        <v>667</v>
      </c>
      <c r="B243" s="458" t="s">
        <v>840</v>
      </c>
      <c r="C243" s="1611">
        <v>1000</v>
      </c>
      <c r="D243" s="409">
        <v>1000</v>
      </c>
      <c r="E243" s="307">
        <v>1000</v>
      </c>
      <c r="F243" s="859">
        <v>71517</v>
      </c>
      <c r="G243" s="147"/>
      <c r="H243" s="180">
        <f t="shared" si="260"/>
        <v>1</v>
      </c>
      <c r="I243" s="642">
        <f t="shared" si="261"/>
        <v>1</v>
      </c>
      <c r="J243" s="1210" t="s">
        <v>1578</v>
      </c>
      <c r="K243" s="1507"/>
      <c r="L243" s="103"/>
      <c r="M243" s="105"/>
      <c r="N243" s="146"/>
      <c r="O243" s="195"/>
      <c r="P243" s="195"/>
      <c r="Q243" s="195"/>
      <c r="R243" s="150"/>
      <c r="S243" s="195"/>
      <c r="T243" s="307">
        <v>5000</v>
      </c>
      <c r="U243" s="242">
        <f>SUM(E243:G243)</f>
        <v>72517</v>
      </c>
      <c r="V243" s="186">
        <f t="shared" si="262"/>
        <v>1</v>
      </c>
      <c r="W243" s="1397">
        <v>0.25</v>
      </c>
      <c r="X243" s="476">
        <v>0.25</v>
      </c>
      <c r="Y243" s="622">
        <v>150000000</v>
      </c>
      <c r="Z243" s="376">
        <v>62300000</v>
      </c>
      <c r="AA243" s="1642">
        <v>147530596.86000001</v>
      </c>
      <c r="AB243" s="273">
        <f t="shared" si="213"/>
        <v>0.98353731240000009</v>
      </c>
      <c r="AC243" s="1642">
        <v>125728344.86</v>
      </c>
      <c r="AD243" s="1030">
        <f t="shared" si="214"/>
        <v>0.83818896573333335</v>
      </c>
      <c r="AE243" s="156">
        <f>+AA243-AC243</f>
        <v>21802252.000000015</v>
      </c>
      <c r="AF243" s="1598">
        <v>6600000</v>
      </c>
      <c r="AG243" s="376">
        <v>6600000</v>
      </c>
      <c r="AH243" s="614">
        <f t="shared" si="215"/>
        <v>1</v>
      </c>
      <c r="AI243" s="250">
        <f t="shared" si="265"/>
        <v>500000000</v>
      </c>
      <c r="AJ243" s="1118">
        <f t="shared" si="263"/>
        <v>209830596.86000001</v>
      </c>
      <c r="AK243" s="1139">
        <f t="shared" si="221"/>
        <v>0.41966119372000005</v>
      </c>
      <c r="AL243" s="1140"/>
      <c r="AM243" s="157"/>
      <c r="AN243" s="152" t="s">
        <v>302</v>
      </c>
      <c r="AO243" s="2290"/>
      <c r="AP243" s="93"/>
      <c r="AQ243" s="93"/>
    </row>
    <row r="244" spans="1:43" ht="59.25" customHeight="1" thickBot="1">
      <c r="A244" s="1645" t="s">
        <v>668</v>
      </c>
      <c r="B244" s="1646" t="s">
        <v>841</v>
      </c>
      <c r="C244" s="1647">
        <v>0.1</v>
      </c>
      <c r="D244" s="853">
        <v>0.1</v>
      </c>
      <c r="E244" s="1648">
        <v>0.1</v>
      </c>
      <c r="F244" s="208">
        <v>0.1</v>
      </c>
      <c r="G244" s="860"/>
      <c r="H244" s="1021">
        <f t="shared" si="260"/>
        <v>1</v>
      </c>
      <c r="I244" s="1030">
        <f t="shared" si="261"/>
        <v>1</v>
      </c>
      <c r="J244" s="1037" t="s">
        <v>1579</v>
      </c>
      <c r="K244" s="1507"/>
      <c r="L244" s="206"/>
      <c r="M244" s="207"/>
      <c r="N244" s="1023"/>
      <c r="O244" s="195"/>
      <c r="P244" s="195"/>
      <c r="Q244" s="195"/>
      <c r="R244" s="1024"/>
      <c r="S244" s="195"/>
      <c r="T244" s="1648">
        <v>0.4</v>
      </c>
      <c r="U244" s="1026">
        <f t="shared" si="264"/>
        <v>0.2</v>
      </c>
      <c r="V244" s="1387">
        <f t="shared" si="262"/>
        <v>0.5</v>
      </c>
      <c r="W244" s="1388">
        <v>0.25</v>
      </c>
      <c r="X244" s="894">
        <v>0.25</v>
      </c>
      <c r="Y244" s="1649">
        <v>60000000</v>
      </c>
      <c r="Z244" s="1605">
        <v>70200000</v>
      </c>
      <c r="AA244" s="1650">
        <v>59002045</v>
      </c>
      <c r="AB244" s="1029">
        <f t="shared" si="213"/>
        <v>0.98336741666666672</v>
      </c>
      <c r="AC244" s="1650">
        <v>55702016</v>
      </c>
      <c r="AD244" s="1030">
        <f t="shared" si="214"/>
        <v>0.92836693333333331</v>
      </c>
      <c r="AE244" s="175">
        <f>+AA244-AC244</f>
        <v>3300029</v>
      </c>
      <c r="AF244" s="1606">
        <v>3400000</v>
      </c>
      <c r="AG244" s="1605">
        <v>3400000</v>
      </c>
      <c r="AH244" s="1053">
        <f t="shared" si="215"/>
        <v>1</v>
      </c>
      <c r="AI244" s="1054">
        <f t="shared" si="265"/>
        <v>500000000</v>
      </c>
      <c r="AJ244" s="1138">
        <f t="shared" si="263"/>
        <v>129202045</v>
      </c>
      <c r="AK244" s="1139">
        <f t="shared" si="221"/>
        <v>0.25840408999999998</v>
      </c>
      <c r="AL244" s="1140"/>
      <c r="AM244" s="173"/>
      <c r="AN244" s="189" t="s">
        <v>302</v>
      </c>
      <c r="AO244" s="1644" t="s">
        <v>890</v>
      </c>
      <c r="AP244" s="1037"/>
      <c r="AQ244" s="1037"/>
    </row>
    <row r="245" spans="1:43" ht="54.75" customHeight="1" thickBot="1">
      <c r="A245" s="1065" t="s">
        <v>441</v>
      </c>
      <c r="B245" s="1304"/>
      <c r="C245" s="868"/>
      <c r="D245" s="829"/>
      <c r="E245" s="1305"/>
      <c r="F245" s="868"/>
      <c r="G245" s="868"/>
      <c r="H245" s="1077">
        <f>+(H246*W246)</f>
        <v>1</v>
      </c>
      <c r="I245" s="1068">
        <f>+(I246*X246)</f>
        <v>0.7</v>
      </c>
      <c r="J245" s="1315"/>
      <c r="K245" s="1651"/>
      <c r="L245" s="1309"/>
      <c r="M245" s="1308"/>
      <c r="N245" s="1308"/>
      <c r="O245" s="1652"/>
      <c r="P245" s="1652"/>
      <c r="Q245" s="1652"/>
      <c r="R245" s="1310"/>
      <c r="S245" s="1652"/>
      <c r="T245" s="1653"/>
      <c r="U245" s="1312"/>
      <c r="V245" s="1246">
        <f>+(V246*W246)</f>
        <v>0.35</v>
      </c>
      <c r="W245" s="1077">
        <v>0.1</v>
      </c>
      <c r="X245" s="883">
        <v>0.1</v>
      </c>
      <c r="Y245" s="1078">
        <f>+Y246</f>
        <v>250000000</v>
      </c>
      <c r="Z245" s="1078">
        <f>+Z246</f>
        <v>92700000</v>
      </c>
      <c r="AA245" s="1078">
        <f>+AA246</f>
        <v>246500889</v>
      </c>
      <c r="AB245" s="1079">
        <f t="shared" si="213"/>
        <v>0.986003556</v>
      </c>
      <c r="AC245" s="1078">
        <f>+AC246</f>
        <v>213327183</v>
      </c>
      <c r="AD245" s="1068">
        <f t="shared" si="214"/>
        <v>0.85330873200000001</v>
      </c>
      <c r="AE245" s="1066">
        <f>+AE246</f>
        <v>33173706</v>
      </c>
      <c r="AF245" s="1069">
        <f>+AF246</f>
        <v>21300000</v>
      </c>
      <c r="AG245" s="1078">
        <f>+AG246</f>
        <v>21300000</v>
      </c>
      <c r="AH245" s="1314">
        <f t="shared" si="215"/>
        <v>1</v>
      </c>
      <c r="AI245" s="1078">
        <f t="shared" ref="AI245" si="266">+AI246</f>
        <v>1350000000</v>
      </c>
      <c r="AJ245" s="1078">
        <f>+AJ246</f>
        <v>339200889</v>
      </c>
      <c r="AK245" s="1306">
        <f t="shared" si="221"/>
        <v>0.25125991777777779</v>
      </c>
      <c r="AL245" s="1071"/>
      <c r="AM245" s="1071" t="s">
        <v>301</v>
      </c>
      <c r="AN245" s="1069"/>
      <c r="AO245" s="1066"/>
      <c r="AP245" s="1315"/>
      <c r="AQ245" s="1315"/>
    </row>
    <row r="246" spans="1:43" ht="34.5" customHeight="1">
      <c r="A246" s="331" t="s">
        <v>495</v>
      </c>
      <c r="B246" s="437"/>
      <c r="C246" s="873"/>
      <c r="D246" s="849"/>
      <c r="E246" s="1572"/>
      <c r="F246" s="873"/>
      <c r="G246" s="873"/>
      <c r="H246" s="294">
        <f>+(H248*100%)</f>
        <v>1</v>
      </c>
      <c r="I246" s="1573">
        <f>+SUMPRODUCT(I247:I249,X247:X249)</f>
        <v>0.7</v>
      </c>
      <c r="J246" s="1574"/>
      <c r="K246" s="1575"/>
      <c r="L246" s="243"/>
      <c r="M246" s="1576"/>
      <c r="N246" s="1576"/>
      <c r="O246" s="1577"/>
      <c r="P246" s="1577"/>
      <c r="Q246" s="1577"/>
      <c r="R246" s="1578"/>
      <c r="S246" s="1577"/>
      <c r="T246" s="1579"/>
      <c r="U246" s="261"/>
      <c r="V246" s="1654">
        <f>+SUMPRODUCT(V247:V249,W247:W249)</f>
        <v>0.35</v>
      </c>
      <c r="W246" s="1655">
        <v>1</v>
      </c>
      <c r="X246" s="900">
        <v>1</v>
      </c>
      <c r="Y246" s="1656">
        <f>SUM(Y247:Y249)</f>
        <v>250000000</v>
      </c>
      <c r="Z246" s="1656">
        <f>SUM(Z247:Z249)</f>
        <v>92700000</v>
      </c>
      <c r="AA246" s="1656">
        <f>SUM(AA247:AA249)</f>
        <v>246500889</v>
      </c>
      <c r="AB246" s="1657">
        <f t="shared" si="213"/>
        <v>0.986003556</v>
      </c>
      <c r="AC246" s="1656">
        <f>SUM(AC247:AC249)</f>
        <v>213327183</v>
      </c>
      <c r="AD246" s="1658">
        <f t="shared" si="214"/>
        <v>0.85330873200000001</v>
      </c>
      <c r="AE246" s="1659">
        <f>SUM(AE247:AE249)</f>
        <v>33173706</v>
      </c>
      <c r="AF246" s="1660">
        <f>SUM(AF247:AF249)</f>
        <v>21300000</v>
      </c>
      <c r="AG246" s="1656">
        <f>SUM(AG247:AG249)</f>
        <v>21300000</v>
      </c>
      <c r="AH246" s="1661">
        <f t="shared" si="215"/>
        <v>1</v>
      </c>
      <c r="AI246" s="1656">
        <f t="shared" ref="AI246" si="267">SUM(AI247:AI249)</f>
        <v>1350000000</v>
      </c>
      <c r="AJ246" s="1656">
        <f>SUM(AJ247:AJ249)</f>
        <v>339200889</v>
      </c>
      <c r="AK246" s="1662">
        <f t="shared" si="221"/>
        <v>0.25125991777777779</v>
      </c>
      <c r="AL246" s="1663"/>
      <c r="AM246" s="1664"/>
      <c r="AN246" s="1665"/>
      <c r="AO246" s="1584"/>
      <c r="AP246" s="1590"/>
      <c r="AQ246" s="1590"/>
    </row>
    <row r="247" spans="1:43" ht="62.25" customHeight="1">
      <c r="A247" s="352" t="s">
        <v>669</v>
      </c>
      <c r="B247" s="457" t="s">
        <v>842</v>
      </c>
      <c r="C247" s="1596">
        <v>0</v>
      </c>
      <c r="D247" s="407">
        <v>1</v>
      </c>
      <c r="E247" s="304">
        <v>0</v>
      </c>
      <c r="F247" s="147">
        <v>1</v>
      </c>
      <c r="G247" s="147"/>
      <c r="H247" s="180" t="e">
        <f t="shared" ref="H247:H249" si="268">IF((E247+G247)/C247&gt;=100%,100%,(E247+G247)/C247)</f>
        <v>#DIV/0!</v>
      </c>
      <c r="I247" s="642">
        <f t="shared" ref="I247:I249" si="269">IF(F247/D247&gt;=100%,100%,F247/D247)</f>
        <v>1</v>
      </c>
      <c r="J247" s="1037" t="s">
        <v>1580</v>
      </c>
      <c r="K247" s="1507"/>
      <c r="L247" s="101"/>
      <c r="M247" s="104"/>
      <c r="N247" s="146"/>
      <c r="O247" s="195"/>
      <c r="P247" s="195"/>
      <c r="Q247" s="195"/>
      <c r="R247" s="150"/>
      <c r="S247" s="195"/>
      <c r="T247" s="1527">
        <v>2</v>
      </c>
      <c r="U247" s="1008">
        <f>SUM(E247:G247)</f>
        <v>1</v>
      </c>
      <c r="V247" s="1438">
        <f t="shared" ref="V247:V249" si="270">IF(U247/T247&gt;=100%,100%,U247/T247)</f>
        <v>0.5</v>
      </c>
      <c r="W247" s="1597">
        <v>0.4</v>
      </c>
      <c r="X247" s="502">
        <v>0.4</v>
      </c>
      <c r="Y247" s="1666">
        <v>100000000</v>
      </c>
      <c r="Z247" s="376">
        <v>0</v>
      </c>
      <c r="AA247" s="1666">
        <v>99068176</v>
      </c>
      <c r="AB247" s="1114">
        <f t="shared" si="213"/>
        <v>0.99068175999999997</v>
      </c>
      <c r="AC247" s="1666">
        <v>83226826</v>
      </c>
      <c r="AD247" s="1134">
        <f t="shared" si="214"/>
        <v>0.83226825999999998</v>
      </c>
      <c r="AE247" s="1116">
        <f>+AA247-AC247</f>
        <v>15841350</v>
      </c>
      <c r="AF247" s="1598">
        <v>0</v>
      </c>
      <c r="AG247" s="376">
        <v>0</v>
      </c>
      <c r="AH247" s="1089" t="e">
        <f t="shared" si="215"/>
        <v>#DIV/0!</v>
      </c>
      <c r="AI247" s="1117">
        <f>1250000000/2</f>
        <v>625000000</v>
      </c>
      <c r="AJ247" s="1118">
        <f t="shared" ref="AJ247:AJ249" si="271">+SUM(Z247:AA247)</f>
        <v>99068176</v>
      </c>
      <c r="AK247" s="1139">
        <f t="shared" si="221"/>
        <v>0.15850908159999999</v>
      </c>
      <c r="AL247" s="1140"/>
      <c r="AM247" s="1119"/>
      <c r="AN247" s="1012" t="s">
        <v>302</v>
      </c>
      <c r="AO247" s="1667" t="s">
        <v>890</v>
      </c>
      <c r="AP247" s="93"/>
      <c r="AQ247" s="93"/>
    </row>
    <row r="248" spans="1:43" ht="54.75" customHeight="1">
      <c r="A248" s="352" t="s">
        <v>670</v>
      </c>
      <c r="B248" s="457" t="s">
        <v>843</v>
      </c>
      <c r="C248" s="1600">
        <v>1</v>
      </c>
      <c r="D248" s="408">
        <v>1</v>
      </c>
      <c r="E248" s="305">
        <v>1</v>
      </c>
      <c r="F248" s="182">
        <v>1</v>
      </c>
      <c r="G248" s="147"/>
      <c r="H248" s="180">
        <f t="shared" si="268"/>
        <v>1</v>
      </c>
      <c r="I248" s="642">
        <f t="shared" si="269"/>
        <v>1</v>
      </c>
      <c r="J248" s="1037" t="s">
        <v>1581</v>
      </c>
      <c r="K248" s="1507"/>
      <c r="L248" s="101"/>
      <c r="M248" s="104"/>
      <c r="N248" s="146"/>
      <c r="O248" s="195"/>
      <c r="P248" s="195"/>
      <c r="Q248" s="195"/>
      <c r="R248" s="150"/>
      <c r="S248" s="195"/>
      <c r="T248" s="1668">
        <v>4</v>
      </c>
      <c r="U248" s="1010">
        <f t="shared" ref="U248:U249" si="272">SUM(E248:G248)</f>
        <v>2</v>
      </c>
      <c r="V248" s="1438">
        <f t="shared" si="270"/>
        <v>0.5</v>
      </c>
      <c r="W248" s="1597">
        <v>0.3</v>
      </c>
      <c r="X248" s="502">
        <v>0.3</v>
      </c>
      <c r="Y248" s="622">
        <v>70000000</v>
      </c>
      <c r="Z248" s="376">
        <v>92700000</v>
      </c>
      <c r="AA248" s="1666">
        <v>69223482</v>
      </c>
      <c r="AB248" s="1114">
        <f t="shared" si="213"/>
        <v>0.98890688571428575</v>
      </c>
      <c r="AC248" s="1666">
        <v>56655687</v>
      </c>
      <c r="AD248" s="1134">
        <f t="shared" si="214"/>
        <v>0.80936695714285711</v>
      </c>
      <c r="AE248" s="1116">
        <f>+AA248-AC248</f>
        <v>12567795</v>
      </c>
      <c r="AF248" s="1598">
        <v>21300000</v>
      </c>
      <c r="AG248" s="376">
        <v>21300000</v>
      </c>
      <c r="AH248" s="1089">
        <f t="shared" si="215"/>
        <v>1</v>
      </c>
      <c r="AI248" s="1117">
        <f>1250000000/2</f>
        <v>625000000</v>
      </c>
      <c r="AJ248" s="1118">
        <f t="shared" si="271"/>
        <v>161923482</v>
      </c>
      <c r="AK248" s="1139">
        <f t="shared" si="221"/>
        <v>0.25907757120000002</v>
      </c>
      <c r="AL248" s="1140"/>
      <c r="AM248" s="1119"/>
      <c r="AN248" s="1012" t="s">
        <v>302</v>
      </c>
      <c r="AO248" s="1669" t="s">
        <v>890</v>
      </c>
      <c r="AP248" s="93"/>
      <c r="AQ248" s="93"/>
    </row>
    <row r="249" spans="1:43" ht="50.25" customHeight="1" thickBot="1">
      <c r="A249" s="355" t="s">
        <v>671</v>
      </c>
      <c r="B249" s="310" t="s">
        <v>844</v>
      </c>
      <c r="C249" s="1601">
        <v>0</v>
      </c>
      <c r="D249" s="851">
        <v>1</v>
      </c>
      <c r="E249" s="1602">
        <v>0</v>
      </c>
      <c r="F249" s="860">
        <v>0</v>
      </c>
      <c r="G249" s="860"/>
      <c r="H249" s="1021" t="e">
        <f t="shared" si="268"/>
        <v>#DIV/0!</v>
      </c>
      <c r="I249" s="1030">
        <f t="shared" si="269"/>
        <v>0</v>
      </c>
      <c r="J249" s="1037" t="s">
        <v>1582</v>
      </c>
      <c r="K249" s="1507"/>
      <c r="L249" s="206"/>
      <c r="M249" s="207"/>
      <c r="N249" s="1023"/>
      <c r="O249" s="195"/>
      <c r="P249" s="195"/>
      <c r="Q249" s="195"/>
      <c r="R249" s="1024"/>
      <c r="S249" s="195"/>
      <c r="T249" s="241">
        <v>1</v>
      </c>
      <c r="U249" s="1026">
        <f t="shared" si="272"/>
        <v>0</v>
      </c>
      <c r="V249" s="1387">
        <f t="shared" si="270"/>
        <v>0</v>
      </c>
      <c r="W249" s="1603">
        <v>0.3</v>
      </c>
      <c r="X249" s="503">
        <v>0.3</v>
      </c>
      <c r="Y249" s="1604">
        <v>80000000</v>
      </c>
      <c r="Z249" s="1605">
        <v>0</v>
      </c>
      <c r="AA249" s="1670">
        <v>78209231</v>
      </c>
      <c r="AB249" s="1029">
        <f t="shared" si="213"/>
        <v>0.97761538749999999</v>
      </c>
      <c r="AC249" s="1670">
        <v>73444670</v>
      </c>
      <c r="AD249" s="1030">
        <f t="shared" si="214"/>
        <v>0.91805837499999998</v>
      </c>
      <c r="AE249" s="175">
        <f>+AA249-AC249</f>
        <v>4764561</v>
      </c>
      <c r="AF249" s="1606">
        <v>0</v>
      </c>
      <c r="AG249" s="1605">
        <v>0</v>
      </c>
      <c r="AH249" s="1053" t="e">
        <f t="shared" si="215"/>
        <v>#DIV/0!</v>
      </c>
      <c r="AI249" s="1034">
        <v>100000000</v>
      </c>
      <c r="AJ249" s="1054">
        <f t="shared" si="271"/>
        <v>78209231</v>
      </c>
      <c r="AK249" s="1021">
        <f t="shared" si="221"/>
        <v>0.78209231000000001</v>
      </c>
      <c r="AL249" s="173"/>
      <c r="AM249" s="173"/>
      <c r="AN249" s="189" t="s">
        <v>302</v>
      </c>
      <c r="AO249" s="1671" t="s">
        <v>890</v>
      </c>
      <c r="AP249" s="1037"/>
      <c r="AQ249" s="1037"/>
    </row>
    <row r="250" spans="1:43" s="617" customFormat="1" ht="41.25" customHeight="1" thickBot="1">
      <c r="A250" s="1065" t="s">
        <v>442</v>
      </c>
      <c r="B250" s="1066"/>
      <c r="C250" s="862"/>
      <c r="D250" s="835"/>
      <c r="E250" s="1067"/>
      <c r="F250" s="862"/>
      <c r="G250" s="862"/>
      <c r="H250" s="1077">
        <f>+(H251*W251)+(H257*W257)</f>
        <v>0.95500000000000007</v>
      </c>
      <c r="I250" s="1068">
        <f>+(I251*X251)+(I257*X257)</f>
        <v>0.7</v>
      </c>
      <c r="J250" s="1082"/>
      <c r="K250" s="1463"/>
      <c r="L250" s="1071"/>
      <c r="M250" s="1069"/>
      <c r="N250" s="1069"/>
      <c r="O250" s="1464"/>
      <c r="P250" s="1464"/>
      <c r="Q250" s="1464"/>
      <c r="R250" s="1072"/>
      <c r="S250" s="1464"/>
      <c r="T250" s="1465"/>
      <c r="U250" s="1075"/>
      <c r="V250" s="1246">
        <f>+(V251*W251)+(V257*W257)</f>
        <v>0.397175</v>
      </c>
      <c r="W250" s="1077">
        <v>0.1</v>
      </c>
      <c r="X250" s="883">
        <v>0.1</v>
      </c>
      <c r="Y250" s="1078">
        <f>+Y251+Y257</f>
        <v>665000000</v>
      </c>
      <c r="Z250" s="1078">
        <f>+Z251+Z257</f>
        <v>163061300</v>
      </c>
      <c r="AA250" s="1078">
        <f>+AA251+AA257</f>
        <v>636452502</v>
      </c>
      <c r="AB250" s="1079">
        <f t="shared" si="213"/>
        <v>0.95707143157894736</v>
      </c>
      <c r="AC250" s="1078">
        <f>+AC251+AC257</f>
        <v>489310270</v>
      </c>
      <c r="AD250" s="1068">
        <f t="shared" si="214"/>
        <v>0.73580491729323305</v>
      </c>
      <c r="AE250" s="1066">
        <f>+AE251+AE257</f>
        <v>147142232</v>
      </c>
      <c r="AF250" s="1069">
        <f>+AF251+AF257</f>
        <v>119061300</v>
      </c>
      <c r="AG250" s="1078">
        <f>+AG251+AG257</f>
        <v>119061300</v>
      </c>
      <c r="AH250" s="1080">
        <f t="shared" si="215"/>
        <v>1</v>
      </c>
      <c r="AI250" s="1078">
        <f t="shared" ref="AI250" si="273">+AI251+AI257</f>
        <v>3646000000</v>
      </c>
      <c r="AJ250" s="1078">
        <f>+AJ251+AJ257</f>
        <v>799513802</v>
      </c>
      <c r="AK250" s="1077">
        <f t="shared" si="221"/>
        <v>0.21928518979703784</v>
      </c>
      <c r="AL250" s="1071"/>
      <c r="AM250" s="1071" t="s">
        <v>301</v>
      </c>
      <c r="AN250" s="1069"/>
      <c r="AO250" s="1066"/>
      <c r="AP250" s="1082"/>
      <c r="AQ250" s="1082"/>
    </row>
    <row r="251" spans="1:43" ht="41.25" customHeight="1">
      <c r="A251" s="331" t="s">
        <v>496</v>
      </c>
      <c r="B251" s="437"/>
      <c r="C251" s="873"/>
      <c r="D251" s="849"/>
      <c r="E251" s="1572"/>
      <c r="F251" s="873"/>
      <c r="G251" s="873"/>
      <c r="H251" s="294">
        <f>+(H252*50%)+(H253*50%)</f>
        <v>0.92500000000000004</v>
      </c>
      <c r="I251" s="1573">
        <f>+SUMPRODUCT(I252:I256,X252:X256)</f>
        <v>0.5</v>
      </c>
      <c r="J251" s="1590"/>
      <c r="K251" s="1575"/>
      <c r="L251" s="243"/>
      <c r="M251" s="1576"/>
      <c r="N251" s="1576"/>
      <c r="O251" s="1577"/>
      <c r="P251" s="1577"/>
      <c r="Q251" s="1577"/>
      <c r="R251" s="1578"/>
      <c r="S251" s="1577"/>
      <c r="T251" s="1579"/>
      <c r="U251" s="261"/>
      <c r="V251" s="1580">
        <f>+SUMPRODUCT(V252:V256,W252:W256)</f>
        <v>0.24062499999999998</v>
      </c>
      <c r="W251" s="294">
        <v>0.6</v>
      </c>
      <c r="X251" s="899">
        <v>0.6</v>
      </c>
      <c r="Y251" s="1581">
        <f>SUM(Y252:Y256)</f>
        <v>440000000</v>
      </c>
      <c r="Z251" s="1581">
        <f>SUM(Z252:Z256)</f>
        <v>105061300</v>
      </c>
      <c r="AA251" s="1581">
        <f>SUM(AA252:AA256)</f>
        <v>414875620</v>
      </c>
      <c r="AB251" s="1582">
        <f t="shared" si="213"/>
        <v>0.94289913636363631</v>
      </c>
      <c r="AC251" s="1581">
        <f>SUM(AC252:AC256)</f>
        <v>340159917</v>
      </c>
      <c r="AD251" s="1595">
        <f t="shared" si="214"/>
        <v>0.77309072045454541</v>
      </c>
      <c r="AE251" s="1584">
        <f>SUM(AE252:AE256)</f>
        <v>74715703</v>
      </c>
      <c r="AF251" s="1576">
        <f>SUM(AF252:AF256)</f>
        <v>105061300</v>
      </c>
      <c r="AG251" s="1581">
        <f>SUM(AG252:AG256)</f>
        <v>105061300</v>
      </c>
      <c r="AH251" s="613">
        <f t="shared" si="215"/>
        <v>1</v>
      </c>
      <c r="AI251" s="1581">
        <f t="shared" ref="AI251" si="274">SUM(AI252:AI256)</f>
        <v>2096000000</v>
      </c>
      <c r="AJ251" s="1581">
        <f>SUM(AJ252:AJ256)</f>
        <v>519936920</v>
      </c>
      <c r="AK251" s="1586">
        <f t="shared" si="221"/>
        <v>0.24806150763358778</v>
      </c>
      <c r="AL251" s="1587"/>
      <c r="AM251" s="1588"/>
      <c r="AN251" s="1589"/>
      <c r="AO251" s="1584"/>
      <c r="AP251" s="1590"/>
      <c r="AQ251" s="1590"/>
    </row>
    <row r="252" spans="1:43" ht="63.75" customHeight="1">
      <c r="A252" s="356" t="s">
        <v>672</v>
      </c>
      <c r="B252" s="460" t="s">
        <v>845</v>
      </c>
      <c r="C252" s="1672">
        <v>1</v>
      </c>
      <c r="D252" s="410">
        <v>1</v>
      </c>
      <c r="E252" s="1673">
        <v>0.7</v>
      </c>
      <c r="F252" s="872">
        <v>1</v>
      </c>
      <c r="G252" s="872">
        <v>0.15</v>
      </c>
      <c r="H252" s="1010">
        <f t="shared" ref="H252:H256" si="275">IF((E252+G252)/C252&gt;=100%,100%,(E252+G252)/C252)</f>
        <v>0.85</v>
      </c>
      <c r="I252" s="1115">
        <f t="shared" ref="I252:I256" si="276">IF(F252/D252&gt;=100%,100%,F252/D252)</f>
        <v>1</v>
      </c>
      <c r="J252" s="1230" t="s">
        <v>1583</v>
      </c>
      <c r="K252" s="1525"/>
      <c r="L252" s="1014"/>
      <c r="M252" s="1015"/>
      <c r="N252" s="1013"/>
      <c r="O252" s="1526"/>
      <c r="P252" s="1526"/>
      <c r="Q252" s="1526"/>
      <c r="R252" s="1017"/>
      <c r="S252" s="1526"/>
      <c r="T252" s="1674">
        <v>4</v>
      </c>
      <c r="U252" s="1010">
        <f>SUM(E252:G252)</f>
        <v>1.8499999999999999</v>
      </c>
      <c r="V252" s="1438">
        <f t="shared" ref="V252:V256" si="277">IF(U252/T252&gt;=100%,100%,U252/T252)</f>
        <v>0.46249999999999997</v>
      </c>
      <c r="W252" s="480">
        <v>0.25</v>
      </c>
      <c r="X252" s="480">
        <v>0.25</v>
      </c>
      <c r="Y252" s="624">
        <v>100000000</v>
      </c>
      <c r="Z252" s="378">
        <v>105061300</v>
      </c>
      <c r="AA252" s="624">
        <v>98248570</v>
      </c>
      <c r="AB252" s="1114">
        <f t="shared" si="213"/>
        <v>0.98248570000000002</v>
      </c>
      <c r="AC252" s="624">
        <v>62456946</v>
      </c>
      <c r="AD252" s="1134">
        <f t="shared" si="214"/>
        <v>0.62456946000000002</v>
      </c>
      <c r="AE252" s="1116">
        <f>+AA252-AC252</f>
        <v>35791624</v>
      </c>
      <c r="AF252" s="1632">
        <v>105061300</v>
      </c>
      <c r="AG252" s="378">
        <v>105061300</v>
      </c>
      <c r="AH252" s="1089">
        <f t="shared" si="215"/>
        <v>1</v>
      </c>
      <c r="AI252" s="1118">
        <f>1896000000/4</f>
        <v>474000000</v>
      </c>
      <c r="AJ252" s="1118">
        <f t="shared" ref="AJ252:AJ259" si="278">+SUM(Z252:AA252)</f>
        <v>203309870</v>
      </c>
      <c r="AK252" s="1139">
        <f t="shared" si="221"/>
        <v>0.42892377637130802</v>
      </c>
      <c r="AL252" s="173"/>
      <c r="AM252" s="157"/>
      <c r="AN252" s="152" t="s">
        <v>302</v>
      </c>
      <c r="AO252" s="1613" t="s">
        <v>890</v>
      </c>
      <c r="AP252" s="93"/>
      <c r="AQ252" s="93"/>
    </row>
    <row r="253" spans="1:43" ht="39.75" customHeight="1">
      <c r="A253" s="353" t="s">
        <v>673</v>
      </c>
      <c r="B253" s="458" t="s">
        <v>846</v>
      </c>
      <c r="C253" s="1672">
        <v>1</v>
      </c>
      <c r="D253" s="410">
        <v>1</v>
      </c>
      <c r="E253" s="309">
        <v>1</v>
      </c>
      <c r="F253" s="872">
        <v>1</v>
      </c>
      <c r="G253" s="859"/>
      <c r="H253" s="1010">
        <f t="shared" si="275"/>
        <v>1</v>
      </c>
      <c r="I253" s="1115">
        <f t="shared" si="276"/>
        <v>1</v>
      </c>
      <c r="J253" s="1230" t="s">
        <v>1584</v>
      </c>
      <c r="K253" s="1525"/>
      <c r="L253" s="1014"/>
      <c r="M253" s="1015"/>
      <c r="N253" s="1013"/>
      <c r="O253" s="1526"/>
      <c r="P253" s="1526"/>
      <c r="Q253" s="1526"/>
      <c r="R253" s="1017"/>
      <c r="S253" s="1526"/>
      <c r="T253" s="309">
        <v>4</v>
      </c>
      <c r="U253" s="1010">
        <f t="shared" ref="U253:U256" si="279">SUM(E253:G253)</f>
        <v>2</v>
      </c>
      <c r="V253" s="1438">
        <f t="shared" si="277"/>
        <v>0.5</v>
      </c>
      <c r="W253" s="479">
        <v>0.25</v>
      </c>
      <c r="X253" s="479">
        <v>0.25</v>
      </c>
      <c r="Y253" s="624">
        <v>50000000</v>
      </c>
      <c r="Z253" s="378">
        <v>0</v>
      </c>
      <c r="AA253" s="624">
        <v>32857008</v>
      </c>
      <c r="AB253" s="1114">
        <f t="shared" si="213"/>
        <v>0.65714015999999997</v>
      </c>
      <c r="AC253" s="624">
        <v>11887325</v>
      </c>
      <c r="AD253" s="1139">
        <f t="shared" si="214"/>
        <v>0.2377465</v>
      </c>
      <c r="AE253" s="1116">
        <f>+AA253-AC253</f>
        <v>20969683</v>
      </c>
      <c r="AF253" s="1632">
        <v>0</v>
      </c>
      <c r="AG253" s="378">
        <v>0</v>
      </c>
      <c r="AH253" s="1089" t="e">
        <f t="shared" si="215"/>
        <v>#DIV/0!</v>
      </c>
      <c r="AI253" s="1118">
        <f t="shared" ref="AI253:AI255" si="280">1896000000/4</f>
        <v>474000000</v>
      </c>
      <c r="AJ253" s="1118">
        <f t="shared" si="278"/>
        <v>32857008</v>
      </c>
      <c r="AK253" s="1139">
        <f t="shared" si="221"/>
        <v>6.9318582278481006E-2</v>
      </c>
      <c r="AL253" s="173"/>
      <c r="AM253" s="157"/>
      <c r="AN253" s="152" t="s">
        <v>302</v>
      </c>
      <c r="AO253" s="1613" t="s">
        <v>890</v>
      </c>
      <c r="AP253" s="93"/>
      <c r="AQ253" s="93"/>
    </row>
    <row r="254" spans="1:43" ht="56.25" customHeight="1">
      <c r="A254" s="353" t="s">
        <v>674</v>
      </c>
      <c r="B254" s="458" t="s">
        <v>847</v>
      </c>
      <c r="C254" s="1611">
        <v>0</v>
      </c>
      <c r="D254" s="409">
        <v>0.1</v>
      </c>
      <c r="E254" s="1009">
        <v>0</v>
      </c>
      <c r="F254" s="859">
        <v>0</v>
      </c>
      <c r="G254" s="859"/>
      <c r="H254" s="1010" t="e">
        <f t="shared" si="275"/>
        <v>#DIV/0!</v>
      </c>
      <c r="I254" s="1115">
        <f t="shared" si="276"/>
        <v>0</v>
      </c>
      <c r="J254" s="1230" t="s">
        <v>1585</v>
      </c>
      <c r="K254" s="1525"/>
      <c r="L254" s="1014"/>
      <c r="M254" s="1015"/>
      <c r="N254" s="1013"/>
      <c r="O254" s="1526"/>
      <c r="P254" s="1526"/>
      <c r="Q254" s="1526"/>
      <c r="R254" s="1017"/>
      <c r="S254" s="1526"/>
      <c r="T254" s="307">
        <v>1</v>
      </c>
      <c r="U254" s="307">
        <f t="shared" si="279"/>
        <v>0</v>
      </c>
      <c r="V254" s="1438">
        <f t="shared" si="277"/>
        <v>0</v>
      </c>
      <c r="W254" s="479">
        <v>0.2</v>
      </c>
      <c r="X254" s="479">
        <v>0.2</v>
      </c>
      <c r="Y254" s="1675">
        <v>100000000</v>
      </c>
      <c r="Z254" s="378">
        <v>0</v>
      </c>
      <c r="AA254" s="624">
        <v>98116308</v>
      </c>
      <c r="AB254" s="1114">
        <f t="shared" si="213"/>
        <v>0.98116307999999997</v>
      </c>
      <c r="AC254" s="624">
        <v>91887325</v>
      </c>
      <c r="AD254" s="1134">
        <f t="shared" si="214"/>
        <v>0.91887324999999997</v>
      </c>
      <c r="AE254" s="1116">
        <f>+AA254-AC254</f>
        <v>6228983</v>
      </c>
      <c r="AF254" s="1632">
        <v>0</v>
      </c>
      <c r="AG254" s="378">
        <v>0</v>
      </c>
      <c r="AH254" s="1089" t="e">
        <f t="shared" si="215"/>
        <v>#DIV/0!</v>
      </c>
      <c r="AI254" s="1118">
        <f t="shared" si="280"/>
        <v>474000000</v>
      </c>
      <c r="AJ254" s="1118">
        <f t="shared" si="278"/>
        <v>98116308</v>
      </c>
      <c r="AK254" s="1139">
        <f t="shared" si="221"/>
        <v>0.20699643037974683</v>
      </c>
      <c r="AL254" s="173"/>
      <c r="AM254" s="157"/>
      <c r="AN254" s="152" t="s">
        <v>302</v>
      </c>
      <c r="AO254" s="2292" t="s">
        <v>890</v>
      </c>
      <c r="AP254" s="93"/>
      <c r="AQ254" s="93"/>
    </row>
    <row r="255" spans="1:43" ht="65.25" customHeight="1">
      <c r="A255" s="353" t="s">
        <v>675</v>
      </c>
      <c r="B255" s="458" t="s">
        <v>847</v>
      </c>
      <c r="C255" s="1611">
        <v>0</v>
      </c>
      <c r="D255" s="409">
        <v>0.1</v>
      </c>
      <c r="E255" s="1009">
        <v>0</v>
      </c>
      <c r="F255" s="859">
        <v>0</v>
      </c>
      <c r="G255" s="859"/>
      <c r="H255" s="1010" t="e">
        <f t="shared" si="275"/>
        <v>#DIV/0!</v>
      </c>
      <c r="I255" s="1115">
        <f t="shared" si="276"/>
        <v>0</v>
      </c>
      <c r="J255" s="1230" t="s">
        <v>1585</v>
      </c>
      <c r="K255" s="1525"/>
      <c r="L255" s="1014"/>
      <c r="M255" s="1015"/>
      <c r="N255" s="1013"/>
      <c r="O255" s="1526"/>
      <c r="P255" s="1526"/>
      <c r="Q255" s="1526"/>
      <c r="R255" s="1017"/>
      <c r="S255" s="1526"/>
      <c r="T255" s="307">
        <v>1</v>
      </c>
      <c r="U255" s="307">
        <f t="shared" si="279"/>
        <v>0</v>
      </c>
      <c r="V255" s="1438">
        <f t="shared" si="277"/>
        <v>0</v>
      </c>
      <c r="W255" s="479">
        <v>0.2</v>
      </c>
      <c r="X255" s="479">
        <v>0.2</v>
      </c>
      <c r="Y255" s="1675">
        <v>100000000</v>
      </c>
      <c r="Z255" s="378">
        <v>0</v>
      </c>
      <c r="AA255" s="624">
        <v>98116308</v>
      </c>
      <c r="AB255" s="1114">
        <f t="shared" si="213"/>
        <v>0.98116307999999997</v>
      </c>
      <c r="AC255" s="624">
        <v>91887325</v>
      </c>
      <c r="AD255" s="1134">
        <f t="shared" si="214"/>
        <v>0.91887324999999997</v>
      </c>
      <c r="AE255" s="1116">
        <f>+AA255-AC255</f>
        <v>6228983</v>
      </c>
      <c r="AF255" s="1632">
        <v>0</v>
      </c>
      <c r="AG255" s="378">
        <v>0</v>
      </c>
      <c r="AH255" s="1089" t="e">
        <f t="shared" si="215"/>
        <v>#DIV/0!</v>
      </c>
      <c r="AI255" s="1118">
        <f t="shared" si="280"/>
        <v>474000000</v>
      </c>
      <c r="AJ255" s="1118">
        <f t="shared" si="278"/>
        <v>98116308</v>
      </c>
      <c r="AK255" s="1139">
        <f t="shared" si="221"/>
        <v>0.20699643037974683</v>
      </c>
      <c r="AL255" s="173"/>
      <c r="AM255" s="157"/>
      <c r="AN255" s="152" t="s">
        <v>302</v>
      </c>
      <c r="AO255" s="2290"/>
      <c r="AP255" s="93"/>
      <c r="AQ255" s="93"/>
    </row>
    <row r="256" spans="1:43" ht="52.5" customHeight="1">
      <c r="A256" s="353" t="s">
        <v>676</v>
      </c>
      <c r="B256" s="458" t="s">
        <v>848</v>
      </c>
      <c r="C256" s="1611">
        <v>0</v>
      </c>
      <c r="D256" s="409">
        <v>1</v>
      </c>
      <c r="E256" s="1009">
        <v>0</v>
      </c>
      <c r="F256" s="859">
        <v>0</v>
      </c>
      <c r="G256" s="859"/>
      <c r="H256" s="1010" t="e">
        <f t="shared" si="275"/>
        <v>#DIV/0!</v>
      </c>
      <c r="I256" s="1115">
        <f t="shared" si="276"/>
        <v>0</v>
      </c>
      <c r="J256" s="1210" t="s">
        <v>1586</v>
      </c>
      <c r="K256" s="1525"/>
      <c r="L256" s="1014"/>
      <c r="M256" s="1015"/>
      <c r="N256" s="1013"/>
      <c r="O256" s="1526"/>
      <c r="P256" s="1526"/>
      <c r="Q256" s="1526"/>
      <c r="R256" s="1017"/>
      <c r="S256" s="1526"/>
      <c r="T256" s="307">
        <v>3</v>
      </c>
      <c r="U256" s="307">
        <f t="shared" si="279"/>
        <v>0</v>
      </c>
      <c r="V256" s="1438">
        <f t="shared" si="277"/>
        <v>0</v>
      </c>
      <c r="W256" s="479">
        <v>0.1</v>
      </c>
      <c r="X256" s="881">
        <v>0.1</v>
      </c>
      <c r="Y256" s="1676">
        <v>90000000</v>
      </c>
      <c r="Z256" s="378">
        <v>0</v>
      </c>
      <c r="AA256" s="624">
        <v>87537426</v>
      </c>
      <c r="AB256" s="1114">
        <f t="shared" si="213"/>
        <v>0.97263806666666663</v>
      </c>
      <c r="AC256" s="624">
        <v>82040996</v>
      </c>
      <c r="AD256" s="1134">
        <f t="shared" si="214"/>
        <v>0.91156662222222218</v>
      </c>
      <c r="AE256" s="1116">
        <f>+AA256-AC256</f>
        <v>5496430</v>
      </c>
      <c r="AF256" s="1632">
        <v>0</v>
      </c>
      <c r="AG256" s="378">
        <v>0</v>
      </c>
      <c r="AH256" s="1089" t="e">
        <f t="shared" si="215"/>
        <v>#DIV/0!</v>
      </c>
      <c r="AI256" s="1118">
        <v>200000000</v>
      </c>
      <c r="AJ256" s="1118">
        <f t="shared" si="278"/>
        <v>87537426</v>
      </c>
      <c r="AK256" s="1139">
        <f t="shared" si="221"/>
        <v>0.43768712999999998</v>
      </c>
      <c r="AL256" s="173"/>
      <c r="AM256" s="157"/>
      <c r="AN256" s="152" t="s">
        <v>302</v>
      </c>
      <c r="AO256" s="1613" t="s">
        <v>890</v>
      </c>
      <c r="AP256" s="93"/>
      <c r="AQ256" s="93"/>
    </row>
    <row r="257" spans="1:43" ht="50.25" customHeight="1">
      <c r="A257" s="315" t="s">
        <v>497</v>
      </c>
      <c r="B257" s="138"/>
      <c r="C257" s="139"/>
      <c r="D257" s="223"/>
      <c r="E257" s="212"/>
      <c r="F257" s="139"/>
      <c r="G257" s="139"/>
      <c r="H257" s="140">
        <f>+SUMPRODUCT(H258:H259,W258:W259)</f>
        <v>1</v>
      </c>
      <c r="I257" s="161">
        <f>+SUMPRODUCT(I258:I259,X258:X259)</f>
        <v>1</v>
      </c>
      <c r="J257" s="98"/>
      <c r="K257" s="1619"/>
      <c r="L257" s="141"/>
      <c r="M257" s="142"/>
      <c r="N257" s="142"/>
      <c r="O257" s="194"/>
      <c r="P257" s="194"/>
      <c r="Q257" s="194"/>
      <c r="R257" s="163"/>
      <c r="S257" s="194"/>
      <c r="T257" s="303"/>
      <c r="U257" s="261"/>
      <c r="V257" s="177">
        <f>+SUMPRODUCT(V258:V259,W258:W259)</f>
        <v>0.63200000000000001</v>
      </c>
      <c r="W257" s="140">
        <v>0.4</v>
      </c>
      <c r="X257" s="471">
        <v>0.4</v>
      </c>
      <c r="Y257" s="1453">
        <f>SUM(Y258:Y259)</f>
        <v>225000000</v>
      </c>
      <c r="Z257" s="1453">
        <f>SUM(Z258:Z259)</f>
        <v>58000000</v>
      </c>
      <c r="AA257" s="1453">
        <f>SUM(AA258:AA259)</f>
        <v>221576882</v>
      </c>
      <c r="AB257" s="272">
        <f t="shared" si="213"/>
        <v>0.98478614222222227</v>
      </c>
      <c r="AC257" s="1453">
        <f>SUM(AC258:AC259)</f>
        <v>149150353</v>
      </c>
      <c r="AD257" s="1454">
        <f t="shared" si="214"/>
        <v>0.66289045777777778</v>
      </c>
      <c r="AE257" s="145">
        <f>SUM(AE258:AE259)</f>
        <v>72426529</v>
      </c>
      <c r="AF257" s="142">
        <f>SUM(AF258:AF259)</f>
        <v>14000000</v>
      </c>
      <c r="AG257" s="1453">
        <f>SUM(AG258:AG259)</f>
        <v>14000000</v>
      </c>
      <c r="AH257" s="613">
        <f t="shared" si="215"/>
        <v>1</v>
      </c>
      <c r="AI257" s="1453">
        <f t="shared" ref="AI257" si="281">SUM(AI258:AI259)</f>
        <v>1550000000</v>
      </c>
      <c r="AJ257" s="1453">
        <f>SUM(AJ258:AJ259)</f>
        <v>279576882</v>
      </c>
      <c r="AK257" s="1455">
        <f t="shared" si="221"/>
        <v>0.18037218193548388</v>
      </c>
      <c r="AL257" s="179"/>
      <c r="AM257" s="165"/>
      <c r="AN257" s="553"/>
      <c r="AO257" s="145"/>
      <c r="AP257" s="98"/>
      <c r="AQ257" s="98"/>
    </row>
    <row r="258" spans="1:43" ht="65.25" customHeight="1">
      <c r="A258" s="354" t="s">
        <v>677</v>
      </c>
      <c r="B258" s="461" t="s">
        <v>849</v>
      </c>
      <c r="C258" s="1677">
        <v>0.2</v>
      </c>
      <c r="D258" s="411">
        <v>0.5</v>
      </c>
      <c r="E258" s="311">
        <v>0.2</v>
      </c>
      <c r="F258" s="872">
        <v>0.5</v>
      </c>
      <c r="G258" s="859"/>
      <c r="H258" s="1010">
        <f t="shared" ref="H258:H259" si="282">IF((E258+G258)/C258&gt;=100%,100%,(E258+G258)/C258)</f>
        <v>1</v>
      </c>
      <c r="I258" s="1115">
        <f t="shared" ref="I258:I259" si="283">IF(F258/D258&gt;=100%,100%,F258/D258)</f>
        <v>1</v>
      </c>
      <c r="J258" s="1230" t="s">
        <v>1587</v>
      </c>
      <c r="K258" s="1525"/>
      <c r="L258" s="1014"/>
      <c r="M258" s="1015"/>
      <c r="N258" s="1013"/>
      <c r="O258" s="1526"/>
      <c r="P258" s="1526"/>
      <c r="Q258" s="1526"/>
      <c r="R258" s="1017"/>
      <c r="S258" s="1526"/>
      <c r="T258" s="309">
        <v>1</v>
      </c>
      <c r="U258" s="1010">
        <f>SUM(E258:G258)</f>
        <v>0.7</v>
      </c>
      <c r="V258" s="1438">
        <f t="shared" ref="V258:V259" si="284">IF(U258/T258&gt;=100%,100%,U258/T258)</f>
        <v>0.7</v>
      </c>
      <c r="W258" s="1636">
        <v>0.6</v>
      </c>
      <c r="X258" s="901">
        <v>0.6</v>
      </c>
      <c r="Y258" s="1675">
        <v>130000000</v>
      </c>
      <c r="Z258" s="378">
        <v>12000000</v>
      </c>
      <c r="AA258" s="1675">
        <v>127819314</v>
      </c>
      <c r="AB258" s="1114">
        <f t="shared" si="213"/>
        <v>0.98322549230769229</v>
      </c>
      <c r="AC258" s="1675">
        <v>61201252</v>
      </c>
      <c r="AD258" s="1139">
        <f t="shared" si="214"/>
        <v>0.47077886153846155</v>
      </c>
      <c r="AE258" s="1116">
        <f>+AA258-AC258</f>
        <v>66618062</v>
      </c>
      <c r="AF258" s="1632">
        <v>0</v>
      </c>
      <c r="AG258" s="378">
        <v>0</v>
      </c>
      <c r="AH258" s="1089" t="e">
        <f t="shared" si="215"/>
        <v>#DIV/0!</v>
      </c>
      <c r="AI258" s="1118">
        <v>1100000000</v>
      </c>
      <c r="AJ258" s="1118">
        <f t="shared" si="278"/>
        <v>139819314</v>
      </c>
      <c r="AK258" s="1139">
        <f t="shared" si="221"/>
        <v>0.12710846727272726</v>
      </c>
      <c r="AL258" s="1140"/>
      <c r="AM258" s="1119"/>
      <c r="AN258" s="152" t="s">
        <v>302</v>
      </c>
      <c r="AO258" s="1678" t="s">
        <v>890</v>
      </c>
      <c r="AP258" s="93"/>
      <c r="AQ258" s="93"/>
    </row>
    <row r="259" spans="1:43" ht="72" customHeight="1" thickBot="1">
      <c r="A259" s="1620" t="s">
        <v>678</v>
      </c>
      <c r="B259" s="1679" t="s">
        <v>29</v>
      </c>
      <c r="C259" s="1680">
        <v>1</v>
      </c>
      <c r="D259" s="854">
        <v>1</v>
      </c>
      <c r="E259" s="1681">
        <v>0.96</v>
      </c>
      <c r="F259" s="874">
        <v>1</v>
      </c>
      <c r="G259" s="874">
        <v>0.16</v>
      </c>
      <c r="H259" s="1139">
        <f t="shared" si="282"/>
        <v>1</v>
      </c>
      <c r="I259" s="1134">
        <f t="shared" si="283"/>
        <v>1</v>
      </c>
      <c r="J259" s="1230" t="s">
        <v>1588</v>
      </c>
      <c r="K259" s="1525"/>
      <c r="L259" s="1220"/>
      <c r="M259" s="1221"/>
      <c r="N259" s="1219"/>
      <c r="O259" s="1526"/>
      <c r="P259" s="1526"/>
      <c r="Q259" s="1526"/>
      <c r="R259" s="1223"/>
      <c r="S259" s="1526"/>
      <c r="T259" s="1648">
        <v>4</v>
      </c>
      <c r="U259" s="1139">
        <f>SUM(E259:G259)</f>
        <v>2.12</v>
      </c>
      <c r="V259" s="1430">
        <f t="shared" si="284"/>
        <v>0.53</v>
      </c>
      <c r="W259" s="1263">
        <v>0.4</v>
      </c>
      <c r="X259" s="892">
        <v>0.4</v>
      </c>
      <c r="Y259" s="1682">
        <v>95000000</v>
      </c>
      <c r="Z259" s="1627">
        <v>46000000</v>
      </c>
      <c r="AA259" s="1682">
        <v>93757568</v>
      </c>
      <c r="AB259" s="1133">
        <f t="shared" si="213"/>
        <v>0.98692176842105261</v>
      </c>
      <c r="AC259" s="1682">
        <v>87949101</v>
      </c>
      <c r="AD259" s="1134">
        <f t="shared" si="214"/>
        <v>0.92578001052631576</v>
      </c>
      <c r="AE259" s="1135">
        <f>+AA259-AC259</f>
        <v>5808467</v>
      </c>
      <c r="AF259" s="1628">
        <v>14000000</v>
      </c>
      <c r="AG259" s="1627">
        <v>14000000</v>
      </c>
      <c r="AH259" s="1136">
        <f t="shared" si="215"/>
        <v>1</v>
      </c>
      <c r="AI259" s="1138">
        <v>450000000</v>
      </c>
      <c r="AJ259" s="1138">
        <f t="shared" si="278"/>
        <v>139757568</v>
      </c>
      <c r="AK259" s="1139">
        <f t="shared" si="221"/>
        <v>0.31057237333333332</v>
      </c>
      <c r="AL259" s="1140"/>
      <c r="AM259" s="1140"/>
      <c r="AN259" s="189" t="s">
        <v>29</v>
      </c>
      <c r="AO259" s="1629" t="s">
        <v>890</v>
      </c>
      <c r="AP259" s="1037"/>
      <c r="AQ259" s="1037"/>
    </row>
    <row r="260" spans="1:43" s="617" customFormat="1" ht="42.75" customHeight="1" thickBot="1">
      <c r="A260" s="1065" t="s">
        <v>443</v>
      </c>
      <c r="B260" s="1066"/>
      <c r="C260" s="862"/>
      <c r="D260" s="835"/>
      <c r="E260" s="1067"/>
      <c r="F260" s="862"/>
      <c r="G260" s="1246"/>
      <c r="H260" s="1077">
        <f>+(H261*100%)</f>
        <v>0.5</v>
      </c>
      <c r="I260" s="1068">
        <f>+(I261*X261)+(I266*X266)+(I268*X268)</f>
        <v>0.3</v>
      </c>
      <c r="J260" s="1082"/>
      <c r="K260" s="1463"/>
      <c r="L260" s="1071"/>
      <c r="M260" s="1069"/>
      <c r="N260" s="1069"/>
      <c r="O260" s="1464"/>
      <c r="P260" s="1464"/>
      <c r="Q260" s="1464"/>
      <c r="R260" s="1072"/>
      <c r="S260" s="1464"/>
      <c r="T260" s="1465"/>
      <c r="U260" s="1075"/>
      <c r="V260" s="1246">
        <f>+(V261*W261)+(V266*W266)+(V268*W268)</f>
        <v>0.22499999999999998</v>
      </c>
      <c r="W260" s="1077">
        <v>0.09</v>
      </c>
      <c r="X260" s="883">
        <v>0.09</v>
      </c>
      <c r="Y260" s="1078">
        <f>+Y261+Y266+Y268</f>
        <v>355000000</v>
      </c>
      <c r="Z260" s="1078">
        <f>+Z261+Z266+Z268</f>
        <v>211626200</v>
      </c>
      <c r="AA260" s="1078">
        <f>+AA261+AA266+AA268</f>
        <v>253384705</v>
      </c>
      <c r="AB260" s="1079">
        <f t="shared" si="213"/>
        <v>0.71375973239436619</v>
      </c>
      <c r="AC260" s="1078">
        <f>+AC261+AC266+AC268</f>
        <v>163299560</v>
      </c>
      <c r="AD260" s="1077">
        <f t="shared" si="214"/>
        <v>0.45999876056338029</v>
      </c>
      <c r="AE260" s="1066">
        <f>+AE261+AE266+AE268</f>
        <v>90085145</v>
      </c>
      <c r="AF260" s="1069">
        <f>+AF261+AF266+AF268</f>
        <v>117400000</v>
      </c>
      <c r="AG260" s="1078">
        <f>+AG261+AG266+AG268</f>
        <v>115536666</v>
      </c>
      <c r="AH260" s="1080">
        <f t="shared" si="215"/>
        <v>0.98412833049403747</v>
      </c>
      <c r="AI260" s="1078">
        <f t="shared" ref="AI260" si="285">+AI261+AI266+AI268</f>
        <v>1750000000</v>
      </c>
      <c r="AJ260" s="1078">
        <f>+AJ261+AJ266+AJ268</f>
        <v>465010905</v>
      </c>
      <c r="AK260" s="1077">
        <f t="shared" si="221"/>
        <v>0.26572051714285716</v>
      </c>
      <c r="AL260" s="1071"/>
      <c r="AM260" s="1071" t="s">
        <v>301</v>
      </c>
      <c r="AN260" s="1069"/>
      <c r="AO260" s="1066"/>
      <c r="AP260" s="1082"/>
      <c r="AQ260" s="1082"/>
    </row>
    <row r="261" spans="1:43" ht="51.75" customHeight="1">
      <c r="A261" s="331" t="s">
        <v>498</v>
      </c>
      <c r="B261" s="437"/>
      <c r="C261" s="873"/>
      <c r="D261" s="849"/>
      <c r="E261" s="1572"/>
      <c r="F261" s="873"/>
      <c r="G261" s="873"/>
      <c r="H261" s="1573">
        <f>+SUMPRODUCT(H262:H265,W262:W265)</f>
        <v>0.5</v>
      </c>
      <c r="I261" s="1608">
        <f>+SUMPRODUCT(I262:I265,X262:X265)</f>
        <v>0.5</v>
      </c>
      <c r="J261" s="1609"/>
      <c r="K261" s="1575"/>
      <c r="L261" s="243"/>
      <c r="M261" s="1576"/>
      <c r="N261" s="1576"/>
      <c r="O261" s="1577"/>
      <c r="P261" s="1577"/>
      <c r="Q261" s="1577"/>
      <c r="R261" s="1578"/>
      <c r="S261" s="1577"/>
      <c r="T261" s="1579"/>
      <c r="U261" s="261"/>
      <c r="V261" s="1580">
        <f>+SUMPRODUCT(V262:V265,W262:W265)</f>
        <v>0.375</v>
      </c>
      <c r="W261" s="294">
        <v>0.6</v>
      </c>
      <c r="X261" s="294">
        <v>0.6</v>
      </c>
      <c r="Y261" s="1581">
        <f>SUM(Y262:Y265)</f>
        <v>180000000</v>
      </c>
      <c r="Z261" s="1581">
        <f>SUM(Z262:Z265)</f>
        <v>201626200</v>
      </c>
      <c r="AA261" s="1581">
        <f>SUM(AA262:AA265)</f>
        <v>163189902</v>
      </c>
      <c r="AB261" s="1582">
        <f t="shared" si="213"/>
        <v>0.90661056666666662</v>
      </c>
      <c r="AC261" s="1581">
        <f>SUM(AC262:AC265)</f>
        <v>133732128</v>
      </c>
      <c r="AD261" s="1595">
        <f t="shared" si="214"/>
        <v>0.7429562666666667</v>
      </c>
      <c r="AE261" s="1584">
        <f>SUM(AE262:AE265)</f>
        <v>29457774</v>
      </c>
      <c r="AF261" s="1576">
        <f>SUM(AF262:AF265)</f>
        <v>117400000</v>
      </c>
      <c r="AG261" s="1581">
        <f>SUM(AG262:AG265)</f>
        <v>115536666</v>
      </c>
      <c r="AH261" s="613">
        <f t="shared" si="215"/>
        <v>0.98412833049403747</v>
      </c>
      <c r="AI261" s="1581">
        <f t="shared" ref="AI261" si="286">SUM(AI262:AI265)</f>
        <v>1000000000</v>
      </c>
      <c r="AJ261" s="1581">
        <f>SUM(AJ262:AJ265)</f>
        <v>364816102</v>
      </c>
      <c r="AK261" s="1586">
        <f t="shared" si="221"/>
        <v>0.36481610199999998</v>
      </c>
      <c r="AL261" s="1587"/>
      <c r="AM261" s="1588"/>
      <c r="AN261" s="1589"/>
      <c r="AO261" s="1584"/>
      <c r="AP261" s="1590"/>
      <c r="AQ261" s="1590"/>
    </row>
    <row r="262" spans="1:43" ht="60" customHeight="1">
      <c r="A262" s="352" t="s">
        <v>679</v>
      </c>
      <c r="B262" s="457" t="s">
        <v>850</v>
      </c>
      <c r="C262" s="1596">
        <v>1</v>
      </c>
      <c r="D262" s="407">
        <v>1</v>
      </c>
      <c r="E262" s="304">
        <v>1</v>
      </c>
      <c r="F262" s="147">
        <v>1</v>
      </c>
      <c r="G262" s="147"/>
      <c r="H262" s="180">
        <f t="shared" ref="H262:H265" si="287">IF((E262+G262)/C262&gt;=100%,100%,(E262+G262)/C262)</f>
        <v>1</v>
      </c>
      <c r="I262" s="682">
        <f t="shared" ref="I262:I265" si="288">IF(F262/D262&gt;=100%,100%,F262/D262)</f>
        <v>1</v>
      </c>
      <c r="J262" s="1037" t="s">
        <v>1589</v>
      </c>
      <c r="K262" s="1507"/>
      <c r="L262" s="101"/>
      <c r="M262" s="104"/>
      <c r="N262" s="146"/>
      <c r="O262" s="195"/>
      <c r="P262" s="195"/>
      <c r="Q262" s="195"/>
      <c r="R262" s="150"/>
      <c r="S262" s="195"/>
      <c r="T262" s="241">
        <v>4</v>
      </c>
      <c r="U262" s="242">
        <f>SUM(E262:G262)</f>
        <v>2</v>
      </c>
      <c r="V262" s="186">
        <f t="shared" ref="V262:V265" si="289">IF(U262/T262&gt;=100%,100%,U262/T262)</f>
        <v>0.5</v>
      </c>
      <c r="W262" s="1397">
        <v>0.25</v>
      </c>
      <c r="X262" s="476">
        <v>0.25</v>
      </c>
      <c r="Y262" s="622">
        <v>45000000</v>
      </c>
      <c r="Z262" s="378">
        <v>40800000</v>
      </c>
      <c r="AA262" s="622">
        <v>36251938</v>
      </c>
      <c r="AB262" s="273">
        <f t="shared" si="213"/>
        <v>0.80559862222222223</v>
      </c>
      <c r="AC262" s="622">
        <v>33612905</v>
      </c>
      <c r="AD262" s="1030">
        <f t="shared" si="214"/>
        <v>0.74695344444444445</v>
      </c>
      <c r="AE262" s="156">
        <f>+AA262-AC262</f>
        <v>2639033</v>
      </c>
      <c r="AF262" s="1632">
        <v>5100000</v>
      </c>
      <c r="AG262" s="378">
        <v>5100000</v>
      </c>
      <c r="AH262" s="614">
        <f t="shared" si="215"/>
        <v>1</v>
      </c>
      <c r="AI262" s="250">
        <f>1000000000/4</f>
        <v>250000000</v>
      </c>
      <c r="AJ262" s="250">
        <f t="shared" ref="AJ262:AJ269" si="290">+SUM(Z262:AA262)</f>
        <v>77051938</v>
      </c>
      <c r="AK262" s="1139">
        <f t="shared" si="221"/>
        <v>0.308207752</v>
      </c>
      <c r="AL262" s="173"/>
      <c r="AM262" s="157"/>
      <c r="AN262" s="152" t="s">
        <v>302</v>
      </c>
      <c r="AO262" s="2288" t="s">
        <v>890</v>
      </c>
      <c r="AP262" s="93"/>
      <c r="AQ262" s="93"/>
    </row>
    <row r="263" spans="1:43" ht="74.25" customHeight="1">
      <c r="A263" s="352" t="s">
        <v>680</v>
      </c>
      <c r="B263" s="457" t="s">
        <v>851</v>
      </c>
      <c r="C263" s="1596">
        <v>1</v>
      </c>
      <c r="D263" s="407">
        <v>1</v>
      </c>
      <c r="E263" s="304">
        <v>1</v>
      </c>
      <c r="F263" s="859">
        <v>1</v>
      </c>
      <c r="G263" s="859"/>
      <c r="H263" s="1010">
        <f t="shared" si="287"/>
        <v>1</v>
      </c>
      <c r="I263" s="1614">
        <f t="shared" si="288"/>
        <v>1</v>
      </c>
      <c r="J263" s="1210" t="s">
        <v>1590</v>
      </c>
      <c r="K263" s="1525"/>
      <c r="L263" s="1220"/>
      <c r="M263" s="1221"/>
      <c r="N263" s="1013"/>
      <c r="O263" s="1526"/>
      <c r="P263" s="1526"/>
      <c r="Q263" s="1526"/>
      <c r="R263" s="1017"/>
      <c r="S263" s="1526"/>
      <c r="T263" s="1527">
        <v>1</v>
      </c>
      <c r="U263" s="1008">
        <f t="shared" ref="U263:U265" si="291">SUM(E263:G263)</f>
        <v>2</v>
      </c>
      <c r="V263" s="1438">
        <f t="shared" si="289"/>
        <v>1</v>
      </c>
      <c r="W263" s="1636">
        <v>0.25</v>
      </c>
      <c r="X263" s="901">
        <v>0.25</v>
      </c>
      <c r="Y263" s="622">
        <v>45000000</v>
      </c>
      <c r="Z263" s="378">
        <v>47326200</v>
      </c>
      <c r="AA263" s="622">
        <v>44534088</v>
      </c>
      <c r="AB263" s="1114">
        <f t="shared" si="213"/>
        <v>0.98964640000000004</v>
      </c>
      <c r="AC263" s="622">
        <v>42993413</v>
      </c>
      <c r="AD263" s="1134">
        <f t="shared" si="214"/>
        <v>0.95540917777777778</v>
      </c>
      <c r="AE263" s="1116">
        <f>+AA263-AC263</f>
        <v>1540675</v>
      </c>
      <c r="AF263" s="1632">
        <v>8000000</v>
      </c>
      <c r="AG263" s="378">
        <v>8000000</v>
      </c>
      <c r="AH263" s="1089">
        <f t="shared" si="215"/>
        <v>1</v>
      </c>
      <c r="AI263" s="1118">
        <f t="shared" ref="AI263:AI265" si="292">1000000000/4</f>
        <v>250000000</v>
      </c>
      <c r="AJ263" s="1118">
        <f t="shared" si="290"/>
        <v>91860288</v>
      </c>
      <c r="AK263" s="1139">
        <f t="shared" si="221"/>
        <v>0.36744115199999999</v>
      </c>
      <c r="AL263" s="1140"/>
      <c r="AM263" s="1119"/>
      <c r="AN263" s="1012" t="s">
        <v>302</v>
      </c>
      <c r="AO263" s="2289"/>
      <c r="AP263" s="93"/>
      <c r="AQ263" s="93"/>
    </row>
    <row r="264" spans="1:43" ht="77.25" customHeight="1">
      <c r="A264" s="352" t="s">
        <v>681</v>
      </c>
      <c r="B264" s="457" t="s">
        <v>852</v>
      </c>
      <c r="C264" s="1596">
        <v>0.1</v>
      </c>
      <c r="D264" s="407">
        <v>1</v>
      </c>
      <c r="E264" s="304">
        <v>0</v>
      </c>
      <c r="F264" s="859">
        <v>0</v>
      </c>
      <c r="G264" s="859"/>
      <c r="H264" s="1010">
        <f t="shared" si="287"/>
        <v>0</v>
      </c>
      <c r="I264" s="1614">
        <f t="shared" si="288"/>
        <v>0</v>
      </c>
      <c r="J264" s="1683" t="s">
        <v>1591</v>
      </c>
      <c r="K264" s="1525"/>
      <c r="L264" s="1220"/>
      <c r="M264" s="1221"/>
      <c r="N264" s="1013"/>
      <c r="O264" s="1526"/>
      <c r="P264" s="1526"/>
      <c r="Q264" s="1526"/>
      <c r="R264" s="1017"/>
      <c r="S264" s="1526"/>
      <c r="T264" s="1527">
        <v>1</v>
      </c>
      <c r="U264" s="1008">
        <f t="shared" si="291"/>
        <v>0</v>
      </c>
      <c r="V264" s="1438">
        <f t="shared" si="289"/>
        <v>0</v>
      </c>
      <c r="W264" s="1636">
        <v>0.25</v>
      </c>
      <c r="X264" s="901">
        <v>0.25</v>
      </c>
      <c r="Y264" s="621">
        <v>45000000</v>
      </c>
      <c r="Z264" s="378">
        <v>56750000</v>
      </c>
      <c r="AA264" s="622">
        <v>40701938</v>
      </c>
      <c r="AB264" s="1114">
        <f t="shared" si="213"/>
        <v>0.90448751111111114</v>
      </c>
      <c r="AC264" s="622">
        <v>28062905</v>
      </c>
      <c r="AD264" s="1134">
        <f t="shared" si="214"/>
        <v>0.62362011111111115</v>
      </c>
      <c r="AE264" s="1116">
        <f>+AA264-AC264</f>
        <v>12639033</v>
      </c>
      <c r="AF264" s="1632">
        <v>51850000</v>
      </c>
      <c r="AG264" s="378">
        <v>50000000</v>
      </c>
      <c r="AH264" s="1089">
        <f t="shared" si="215"/>
        <v>0.96432015429122464</v>
      </c>
      <c r="AI264" s="1118">
        <f t="shared" si="292"/>
        <v>250000000</v>
      </c>
      <c r="AJ264" s="1118">
        <f t="shared" si="290"/>
        <v>97451938</v>
      </c>
      <c r="AK264" s="1139">
        <f t="shared" si="221"/>
        <v>0.38980775200000001</v>
      </c>
      <c r="AL264" s="1140"/>
      <c r="AM264" s="1119"/>
      <c r="AN264" s="1012" t="s">
        <v>302</v>
      </c>
      <c r="AO264" s="2289"/>
      <c r="AP264" s="93"/>
      <c r="AQ264" s="93"/>
    </row>
    <row r="265" spans="1:43" ht="74.25" customHeight="1">
      <c r="A265" s="355" t="s">
        <v>682</v>
      </c>
      <c r="B265" s="310" t="s">
        <v>853</v>
      </c>
      <c r="C265" s="1596">
        <v>0.1</v>
      </c>
      <c r="D265" s="407">
        <v>1</v>
      </c>
      <c r="E265" s="304">
        <v>0</v>
      </c>
      <c r="F265" s="859">
        <v>0</v>
      </c>
      <c r="G265" s="859"/>
      <c r="H265" s="1010">
        <f t="shared" si="287"/>
        <v>0</v>
      </c>
      <c r="I265" s="1614">
        <f t="shared" si="288"/>
        <v>0</v>
      </c>
      <c r="J265" s="1615" t="s">
        <v>1591</v>
      </c>
      <c r="K265" s="1525"/>
      <c r="L265" s="1220"/>
      <c r="M265" s="1221"/>
      <c r="N265" s="1013"/>
      <c r="O265" s="1526"/>
      <c r="P265" s="1526"/>
      <c r="Q265" s="1526"/>
      <c r="R265" s="1017"/>
      <c r="S265" s="1526"/>
      <c r="T265" s="1527">
        <v>1</v>
      </c>
      <c r="U265" s="1008">
        <f t="shared" si="291"/>
        <v>0</v>
      </c>
      <c r="V265" s="1438">
        <f t="shared" si="289"/>
        <v>0</v>
      </c>
      <c r="W265" s="1636">
        <v>0.25</v>
      </c>
      <c r="X265" s="901">
        <v>0.25</v>
      </c>
      <c r="Y265" s="1649">
        <v>45000000</v>
      </c>
      <c r="Z265" s="378">
        <v>56750000</v>
      </c>
      <c r="AA265" s="622">
        <v>41701938</v>
      </c>
      <c r="AB265" s="1114">
        <f t="shared" ref="AB265:AB292" si="293">+AA265/Y265</f>
        <v>0.92670973333333329</v>
      </c>
      <c r="AC265" s="622">
        <v>29062905</v>
      </c>
      <c r="AD265" s="1134">
        <f t="shared" ref="AD265:AD296" si="294">+AC265/Y265</f>
        <v>0.6458423333333333</v>
      </c>
      <c r="AE265" s="1116">
        <f>+AA265-AC265</f>
        <v>12639033</v>
      </c>
      <c r="AF265" s="1632">
        <v>52450000</v>
      </c>
      <c r="AG265" s="378">
        <v>52436666</v>
      </c>
      <c r="AH265" s="1089">
        <f t="shared" ref="AH265:AH296" si="295">+AG265/AF265</f>
        <v>0.99974577693040989</v>
      </c>
      <c r="AI265" s="1118">
        <f t="shared" si="292"/>
        <v>250000000</v>
      </c>
      <c r="AJ265" s="1118">
        <f t="shared" si="290"/>
        <v>98451938</v>
      </c>
      <c r="AK265" s="1139">
        <f t="shared" si="221"/>
        <v>0.39380775200000001</v>
      </c>
      <c r="AL265" s="1140"/>
      <c r="AM265" s="1119"/>
      <c r="AN265" s="1012" t="s">
        <v>302</v>
      </c>
      <c r="AO265" s="2290"/>
      <c r="AP265" s="93"/>
      <c r="AQ265" s="93"/>
    </row>
    <row r="266" spans="1:43" ht="36.75" customHeight="1">
      <c r="A266" s="315" t="s">
        <v>499</v>
      </c>
      <c r="B266" s="138"/>
      <c r="C266" s="139"/>
      <c r="D266" s="223"/>
      <c r="E266" s="212"/>
      <c r="F266" s="139"/>
      <c r="G266" s="139"/>
      <c r="H266" s="140">
        <f>+H267*100%</f>
        <v>0</v>
      </c>
      <c r="I266" s="1617">
        <f>+(I267*X267)</f>
        <v>0</v>
      </c>
      <c r="J266" s="98"/>
      <c r="K266" s="1619"/>
      <c r="L266" s="141"/>
      <c r="M266" s="142"/>
      <c r="N266" s="142"/>
      <c r="O266" s="194"/>
      <c r="P266" s="194"/>
      <c r="Q266" s="194"/>
      <c r="R266" s="163"/>
      <c r="S266" s="194"/>
      <c r="T266" s="240"/>
      <c r="U266" s="261"/>
      <c r="V266" s="177">
        <f>+(V267*W267)</f>
        <v>0</v>
      </c>
      <c r="W266" s="140">
        <v>0.2</v>
      </c>
      <c r="X266" s="471">
        <v>0.2</v>
      </c>
      <c r="Y266" s="1453">
        <f>SUM(Y267)</f>
        <v>90000000</v>
      </c>
      <c r="Z266" s="1453">
        <f>SUM(Z267)</f>
        <v>10000000</v>
      </c>
      <c r="AA266" s="1453">
        <f>SUM(AA267)</f>
        <v>17337743</v>
      </c>
      <c r="AB266" s="272">
        <f t="shared" si="293"/>
        <v>0.19264158888888888</v>
      </c>
      <c r="AC266" s="1453">
        <f>SUM(AC267)</f>
        <v>11840998</v>
      </c>
      <c r="AD266" s="1455">
        <f t="shared" si="294"/>
        <v>0.13156664444444444</v>
      </c>
      <c r="AE266" s="145">
        <f>SUM(AE267)</f>
        <v>5496745</v>
      </c>
      <c r="AF266" s="142">
        <f>SUM(AF267)</f>
        <v>0</v>
      </c>
      <c r="AG266" s="1453">
        <f>SUM(AG267)</f>
        <v>0</v>
      </c>
      <c r="AH266" s="613" t="e">
        <f t="shared" si="295"/>
        <v>#DIV/0!</v>
      </c>
      <c r="AI266" s="1453">
        <f t="shared" ref="AI266" si="296">SUM(AI267)</f>
        <v>300000000</v>
      </c>
      <c r="AJ266" s="1453">
        <f>SUM(AJ267)</f>
        <v>27337743</v>
      </c>
      <c r="AK266" s="1455">
        <f t="shared" si="221"/>
        <v>9.1125810000000002E-2</v>
      </c>
      <c r="AL266" s="179"/>
      <c r="AM266" s="165"/>
      <c r="AN266" s="553"/>
      <c r="AO266" s="145"/>
      <c r="AP266" s="98"/>
      <c r="AQ266" s="98"/>
    </row>
    <row r="267" spans="1:43" ht="53.25" customHeight="1">
      <c r="A267" s="356" t="s">
        <v>683</v>
      </c>
      <c r="B267" s="460" t="s">
        <v>854</v>
      </c>
      <c r="C267" s="1630">
        <v>0.1</v>
      </c>
      <c r="D267" s="220">
        <v>1</v>
      </c>
      <c r="E267" s="1009">
        <v>0</v>
      </c>
      <c r="F267" s="859">
        <v>0</v>
      </c>
      <c r="G267" s="859"/>
      <c r="H267" s="1010">
        <f t="shared" ref="H267" si="297">IF((E267+G267)/C267&gt;=100%,100%,(E267+G267)/C267)</f>
        <v>0</v>
      </c>
      <c r="I267" s="1614">
        <f t="shared" ref="I267" si="298">IF(F267/D267&gt;=100%,100%,F267/D267)</f>
        <v>0</v>
      </c>
      <c r="J267" s="1683" t="s">
        <v>1591</v>
      </c>
      <c r="K267" s="1507"/>
      <c r="L267" s="206"/>
      <c r="M267" s="207"/>
      <c r="N267" s="146"/>
      <c r="O267" s="195"/>
      <c r="P267" s="195"/>
      <c r="Q267" s="195"/>
      <c r="R267" s="150"/>
      <c r="S267" s="195"/>
      <c r="T267" s="241">
        <v>1</v>
      </c>
      <c r="U267" s="242">
        <f>SUM(E267:G267)</f>
        <v>0</v>
      </c>
      <c r="V267" s="186">
        <f t="shared" ref="V267" si="299">IF(U267/T267&gt;=100%,100%,U267/T267)</f>
        <v>0</v>
      </c>
      <c r="W267" s="1397">
        <v>1</v>
      </c>
      <c r="X267" s="477">
        <v>1</v>
      </c>
      <c r="Y267" s="1684">
        <v>90000000</v>
      </c>
      <c r="Z267" s="487">
        <v>10000000</v>
      </c>
      <c r="AA267" s="1684">
        <v>17337743</v>
      </c>
      <c r="AB267" s="273">
        <f t="shared" si="293"/>
        <v>0.19264158888888888</v>
      </c>
      <c r="AC267" s="1684">
        <v>11840998</v>
      </c>
      <c r="AD267" s="1139">
        <f t="shared" si="294"/>
        <v>0.13156664444444444</v>
      </c>
      <c r="AE267" s="1116">
        <f>+AA267-AC267</f>
        <v>5496745</v>
      </c>
      <c r="AF267" s="1685">
        <v>0</v>
      </c>
      <c r="AG267" s="487">
        <v>0</v>
      </c>
      <c r="AH267" s="1089" t="e">
        <f t="shared" si="295"/>
        <v>#DIV/0!</v>
      </c>
      <c r="AI267" s="1118">
        <v>300000000</v>
      </c>
      <c r="AJ267" s="1118">
        <f t="shared" si="290"/>
        <v>27337743</v>
      </c>
      <c r="AK267" s="1139">
        <f t="shared" si="221"/>
        <v>9.1125810000000002E-2</v>
      </c>
      <c r="AL267" s="1140"/>
      <c r="AM267" s="157"/>
      <c r="AN267" s="152" t="s">
        <v>302</v>
      </c>
      <c r="AO267" s="1613" t="s">
        <v>890</v>
      </c>
      <c r="AP267" s="93"/>
      <c r="AQ267" s="93"/>
    </row>
    <row r="268" spans="1:43" ht="51.75" customHeight="1">
      <c r="A268" s="315" t="s">
        <v>500</v>
      </c>
      <c r="B268" s="138"/>
      <c r="C268" s="139"/>
      <c r="D268" s="223"/>
      <c r="E268" s="212"/>
      <c r="F268" s="139"/>
      <c r="G268" s="139"/>
      <c r="H268" s="140">
        <v>0</v>
      </c>
      <c r="I268" s="1617">
        <f>+I269*X269</f>
        <v>0</v>
      </c>
      <c r="J268" s="1618"/>
      <c r="K268" s="1619"/>
      <c r="L268" s="141"/>
      <c r="M268" s="142"/>
      <c r="N268" s="142"/>
      <c r="O268" s="194"/>
      <c r="P268" s="194"/>
      <c r="Q268" s="194"/>
      <c r="R268" s="163"/>
      <c r="S268" s="194"/>
      <c r="T268" s="240"/>
      <c r="U268" s="261"/>
      <c r="V268" s="177">
        <f>+(V269*W269)</f>
        <v>0</v>
      </c>
      <c r="W268" s="140">
        <v>0.2</v>
      </c>
      <c r="X268" s="471">
        <v>0.2</v>
      </c>
      <c r="Y268" s="1453">
        <f>SUM(Y269)</f>
        <v>85000000</v>
      </c>
      <c r="Z268" s="1453">
        <f>SUM(Z269)</f>
        <v>0</v>
      </c>
      <c r="AA268" s="1453">
        <f>SUM(AA269)</f>
        <v>72857060</v>
      </c>
      <c r="AB268" s="272">
        <f t="shared" si="293"/>
        <v>0.8571418823529412</v>
      </c>
      <c r="AC268" s="1453">
        <f>SUM(AC269)</f>
        <v>17726434</v>
      </c>
      <c r="AD268" s="1455">
        <f t="shared" si="294"/>
        <v>0.20854628235294118</v>
      </c>
      <c r="AE268" s="145">
        <f>SUM(AE269)</f>
        <v>55130626</v>
      </c>
      <c r="AF268" s="142">
        <f>SUM(AF269)</f>
        <v>0</v>
      </c>
      <c r="AG268" s="1453">
        <f>SUM(AG269)</f>
        <v>0</v>
      </c>
      <c r="AH268" s="613" t="e">
        <f t="shared" si="295"/>
        <v>#DIV/0!</v>
      </c>
      <c r="AI268" s="1453">
        <f>SUM(AI269)</f>
        <v>450000000</v>
      </c>
      <c r="AJ268" s="1453">
        <f>SUM(AJ269)</f>
        <v>72857060</v>
      </c>
      <c r="AK268" s="1455">
        <f t="shared" ref="AK268:AK296" si="300">+AJ268/AI268</f>
        <v>0.16190457777777778</v>
      </c>
      <c r="AL268" s="179"/>
      <c r="AM268" s="165"/>
      <c r="AN268" s="553"/>
      <c r="AO268" s="145"/>
      <c r="AP268" s="98"/>
      <c r="AQ268" s="98"/>
    </row>
    <row r="269" spans="1:43" ht="102" customHeight="1" thickBot="1">
      <c r="A269" s="355" t="s">
        <v>684</v>
      </c>
      <c r="B269" s="310" t="s">
        <v>855</v>
      </c>
      <c r="C269" s="1686">
        <v>0</v>
      </c>
      <c r="D269" s="855">
        <v>0.1</v>
      </c>
      <c r="E269" s="1217">
        <v>0</v>
      </c>
      <c r="F269" s="866">
        <v>0</v>
      </c>
      <c r="G269" s="866"/>
      <c r="H269" s="1139" t="e">
        <f t="shared" ref="H269" si="301">IF((E269+G269)/C269&gt;=100%,100%,(E269+G269)/C269)</f>
        <v>#DIV/0!</v>
      </c>
      <c r="I269" s="1687">
        <f t="shared" ref="I269" si="302">IF(F269/D269&gt;=100%,100%,F269/D269)</f>
        <v>0</v>
      </c>
      <c r="J269" s="1688" t="s">
        <v>1592</v>
      </c>
      <c r="K269" s="1525"/>
      <c r="L269" s="1220"/>
      <c r="M269" s="1221"/>
      <c r="N269" s="1219"/>
      <c r="O269" s="1526"/>
      <c r="P269" s="1526"/>
      <c r="Q269" s="1526"/>
      <c r="R269" s="1223"/>
      <c r="S269" s="1526"/>
      <c r="T269" s="1527">
        <v>1</v>
      </c>
      <c r="U269" s="1130">
        <f>SUM(E269:G269)</f>
        <v>0</v>
      </c>
      <c r="V269" s="1430">
        <f t="shared" ref="V269" si="303">IF(U269/T269&gt;=100%,100%,U269/T269)</f>
        <v>0</v>
      </c>
      <c r="W269" s="1263">
        <v>1</v>
      </c>
      <c r="X269" s="885">
        <v>1</v>
      </c>
      <c r="Y269" s="1689">
        <v>85000000</v>
      </c>
      <c r="Z269" s="1690">
        <v>0</v>
      </c>
      <c r="AA269" s="1691">
        <v>72857060</v>
      </c>
      <c r="AB269" s="1133">
        <f t="shared" si="293"/>
        <v>0.8571418823529412</v>
      </c>
      <c r="AC269" s="1691">
        <v>17726434</v>
      </c>
      <c r="AD269" s="1139">
        <f t="shared" si="294"/>
        <v>0.20854628235294118</v>
      </c>
      <c r="AE269" s="1135">
        <f>+AA269-AC269</f>
        <v>55130626</v>
      </c>
      <c r="AF269" s="1692">
        <v>0</v>
      </c>
      <c r="AG269" s="1690">
        <v>0</v>
      </c>
      <c r="AH269" s="1136" t="e">
        <f t="shared" si="295"/>
        <v>#DIV/0!</v>
      </c>
      <c r="AI269" s="1138">
        <v>450000000</v>
      </c>
      <c r="AJ269" s="1138">
        <f t="shared" si="290"/>
        <v>72857060</v>
      </c>
      <c r="AK269" s="1139">
        <f t="shared" si="300"/>
        <v>0.16190457777777778</v>
      </c>
      <c r="AL269" s="1140"/>
      <c r="AM269" s="173"/>
      <c r="AN269" s="189" t="s">
        <v>302</v>
      </c>
      <c r="AO269" s="1607" t="s">
        <v>890</v>
      </c>
      <c r="AP269" s="1037"/>
      <c r="AQ269" s="1037"/>
    </row>
    <row r="270" spans="1:43" s="617" customFormat="1" ht="33.75" customHeight="1" thickBot="1">
      <c r="A270" s="1065" t="s">
        <v>444</v>
      </c>
      <c r="B270" s="1066"/>
      <c r="C270" s="862"/>
      <c r="D270" s="835"/>
      <c r="E270" s="1067"/>
      <c r="F270" s="862"/>
      <c r="G270" s="862"/>
      <c r="H270" s="1077">
        <f>+(H271*W271)</f>
        <v>1</v>
      </c>
      <c r="I270" s="1068">
        <f>+(I271*X271)</f>
        <v>0.98</v>
      </c>
      <c r="J270" s="1082"/>
      <c r="K270" s="1463"/>
      <c r="L270" s="1071"/>
      <c r="M270" s="1069"/>
      <c r="N270" s="1069"/>
      <c r="O270" s="1464"/>
      <c r="P270" s="1464"/>
      <c r="Q270" s="1464"/>
      <c r="R270" s="1072"/>
      <c r="S270" s="1464"/>
      <c r="T270" s="1465"/>
      <c r="U270" s="1075"/>
      <c r="V270" s="1246">
        <f>+(V271*W271)</f>
        <v>0.60470695970695976</v>
      </c>
      <c r="W270" s="1077">
        <v>0.1</v>
      </c>
      <c r="X270" s="883">
        <v>0.1</v>
      </c>
      <c r="Y270" s="1078">
        <f>+Y271</f>
        <v>640000000</v>
      </c>
      <c r="Z270" s="1078">
        <f>+Z271</f>
        <v>205472200</v>
      </c>
      <c r="AA270" s="1078">
        <f>+AA271</f>
        <v>539083009</v>
      </c>
      <c r="AB270" s="1079">
        <f t="shared" si="293"/>
        <v>0.84231720156250001</v>
      </c>
      <c r="AC270" s="1078">
        <f>+AC271</f>
        <v>323233127</v>
      </c>
      <c r="AD270" s="1068">
        <f t="shared" si="294"/>
        <v>0.50505176093750004</v>
      </c>
      <c r="AE270" s="1066">
        <f>+AE271</f>
        <v>215849882</v>
      </c>
      <c r="AF270" s="1069">
        <f>+AF271</f>
        <v>98072200</v>
      </c>
      <c r="AG270" s="1078">
        <f>+AG271</f>
        <v>83395870.770000011</v>
      </c>
      <c r="AH270" s="1080">
        <f t="shared" si="295"/>
        <v>0.85035178949794143</v>
      </c>
      <c r="AI270" s="1078">
        <f t="shared" ref="AI270:AJ270" si="304">+AI271</f>
        <v>3100000000</v>
      </c>
      <c r="AJ270" s="1078">
        <f t="shared" si="304"/>
        <v>744555209</v>
      </c>
      <c r="AK270" s="1077">
        <f t="shared" si="300"/>
        <v>0.24017909967741935</v>
      </c>
      <c r="AL270" s="1071"/>
      <c r="AM270" s="1071" t="s">
        <v>301</v>
      </c>
      <c r="AN270" s="1069"/>
      <c r="AO270" s="1066"/>
      <c r="AP270" s="1082"/>
      <c r="AQ270" s="1082"/>
    </row>
    <row r="271" spans="1:43" ht="39" customHeight="1">
      <c r="A271" s="331" t="s">
        <v>501</v>
      </c>
      <c r="B271" s="437"/>
      <c r="C271" s="873"/>
      <c r="D271" s="849"/>
      <c r="E271" s="1572"/>
      <c r="F271" s="873"/>
      <c r="G271" s="873"/>
      <c r="H271" s="294">
        <f>+(H272*28%)+(H273*28%)+(H275*11%)+(H276*11%)+(H277*22%)</f>
        <v>1</v>
      </c>
      <c r="I271" s="1573">
        <f>+SUMPRODUCT(I272:I277,X272:X277)</f>
        <v>0.98</v>
      </c>
      <c r="J271" s="1574"/>
      <c r="K271" s="1575"/>
      <c r="L271" s="243"/>
      <c r="M271" s="1576"/>
      <c r="N271" s="1576"/>
      <c r="O271" s="1577"/>
      <c r="P271" s="1577"/>
      <c r="Q271" s="1577"/>
      <c r="R271" s="1578"/>
      <c r="S271" s="1577"/>
      <c r="T271" s="1610"/>
      <c r="U271" s="261"/>
      <c r="V271" s="1580">
        <f>+SUMPRODUCT(V272:V277,W272:W277)</f>
        <v>0.60470695970695976</v>
      </c>
      <c r="W271" s="294">
        <v>1</v>
      </c>
      <c r="X271" s="899">
        <v>1</v>
      </c>
      <c r="Y271" s="1581">
        <f>SUM(Y272:Y277)</f>
        <v>640000000</v>
      </c>
      <c r="Z271" s="1581">
        <f>SUM(Z272:Z277)</f>
        <v>205472200</v>
      </c>
      <c r="AA271" s="1581">
        <f>SUM(AA272:AA277)</f>
        <v>539083009</v>
      </c>
      <c r="AB271" s="1582">
        <f t="shared" si="293"/>
        <v>0.84231720156250001</v>
      </c>
      <c r="AC271" s="1581">
        <f>SUM(AC272:AC277)</f>
        <v>323233127</v>
      </c>
      <c r="AD271" s="1595">
        <f t="shared" si="294"/>
        <v>0.50505176093750004</v>
      </c>
      <c r="AE271" s="1584">
        <f>SUM(AE272:AE277)</f>
        <v>215849882</v>
      </c>
      <c r="AF271" s="1576">
        <f>SUM(AF272:AF277)</f>
        <v>98072200</v>
      </c>
      <c r="AG271" s="1581">
        <f>SUM(AG272:AG277)</f>
        <v>83395870.770000011</v>
      </c>
      <c r="AH271" s="613">
        <f t="shared" si="295"/>
        <v>0.85035178949794143</v>
      </c>
      <c r="AI271" s="1581">
        <f t="shared" ref="AI271:AJ271" si="305">SUM(AI272:AI277)</f>
        <v>3100000000</v>
      </c>
      <c r="AJ271" s="1581">
        <f t="shared" si="305"/>
        <v>744555209</v>
      </c>
      <c r="AK271" s="1586">
        <f t="shared" si="300"/>
        <v>0.24017909967741935</v>
      </c>
      <c r="AL271" s="1587"/>
      <c r="AM271" s="1588"/>
      <c r="AN271" s="1589"/>
      <c r="AO271" s="1584"/>
      <c r="AP271" s="1590"/>
      <c r="AQ271" s="1590"/>
    </row>
    <row r="272" spans="1:43" ht="75" customHeight="1">
      <c r="A272" s="353" t="s">
        <v>685</v>
      </c>
      <c r="B272" s="458" t="s">
        <v>856</v>
      </c>
      <c r="C272" s="1672">
        <v>0.5</v>
      </c>
      <c r="D272" s="410">
        <v>0.7</v>
      </c>
      <c r="E272" s="309">
        <v>0.2</v>
      </c>
      <c r="F272" s="182">
        <v>1</v>
      </c>
      <c r="G272" s="182">
        <v>0.3</v>
      </c>
      <c r="H272" s="180">
        <f t="shared" ref="H272:H276" si="306">IF((E272+G272)/C272&gt;=100%,100%,(E272+G272)/C272)</f>
        <v>1</v>
      </c>
      <c r="I272" s="642">
        <f t="shared" ref="I272:I277" si="307">IF(F272/D272&gt;=100%,100%,F272/D272)</f>
        <v>1</v>
      </c>
      <c r="J272" s="1230" t="s">
        <v>1593</v>
      </c>
      <c r="K272" s="1525"/>
      <c r="L272" s="1220"/>
      <c r="M272" s="1221"/>
      <c r="N272" s="1013"/>
      <c r="O272" s="1526"/>
      <c r="P272" s="1526"/>
      <c r="Q272" s="1526"/>
      <c r="R272" s="1017"/>
      <c r="S272" s="1526"/>
      <c r="T272" s="309">
        <v>2.6</v>
      </c>
      <c r="U272" s="1010">
        <f>SUM(E272:G272)</f>
        <v>1.5</v>
      </c>
      <c r="V272" s="1438">
        <f t="shared" ref="V272:V277" si="308">IF(U272/T272&gt;=100%,100%,U272/T272)</f>
        <v>0.57692307692307687</v>
      </c>
      <c r="W272" s="479">
        <v>0.25</v>
      </c>
      <c r="X272" s="504">
        <v>0.25</v>
      </c>
      <c r="Y272" s="1693">
        <v>190000000</v>
      </c>
      <c r="Z272" s="377">
        <v>69472200</v>
      </c>
      <c r="AA272" s="1693">
        <v>97783935</v>
      </c>
      <c r="AB272" s="1114">
        <f t="shared" si="293"/>
        <v>0.51465228947368424</v>
      </c>
      <c r="AC272" s="1693">
        <v>10517463</v>
      </c>
      <c r="AD272" s="1139">
        <f t="shared" si="294"/>
        <v>5.5355068421052631E-2</v>
      </c>
      <c r="AE272" s="1116">
        <f t="shared" ref="AE272:AE277" si="309">+AA272-AC272</f>
        <v>87266472</v>
      </c>
      <c r="AF272" s="1612">
        <v>69472200</v>
      </c>
      <c r="AG272" s="377">
        <v>63195870.770000003</v>
      </c>
      <c r="AH272" s="1089">
        <f t="shared" si="295"/>
        <v>0.90965696739127311</v>
      </c>
      <c r="AI272" s="1118">
        <f>1500000000/2</f>
        <v>750000000</v>
      </c>
      <c r="AJ272" s="1118">
        <f t="shared" ref="AJ272:AJ277" si="310">+SUM(Z272:AA272)</f>
        <v>167256135</v>
      </c>
      <c r="AK272" s="1139">
        <f t="shared" si="300"/>
        <v>0.22300818</v>
      </c>
      <c r="AL272" s="1140"/>
      <c r="AM272" s="1119"/>
      <c r="AN272" s="152" t="s">
        <v>302</v>
      </c>
      <c r="AO272" s="1694" t="s">
        <v>926</v>
      </c>
      <c r="AP272" s="93"/>
      <c r="AQ272" s="93"/>
    </row>
    <row r="273" spans="1:43" ht="54" customHeight="1">
      <c r="A273" s="353" t="s">
        <v>686</v>
      </c>
      <c r="B273" s="458" t="s">
        <v>857</v>
      </c>
      <c r="C273" s="1672">
        <v>0.1</v>
      </c>
      <c r="D273" s="410">
        <v>0.2</v>
      </c>
      <c r="E273" s="309">
        <v>0</v>
      </c>
      <c r="F273" s="182">
        <v>0.34</v>
      </c>
      <c r="G273" s="182">
        <v>0.1</v>
      </c>
      <c r="H273" s="180">
        <f t="shared" si="306"/>
        <v>1</v>
      </c>
      <c r="I273" s="642">
        <f t="shared" si="307"/>
        <v>1</v>
      </c>
      <c r="J273" s="1230" t="s">
        <v>1594</v>
      </c>
      <c r="K273" s="1525"/>
      <c r="L273" s="1220"/>
      <c r="M273" s="1221"/>
      <c r="N273" s="1013"/>
      <c r="O273" s="1526"/>
      <c r="P273" s="1526"/>
      <c r="Q273" s="1526"/>
      <c r="R273" s="1017"/>
      <c r="S273" s="1526"/>
      <c r="T273" s="309">
        <v>0.7</v>
      </c>
      <c r="U273" s="1010">
        <f t="shared" ref="U273:U277" si="311">SUM(E273:G273)</f>
        <v>0.44000000000000006</v>
      </c>
      <c r="V273" s="1438">
        <f t="shared" si="308"/>
        <v>0.62857142857142867</v>
      </c>
      <c r="W273" s="479">
        <v>0.25</v>
      </c>
      <c r="X273" s="504">
        <v>0.25</v>
      </c>
      <c r="Y273" s="1695">
        <v>190000000</v>
      </c>
      <c r="Z273" s="377">
        <v>24000000</v>
      </c>
      <c r="AA273" s="1693">
        <v>186183935</v>
      </c>
      <c r="AB273" s="1114">
        <f t="shared" si="293"/>
        <v>0.97991544736842107</v>
      </c>
      <c r="AC273" s="1693">
        <v>74917463</v>
      </c>
      <c r="AD273" s="1139">
        <f t="shared" si="294"/>
        <v>0.39430243684210525</v>
      </c>
      <c r="AE273" s="1116">
        <f t="shared" si="309"/>
        <v>111266472</v>
      </c>
      <c r="AF273" s="1612">
        <v>6000000</v>
      </c>
      <c r="AG273" s="377">
        <v>0</v>
      </c>
      <c r="AH273" s="1089">
        <f t="shared" si="295"/>
        <v>0</v>
      </c>
      <c r="AI273" s="1118">
        <f>1500000000/2</f>
        <v>750000000</v>
      </c>
      <c r="AJ273" s="1118">
        <f t="shared" si="310"/>
        <v>210183935</v>
      </c>
      <c r="AK273" s="1139">
        <f t="shared" si="300"/>
        <v>0.28024524666666667</v>
      </c>
      <c r="AL273" s="1140"/>
      <c r="AM273" s="1119"/>
      <c r="AN273" s="152" t="s">
        <v>302</v>
      </c>
      <c r="AO273" s="1613" t="s">
        <v>926</v>
      </c>
      <c r="AP273" s="93"/>
      <c r="AQ273" s="93"/>
    </row>
    <row r="274" spans="1:43" ht="52.5" customHeight="1">
      <c r="A274" s="353" t="s">
        <v>687</v>
      </c>
      <c r="B274" s="458" t="s">
        <v>858</v>
      </c>
      <c r="C274" s="1611">
        <v>0</v>
      </c>
      <c r="D274" s="409">
        <v>1</v>
      </c>
      <c r="E274" s="307">
        <v>0</v>
      </c>
      <c r="F274" s="147">
        <v>1</v>
      </c>
      <c r="G274" s="147"/>
      <c r="H274" s="180" t="e">
        <f t="shared" si="306"/>
        <v>#DIV/0!</v>
      </c>
      <c r="I274" s="642">
        <f t="shared" si="307"/>
        <v>1</v>
      </c>
      <c r="J274" s="1230" t="s">
        <v>1595</v>
      </c>
      <c r="K274" s="1525"/>
      <c r="L274" s="1220"/>
      <c r="M274" s="1221"/>
      <c r="N274" s="1013"/>
      <c r="O274" s="1526"/>
      <c r="P274" s="1526"/>
      <c r="Q274" s="1526"/>
      <c r="R274" s="1017"/>
      <c r="S274" s="1526"/>
      <c r="T274" s="307">
        <v>1</v>
      </c>
      <c r="U274" s="1008">
        <f t="shared" si="311"/>
        <v>1</v>
      </c>
      <c r="V274" s="1438">
        <f t="shared" si="308"/>
        <v>1</v>
      </c>
      <c r="W274" s="479">
        <v>0.1</v>
      </c>
      <c r="X274" s="504">
        <v>0.1</v>
      </c>
      <c r="Y274" s="1693">
        <v>20000000</v>
      </c>
      <c r="Z274" s="377">
        <v>0</v>
      </c>
      <c r="AA274" s="1693">
        <v>17289393</v>
      </c>
      <c r="AB274" s="1114">
        <f t="shared" si="293"/>
        <v>0.86446964999999998</v>
      </c>
      <c r="AC274" s="1693">
        <v>13862275</v>
      </c>
      <c r="AD274" s="1134">
        <f t="shared" si="294"/>
        <v>0.69311374999999997</v>
      </c>
      <c r="AE274" s="1116">
        <f t="shared" si="309"/>
        <v>3427118</v>
      </c>
      <c r="AF274" s="1612">
        <v>0</v>
      </c>
      <c r="AG274" s="377">
        <v>0</v>
      </c>
      <c r="AH274" s="1089" t="e">
        <f t="shared" si="295"/>
        <v>#DIV/0!</v>
      </c>
      <c r="AI274" s="1118">
        <f>600000000/3</f>
        <v>200000000</v>
      </c>
      <c r="AJ274" s="1118">
        <f t="shared" si="310"/>
        <v>17289393</v>
      </c>
      <c r="AK274" s="1139">
        <f t="shared" si="300"/>
        <v>8.6446965000000001E-2</v>
      </c>
      <c r="AL274" s="1140"/>
      <c r="AM274" s="1119"/>
      <c r="AN274" s="152" t="s">
        <v>302</v>
      </c>
      <c r="AO274" s="2292" t="s">
        <v>926</v>
      </c>
      <c r="AP274" s="93"/>
      <c r="AQ274" s="93"/>
    </row>
    <row r="275" spans="1:43" ht="51" customHeight="1">
      <c r="A275" s="353" t="s">
        <v>688</v>
      </c>
      <c r="B275" s="458" t="s">
        <v>859</v>
      </c>
      <c r="C275" s="1611">
        <v>3</v>
      </c>
      <c r="D275" s="409">
        <v>2</v>
      </c>
      <c r="E275" s="307">
        <v>3</v>
      </c>
      <c r="F275" s="147">
        <v>3</v>
      </c>
      <c r="G275" s="147"/>
      <c r="H275" s="180">
        <f t="shared" si="306"/>
        <v>1</v>
      </c>
      <c r="I275" s="642">
        <f t="shared" si="307"/>
        <v>1</v>
      </c>
      <c r="J275" s="1230" t="s">
        <v>1596</v>
      </c>
      <c r="K275" s="1525"/>
      <c r="L275" s="1220"/>
      <c r="M275" s="1221"/>
      <c r="N275" s="1013"/>
      <c r="O275" s="1526"/>
      <c r="P275" s="1526"/>
      <c r="Q275" s="1526"/>
      <c r="R275" s="1017"/>
      <c r="S275" s="1526"/>
      <c r="T275" s="307">
        <v>8</v>
      </c>
      <c r="U275" s="1008">
        <f t="shared" si="311"/>
        <v>6</v>
      </c>
      <c r="V275" s="1438">
        <f t="shared" si="308"/>
        <v>0.75</v>
      </c>
      <c r="W275" s="479">
        <v>0.1</v>
      </c>
      <c r="X275" s="504">
        <v>0.1</v>
      </c>
      <c r="Y275" s="1693">
        <v>20000000</v>
      </c>
      <c r="Z275" s="377">
        <v>10800000</v>
      </c>
      <c r="AA275" s="1693">
        <v>19689393</v>
      </c>
      <c r="AB275" s="1114">
        <f t="shared" si="293"/>
        <v>0.98446964999999997</v>
      </c>
      <c r="AC275" s="1693">
        <v>18662275</v>
      </c>
      <c r="AD275" s="1134">
        <f t="shared" si="294"/>
        <v>0.93311374999999996</v>
      </c>
      <c r="AE275" s="1116">
        <f t="shared" si="309"/>
        <v>1027118</v>
      </c>
      <c r="AF275" s="1612">
        <v>0</v>
      </c>
      <c r="AG275" s="377">
        <v>0</v>
      </c>
      <c r="AH275" s="1089" t="e">
        <f t="shared" si="295"/>
        <v>#DIV/0!</v>
      </c>
      <c r="AI275" s="1118">
        <f t="shared" ref="AI275:AI276" si="312">600000000/3</f>
        <v>200000000</v>
      </c>
      <c r="AJ275" s="1118">
        <f t="shared" si="310"/>
        <v>30489393</v>
      </c>
      <c r="AK275" s="1139">
        <f t="shared" si="300"/>
        <v>0.15244696499999999</v>
      </c>
      <c r="AL275" s="1140"/>
      <c r="AM275" s="1119"/>
      <c r="AN275" s="152" t="s">
        <v>302</v>
      </c>
      <c r="AO275" s="2289"/>
      <c r="AP275" s="93"/>
      <c r="AQ275" s="93"/>
    </row>
    <row r="276" spans="1:43" ht="51" customHeight="1">
      <c r="A276" s="353" t="s">
        <v>689</v>
      </c>
      <c r="B276" s="458" t="s">
        <v>860</v>
      </c>
      <c r="C276" s="1611">
        <v>3</v>
      </c>
      <c r="D276" s="409">
        <v>4</v>
      </c>
      <c r="E276" s="307">
        <v>2</v>
      </c>
      <c r="F276" s="147">
        <v>4</v>
      </c>
      <c r="G276" s="147">
        <v>1</v>
      </c>
      <c r="H276" s="180">
        <f t="shared" si="306"/>
        <v>1</v>
      </c>
      <c r="I276" s="642">
        <f t="shared" si="307"/>
        <v>1</v>
      </c>
      <c r="J276" s="1230" t="s">
        <v>1597</v>
      </c>
      <c r="K276" s="1525"/>
      <c r="L276" s="1220"/>
      <c r="M276" s="1221"/>
      <c r="N276" s="1013"/>
      <c r="O276" s="1526"/>
      <c r="P276" s="1526"/>
      <c r="Q276" s="1526"/>
      <c r="R276" s="1017"/>
      <c r="S276" s="1526"/>
      <c r="T276" s="307">
        <v>21</v>
      </c>
      <c r="U276" s="1008">
        <f t="shared" si="311"/>
        <v>7</v>
      </c>
      <c r="V276" s="1438">
        <f t="shared" si="308"/>
        <v>0.33333333333333331</v>
      </c>
      <c r="W276" s="479">
        <v>0.1</v>
      </c>
      <c r="X276" s="504">
        <v>0.1</v>
      </c>
      <c r="Y276" s="1693">
        <v>20000000</v>
      </c>
      <c r="Z276" s="377">
        <v>22800000</v>
      </c>
      <c r="AA276" s="1693">
        <v>19689393</v>
      </c>
      <c r="AB276" s="1114">
        <f t="shared" si="293"/>
        <v>0.98446964999999997</v>
      </c>
      <c r="AC276" s="1693">
        <v>18662275</v>
      </c>
      <c r="AD276" s="1134">
        <f t="shared" si="294"/>
        <v>0.93311374999999996</v>
      </c>
      <c r="AE276" s="1116">
        <f t="shared" si="309"/>
        <v>1027118</v>
      </c>
      <c r="AF276" s="1612">
        <v>4800000</v>
      </c>
      <c r="AG276" s="377">
        <v>2400000</v>
      </c>
      <c r="AH276" s="1089">
        <f t="shared" si="295"/>
        <v>0.5</v>
      </c>
      <c r="AI276" s="1118">
        <f t="shared" si="312"/>
        <v>200000000</v>
      </c>
      <c r="AJ276" s="1118">
        <f t="shared" si="310"/>
        <v>42489393</v>
      </c>
      <c r="AK276" s="1139">
        <f t="shared" si="300"/>
        <v>0.21244696499999999</v>
      </c>
      <c r="AL276" s="1140"/>
      <c r="AM276" s="1119"/>
      <c r="AN276" s="152" t="s">
        <v>302</v>
      </c>
      <c r="AO276" s="2290"/>
      <c r="AP276" s="93"/>
      <c r="AQ276" s="93"/>
    </row>
    <row r="277" spans="1:43" ht="67.5" customHeight="1" thickBot="1">
      <c r="A277" s="1645" t="s">
        <v>690</v>
      </c>
      <c r="B277" s="1646" t="s">
        <v>861</v>
      </c>
      <c r="C277" s="1647">
        <v>1</v>
      </c>
      <c r="D277" s="853">
        <v>1</v>
      </c>
      <c r="E277" s="1648">
        <v>0.59</v>
      </c>
      <c r="F277" s="208">
        <v>0.9</v>
      </c>
      <c r="G277" s="208">
        <v>0.41</v>
      </c>
      <c r="H277" s="1021">
        <f>IF((E277+G277)/C277&gt;=100%,100%,(E277+G277)/C277)</f>
        <v>1</v>
      </c>
      <c r="I277" s="1030">
        <f t="shared" si="307"/>
        <v>0.9</v>
      </c>
      <c r="J277" s="1230" t="s">
        <v>1598</v>
      </c>
      <c r="K277" s="1525"/>
      <c r="L277" s="1220"/>
      <c r="M277" s="1221"/>
      <c r="N277" s="1219"/>
      <c r="O277" s="1526"/>
      <c r="P277" s="1526"/>
      <c r="Q277" s="1526"/>
      <c r="R277" s="1223"/>
      <c r="S277" s="1526"/>
      <c r="T277" s="1648">
        <v>4</v>
      </c>
      <c r="U277" s="1139">
        <f t="shared" si="311"/>
        <v>1.9</v>
      </c>
      <c r="V277" s="1430">
        <f t="shared" si="308"/>
        <v>0.47499999999999998</v>
      </c>
      <c r="W277" s="1696">
        <v>0.2</v>
      </c>
      <c r="X277" s="902">
        <v>0.2</v>
      </c>
      <c r="Y277" s="1697">
        <v>200000000</v>
      </c>
      <c r="Z277" s="1698">
        <v>78400000</v>
      </c>
      <c r="AA277" s="1699">
        <v>198446960</v>
      </c>
      <c r="AB277" s="1133">
        <f t="shared" si="293"/>
        <v>0.99223479999999997</v>
      </c>
      <c r="AC277" s="1699">
        <v>186611376</v>
      </c>
      <c r="AD277" s="1134">
        <f t="shared" si="294"/>
        <v>0.93305687999999998</v>
      </c>
      <c r="AE277" s="1135">
        <f t="shared" si="309"/>
        <v>11835584</v>
      </c>
      <c r="AF277" s="1700">
        <v>17800000</v>
      </c>
      <c r="AG277" s="1698">
        <v>17800000</v>
      </c>
      <c r="AH277" s="1136">
        <f t="shared" si="295"/>
        <v>1</v>
      </c>
      <c r="AI277" s="1138">
        <v>1000000000</v>
      </c>
      <c r="AJ277" s="1138">
        <f t="shared" si="310"/>
        <v>276846960</v>
      </c>
      <c r="AK277" s="1139">
        <f t="shared" si="300"/>
        <v>0.27684695999999998</v>
      </c>
      <c r="AL277" s="1140"/>
      <c r="AM277" s="1140"/>
      <c r="AN277" s="189" t="s">
        <v>302</v>
      </c>
      <c r="AO277" s="1694" t="s">
        <v>926</v>
      </c>
      <c r="AP277" s="1037"/>
      <c r="AQ277" s="1037"/>
    </row>
    <row r="278" spans="1:43" s="617" customFormat="1" ht="38.25" customHeight="1" thickBot="1">
      <c r="A278" s="1065" t="s">
        <v>445</v>
      </c>
      <c r="B278" s="1066"/>
      <c r="C278" s="862"/>
      <c r="D278" s="835"/>
      <c r="E278" s="1067"/>
      <c r="F278" s="862"/>
      <c r="G278" s="862"/>
      <c r="H278" s="1077">
        <f>+(H279*W279)+(H282*W282)+(H284*W284)</f>
        <v>1</v>
      </c>
      <c r="I278" s="1068">
        <f>+(I279*X279)+(I282*X282)+(I284*X284)</f>
        <v>0.98260000000000003</v>
      </c>
      <c r="J278" s="1082"/>
      <c r="K278" s="1463"/>
      <c r="L278" s="1071"/>
      <c r="M278" s="1069"/>
      <c r="N278" s="1069"/>
      <c r="O278" s="1464"/>
      <c r="P278" s="1464"/>
      <c r="Q278" s="1464"/>
      <c r="R278" s="1072"/>
      <c r="S278" s="1464"/>
      <c r="T278" s="1465"/>
      <c r="U278" s="1075"/>
      <c r="V278" s="1246">
        <f>+(V279*W279)+(V282*W282)+(V284*W284)</f>
        <v>0.49565000000000003</v>
      </c>
      <c r="W278" s="1077">
        <v>0.1</v>
      </c>
      <c r="X278" s="883">
        <v>0.1</v>
      </c>
      <c r="Y278" s="1078">
        <f>+Y279+Y282+Y284</f>
        <v>645000000</v>
      </c>
      <c r="Z278" s="1078">
        <f>+Z279+Z282+Z284</f>
        <v>591605825</v>
      </c>
      <c r="AA278" s="1078">
        <f>+AA279+AA282+AA284</f>
        <v>635300006.66000009</v>
      </c>
      <c r="AB278" s="1079">
        <f t="shared" si="293"/>
        <v>0.98496125063565909</v>
      </c>
      <c r="AC278" s="1078">
        <f>+AC279+AC282+AC284</f>
        <v>609235528</v>
      </c>
      <c r="AD278" s="1068">
        <f t="shared" si="294"/>
        <v>0.94455120620155042</v>
      </c>
      <c r="AE278" s="1066">
        <f>+AE279+AE282+AE284</f>
        <v>26064478.660000026</v>
      </c>
      <c r="AF278" s="1069">
        <f>+AF279+AF282+AF284</f>
        <v>197959754</v>
      </c>
      <c r="AG278" s="1078">
        <f>+AG279+AG282+AG284</f>
        <v>160182330</v>
      </c>
      <c r="AH278" s="1080">
        <f t="shared" si="295"/>
        <v>0.80916613990134578</v>
      </c>
      <c r="AI278" s="1078">
        <f t="shared" ref="AI278:AJ278" si="313">+AI279+AI282+AI284</f>
        <v>3000000000</v>
      </c>
      <c r="AJ278" s="1078">
        <f t="shared" si="313"/>
        <v>1226905831.6600001</v>
      </c>
      <c r="AK278" s="1077">
        <f t="shared" si="300"/>
        <v>0.40896861055333339</v>
      </c>
      <c r="AL278" s="1071"/>
      <c r="AM278" s="1071" t="s">
        <v>301</v>
      </c>
      <c r="AN278" s="1069"/>
      <c r="AO278" s="1066"/>
      <c r="AP278" s="1082"/>
      <c r="AQ278" s="1082"/>
    </row>
    <row r="279" spans="1:43" ht="36" customHeight="1">
      <c r="A279" s="331" t="s">
        <v>502</v>
      </c>
      <c r="B279" s="437"/>
      <c r="C279" s="873"/>
      <c r="D279" s="849"/>
      <c r="E279" s="1572"/>
      <c r="F279" s="873"/>
      <c r="G279" s="873"/>
      <c r="H279" s="294">
        <f>+SUMPRODUCT(H280:H281,W280:W281)</f>
        <v>1</v>
      </c>
      <c r="I279" s="1573">
        <f>+SUMPRODUCT(I280:I281,X280:X281)</f>
        <v>1</v>
      </c>
      <c r="J279" s="1574"/>
      <c r="K279" s="1575"/>
      <c r="L279" s="243"/>
      <c r="M279" s="1576"/>
      <c r="N279" s="1576"/>
      <c r="O279" s="1577"/>
      <c r="P279" s="1577"/>
      <c r="Q279" s="1577"/>
      <c r="R279" s="1578"/>
      <c r="S279" s="1577"/>
      <c r="T279" s="1701"/>
      <c r="U279" s="261"/>
      <c r="V279" s="1580">
        <f>+SUMPRODUCT(V280:V281,W280:W281)</f>
        <v>0.5</v>
      </c>
      <c r="W279" s="294">
        <v>0.4</v>
      </c>
      <c r="X279" s="899">
        <v>0.4</v>
      </c>
      <c r="Y279" s="1581">
        <f>SUM(Y280:Y281)</f>
        <v>280000000</v>
      </c>
      <c r="Z279" s="1581">
        <f>SUM(Z280:Z281)</f>
        <v>296655825</v>
      </c>
      <c r="AA279" s="1581">
        <f>SUM(AA280:AA281)</f>
        <v>276893920</v>
      </c>
      <c r="AB279" s="1582">
        <f t="shared" si="293"/>
        <v>0.98890685714285709</v>
      </c>
      <c r="AC279" s="1581">
        <f>SUM(AC280:AC281)</f>
        <v>266622752</v>
      </c>
      <c r="AD279" s="1595">
        <f t="shared" si="294"/>
        <v>0.9522241142857143</v>
      </c>
      <c r="AE279" s="1584">
        <f>SUM(AE280:AE281)</f>
        <v>10271168</v>
      </c>
      <c r="AF279" s="1576">
        <f>SUM(AF280:AF281)</f>
        <v>103559754</v>
      </c>
      <c r="AG279" s="1581">
        <f>SUM(AG280:AG281)</f>
        <v>95782330</v>
      </c>
      <c r="AH279" s="613">
        <f t="shared" si="295"/>
        <v>0.92489916497870395</v>
      </c>
      <c r="AI279" s="1581">
        <f t="shared" ref="AI279:AJ279" si="314">SUM(AI280:AI281)</f>
        <v>1400000000</v>
      </c>
      <c r="AJ279" s="1581">
        <f t="shared" si="314"/>
        <v>573549745</v>
      </c>
      <c r="AK279" s="1586">
        <f t="shared" si="300"/>
        <v>0.40967838928571426</v>
      </c>
      <c r="AL279" s="1587"/>
      <c r="AM279" s="1588"/>
      <c r="AN279" s="1589"/>
      <c r="AO279" s="1584"/>
      <c r="AP279" s="1590"/>
      <c r="AQ279" s="1590"/>
    </row>
    <row r="280" spans="1:43" ht="55.5" customHeight="1">
      <c r="A280" s="352" t="s">
        <v>691</v>
      </c>
      <c r="B280" s="457" t="s">
        <v>862</v>
      </c>
      <c r="C280" s="1600">
        <v>1</v>
      </c>
      <c r="D280" s="408">
        <v>1</v>
      </c>
      <c r="E280" s="305">
        <v>1</v>
      </c>
      <c r="F280" s="182">
        <v>1</v>
      </c>
      <c r="G280" s="147"/>
      <c r="H280" s="180">
        <f t="shared" ref="H280:H281" si="315">IF((E280+G280)/C280&gt;=100%,100%,(E280+G280)/C280)</f>
        <v>1</v>
      </c>
      <c r="I280" s="642">
        <f t="shared" ref="I280:I281" si="316">IF(F280/D280&gt;=100%,100%,F280/D280)</f>
        <v>1</v>
      </c>
      <c r="J280" s="1037" t="s">
        <v>1599</v>
      </c>
      <c r="K280" s="1507"/>
      <c r="L280" s="206"/>
      <c r="M280" s="207"/>
      <c r="N280" s="146"/>
      <c r="O280" s="195"/>
      <c r="P280" s="195"/>
      <c r="Q280" s="195"/>
      <c r="R280" s="150"/>
      <c r="S280" s="195"/>
      <c r="T280" s="309">
        <v>4</v>
      </c>
      <c r="U280" s="1010">
        <f>SUM(E280:G280)</f>
        <v>2</v>
      </c>
      <c r="V280" s="1438">
        <f t="shared" ref="V280:V281" si="317">IF(U280/T280&gt;=100%,100%,U280/T280)</f>
        <v>0.5</v>
      </c>
      <c r="W280" s="1636">
        <v>0.8</v>
      </c>
      <c r="X280" s="901">
        <v>0.8</v>
      </c>
      <c r="Y280" s="1702">
        <v>140000000</v>
      </c>
      <c r="Z280" s="377">
        <f>199350000+47994825</f>
        <v>247344825</v>
      </c>
      <c r="AA280" s="1702">
        <v>138446960</v>
      </c>
      <c r="AB280" s="1114">
        <f t="shared" si="293"/>
        <v>0.98890685714285709</v>
      </c>
      <c r="AC280" s="1702">
        <v>133311376</v>
      </c>
      <c r="AD280" s="1134">
        <f t="shared" si="294"/>
        <v>0.9522241142857143</v>
      </c>
      <c r="AE280" s="1116">
        <f>+AA280-AC280</f>
        <v>5135584</v>
      </c>
      <c r="AF280" s="1612">
        <f>28998754+58350000</f>
        <v>87348754</v>
      </c>
      <c r="AG280" s="377">
        <f>25221330+54350000</f>
        <v>79571330</v>
      </c>
      <c r="AH280" s="1089">
        <f t="shared" si="295"/>
        <v>0.91096124851420324</v>
      </c>
      <c r="AI280" s="1118">
        <f>1400000000/2</f>
        <v>700000000</v>
      </c>
      <c r="AJ280" s="1118">
        <f t="shared" ref="AJ280:AJ285" si="318">+SUM(Z280:AA280)</f>
        <v>385791785</v>
      </c>
      <c r="AK280" s="1134">
        <f t="shared" si="300"/>
        <v>0.55113112142857146</v>
      </c>
      <c r="AL280" s="1140"/>
      <c r="AM280" s="157"/>
      <c r="AN280" s="152" t="s">
        <v>302</v>
      </c>
      <c r="AO280" s="1599" t="s">
        <v>890</v>
      </c>
      <c r="AP280" s="93"/>
      <c r="AQ280" s="93"/>
    </row>
    <row r="281" spans="1:43" ht="59.25" customHeight="1">
      <c r="A281" s="352" t="s">
        <v>692</v>
      </c>
      <c r="B281" s="457" t="s">
        <v>863</v>
      </c>
      <c r="C281" s="1600">
        <v>0.5</v>
      </c>
      <c r="D281" s="408">
        <v>1</v>
      </c>
      <c r="E281" s="305">
        <v>0.5</v>
      </c>
      <c r="F281" s="182">
        <v>1</v>
      </c>
      <c r="G281" s="147"/>
      <c r="H281" s="180">
        <f t="shared" si="315"/>
        <v>1</v>
      </c>
      <c r="I281" s="642">
        <f t="shared" si="316"/>
        <v>1</v>
      </c>
      <c r="J281" s="1037" t="s">
        <v>1600</v>
      </c>
      <c r="K281" s="1507"/>
      <c r="L281" s="206"/>
      <c r="M281" s="207"/>
      <c r="N281" s="146"/>
      <c r="O281" s="195"/>
      <c r="P281" s="195"/>
      <c r="Q281" s="195"/>
      <c r="R281" s="150"/>
      <c r="S281" s="195"/>
      <c r="T281" s="309">
        <v>3</v>
      </c>
      <c r="U281" s="1010">
        <f>SUM(E281:G281)</f>
        <v>1.5</v>
      </c>
      <c r="V281" s="1438">
        <f t="shared" si="317"/>
        <v>0.5</v>
      </c>
      <c r="W281" s="1636">
        <v>0.2</v>
      </c>
      <c r="X281" s="901">
        <v>0.2</v>
      </c>
      <c r="Y281" s="1702">
        <v>140000000</v>
      </c>
      <c r="Z281" s="377">
        <v>49311000</v>
      </c>
      <c r="AA281" s="1702">
        <v>138446960</v>
      </c>
      <c r="AB281" s="1114">
        <f t="shared" si="293"/>
        <v>0.98890685714285709</v>
      </c>
      <c r="AC281" s="1702">
        <v>133311376</v>
      </c>
      <c r="AD281" s="1134">
        <f t="shared" si="294"/>
        <v>0.9522241142857143</v>
      </c>
      <c r="AE281" s="1116">
        <f>+AA281-AC281</f>
        <v>5135584</v>
      </c>
      <c r="AF281" s="1612">
        <v>16211000</v>
      </c>
      <c r="AG281" s="377">
        <v>16211000</v>
      </c>
      <c r="AH281" s="1089">
        <f t="shared" si="295"/>
        <v>1</v>
      </c>
      <c r="AI281" s="1118">
        <f>1400000000/2</f>
        <v>700000000</v>
      </c>
      <c r="AJ281" s="1118">
        <f t="shared" si="318"/>
        <v>187757960</v>
      </c>
      <c r="AK281" s="1139">
        <f t="shared" si="300"/>
        <v>0.26822565714285712</v>
      </c>
      <c r="AL281" s="1140"/>
      <c r="AM281" s="157"/>
      <c r="AN281" s="152" t="s">
        <v>302</v>
      </c>
      <c r="AO281" s="1599" t="s">
        <v>890</v>
      </c>
      <c r="AP281" s="93"/>
      <c r="AQ281" s="93"/>
    </row>
    <row r="282" spans="1:43" ht="33.75" customHeight="1">
      <c r="A282" s="315" t="s">
        <v>503</v>
      </c>
      <c r="B282" s="138"/>
      <c r="C282" s="139"/>
      <c r="D282" s="223"/>
      <c r="E282" s="212"/>
      <c r="F282" s="139"/>
      <c r="G282" s="139"/>
      <c r="H282" s="140">
        <f>+SUMPRODUCT(H283:H283,W283:W283)</f>
        <v>1</v>
      </c>
      <c r="I282" s="161">
        <f>+SUMPRODUCT(I283:I283,X283:X283)</f>
        <v>0.91300000000000003</v>
      </c>
      <c r="J282" s="1618"/>
      <c r="K282" s="1619"/>
      <c r="L282" s="141"/>
      <c r="M282" s="142"/>
      <c r="N282" s="142"/>
      <c r="O282" s="194"/>
      <c r="P282" s="194"/>
      <c r="Q282" s="194"/>
      <c r="R282" s="163"/>
      <c r="S282" s="194"/>
      <c r="T282" s="240"/>
      <c r="U282" s="261"/>
      <c r="V282" s="177">
        <f>+SUMPRODUCT(V283:V283,W283:W283)</f>
        <v>0.47825000000000006</v>
      </c>
      <c r="W282" s="140">
        <v>0.2</v>
      </c>
      <c r="X282" s="471">
        <v>0.2</v>
      </c>
      <c r="Y282" s="1453">
        <f>SUM(Y283)</f>
        <v>85000000</v>
      </c>
      <c r="Z282" s="1453">
        <f>SUM(Z283)</f>
        <v>79200000</v>
      </c>
      <c r="AA282" s="1453">
        <f>SUM(AA283)</f>
        <v>84068979</v>
      </c>
      <c r="AB282" s="272">
        <f t="shared" si="293"/>
        <v>0.98904681176470588</v>
      </c>
      <c r="AC282" s="1453">
        <f>SUM(AC283)</f>
        <v>80987179</v>
      </c>
      <c r="AD282" s="1454">
        <f t="shared" si="294"/>
        <v>0.95279034117647055</v>
      </c>
      <c r="AE282" s="145">
        <f>SUM(AE283)</f>
        <v>3081800</v>
      </c>
      <c r="AF282" s="142">
        <f>SUM(AF283)</f>
        <v>16100000</v>
      </c>
      <c r="AG282" s="1453">
        <f>SUM(AG283)</f>
        <v>16100000</v>
      </c>
      <c r="AH282" s="613">
        <f t="shared" si="295"/>
        <v>1</v>
      </c>
      <c r="AI282" s="1453">
        <f t="shared" ref="AI282:AJ282" si="319">SUM(AI283)</f>
        <v>400000000</v>
      </c>
      <c r="AJ282" s="1453">
        <f t="shared" si="319"/>
        <v>163268979</v>
      </c>
      <c r="AK282" s="1455">
        <f t="shared" si="300"/>
        <v>0.40817244749999998</v>
      </c>
      <c r="AL282" s="179"/>
      <c r="AM282" s="165"/>
      <c r="AN282" s="553"/>
      <c r="AO282" s="145"/>
      <c r="AP282" s="98"/>
      <c r="AQ282" s="98"/>
    </row>
    <row r="283" spans="1:43" ht="47.25" customHeight="1">
      <c r="A283" s="353" t="s">
        <v>693</v>
      </c>
      <c r="B283" s="458" t="s">
        <v>864</v>
      </c>
      <c r="C283" s="1600">
        <v>1</v>
      </c>
      <c r="D283" s="408">
        <v>1</v>
      </c>
      <c r="E283" s="305">
        <v>0.88</v>
      </c>
      <c r="F283" s="182">
        <v>0.91300000000000003</v>
      </c>
      <c r="G283" s="182">
        <v>0.12</v>
      </c>
      <c r="H283" s="180">
        <f>IF((E283+G283)/C283&gt;=100%,100%,(E283+G283)/C283)</f>
        <v>1</v>
      </c>
      <c r="I283" s="642">
        <f t="shared" ref="I283" si="320">IF(F283/D283&gt;=100%,100%,F283/D283)</f>
        <v>0.91300000000000003</v>
      </c>
      <c r="J283" s="1037" t="s">
        <v>1601</v>
      </c>
      <c r="K283" s="1507"/>
      <c r="L283" s="206"/>
      <c r="M283" s="207"/>
      <c r="N283" s="146"/>
      <c r="O283" s="195"/>
      <c r="P283" s="195"/>
      <c r="Q283" s="195"/>
      <c r="R283" s="150"/>
      <c r="S283" s="195"/>
      <c r="T283" s="309">
        <v>4</v>
      </c>
      <c r="U283" s="1010">
        <f>SUM(E283:G283)</f>
        <v>1.9130000000000003</v>
      </c>
      <c r="V283" s="1438">
        <f t="shared" ref="V283" si="321">IF(U283/T283&gt;=100%,100%,U283/T283)</f>
        <v>0.47825000000000006</v>
      </c>
      <c r="W283" s="410">
        <v>1</v>
      </c>
      <c r="X283" s="505">
        <v>1</v>
      </c>
      <c r="Y283" s="545">
        <v>85000000</v>
      </c>
      <c r="Z283" s="377">
        <v>79200000</v>
      </c>
      <c r="AA283" s="545">
        <v>84068979</v>
      </c>
      <c r="AB283" s="1114">
        <f t="shared" si="293"/>
        <v>0.98904681176470588</v>
      </c>
      <c r="AC283" s="545">
        <v>80987179</v>
      </c>
      <c r="AD283" s="1134">
        <f t="shared" si="294"/>
        <v>0.95279034117647055</v>
      </c>
      <c r="AE283" s="1116">
        <f>+AA283-AC283</f>
        <v>3081800</v>
      </c>
      <c r="AF283" s="1612">
        <v>16100000</v>
      </c>
      <c r="AG283" s="377">
        <v>16100000</v>
      </c>
      <c r="AH283" s="1089">
        <f t="shared" si="295"/>
        <v>1</v>
      </c>
      <c r="AI283" s="1118">
        <v>400000000</v>
      </c>
      <c r="AJ283" s="1118">
        <f t="shared" si="318"/>
        <v>163268979</v>
      </c>
      <c r="AK283" s="1139">
        <f t="shared" si="300"/>
        <v>0.40817244749999998</v>
      </c>
      <c r="AL283" s="1140"/>
      <c r="AM283" s="157"/>
      <c r="AN283" s="152" t="s">
        <v>302</v>
      </c>
      <c r="AO283" s="1694" t="s">
        <v>926</v>
      </c>
      <c r="AP283" s="93"/>
      <c r="AQ283" s="93"/>
    </row>
    <row r="284" spans="1:43" ht="32.25" customHeight="1">
      <c r="A284" s="315" t="s">
        <v>504</v>
      </c>
      <c r="B284" s="138"/>
      <c r="C284" s="139"/>
      <c r="D284" s="223"/>
      <c r="E284" s="212"/>
      <c r="F284" s="139"/>
      <c r="G284" s="139"/>
      <c r="H284" s="140">
        <f>+SUMPRODUCT(H285:H285,W285:W285)</f>
        <v>1</v>
      </c>
      <c r="I284" s="161">
        <f>+SUMPRODUCT(I285:I285,X285:X285)</f>
        <v>1</v>
      </c>
      <c r="J284" s="1618"/>
      <c r="K284" s="1619"/>
      <c r="L284" s="141"/>
      <c r="M284" s="142"/>
      <c r="N284" s="142"/>
      <c r="O284" s="194"/>
      <c r="P284" s="194"/>
      <c r="Q284" s="194"/>
      <c r="R284" s="163"/>
      <c r="S284" s="194"/>
      <c r="T284" s="240"/>
      <c r="U284" s="261"/>
      <c r="V284" s="177">
        <f>+SUMPRODUCT(V285:V285,W285:W285)</f>
        <v>0.5</v>
      </c>
      <c r="W284" s="140">
        <v>0.4</v>
      </c>
      <c r="X284" s="471">
        <v>0.4</v>
      </c>
      <c r="Y284" s="1453">
        <f>SUM(Y285)</f>
        <v>280000000</v>
      </c>
      <c r="Z284" s="1453">
        <f>SUM(Z285)</f>
        <v>215750000</v>
      </c>
      <c r="AA284" s="1453">
        <f>SUM(AA285)</f>
        <v>274337107.66000003</v>
      </c>
      <c r="AB284" s="272">
        <f t="shared" si="293"/>
        <v>0.97977538450000012</v>
      </c>
      <c r="AC284" s="1453">
        <f>SUM(AC285)</f>
        <v>261625597</v>
      </c>
      <c r="AD284" s="1454">
        <f t="shared" si="294"/>
        <v>0.93437713214285711</v>
      </c>
      <c r="AE284" s="145">
        <f>SUM(AE285)</f>
        <v>12711510.660000026</v>
      </c>
      <c r="AF284" s="142">
        <f>SUM(AF285)</f>
        <v>78300000</v>
      </c>
      <c r="AG284" s="1453">
        <f>SUM(AG285)</f>
        <v>48300000</v>
      </c>
      <c r="AH284" s="613">
        <f t="shared" si="295"/>
        <v>0.61685823754789271</v>
      </c>
      <c r="AI284" s="1453">
        <f>SUM(AI285)</f>
        <v>1200000000</v>
      </c>
      <c r="AJ284" s="1453">
        <f>SUM(AJ285)</f>
        <v>490087107.66000003</v>
      </c>
      <c r="AK284" s="1455">
        <f t="shared" si="300"/>
        <v>0.40840592305000001</v>
      </c>
      <c r="AL284" s="179"/>
      <c r="AM284" s="165"/>
      <c r="AN284" s="553"/>
      <c r="AO284" s="145"/>
      <c r="AP284" s="98"/>
      <c r="AQ284" s="98"/>
    </row>
    <row r="285" spans="1:43" ht="74.25" customHeight="1" thickBot="1">
      <c r="A285" s="355" t="s">
        <v>694</v>
      </c>
      <c r="B285" s="310" t="s">
        <v>865</v>
      </c>
      <c r="C285" s="1703">
        <v>1</v>
      </c>
      <c r="D285" s="856">
        <v>1</v>
      </c>
      <c r="E285" s="1704">
        <v>1</v>
      </c>
      <c r="F285" s="208">
        <v>1</v>
      </c>
      <c r="G285" s="860"/>
      <c r="H285" s="1021">
        <f>IF((E285+G285)/C285&gt;=100%,100%,(E285+G285)/C285)</f>
        <v>1</v>
      </c>
      <c r="I285" s="1030">
        <f t="shared" ref="I285" si="322">IF(F285/D285&gt;=100%,100%,F285/D285)</f>
        <v>1</v>
      </c>
      <c r="J285" s="1037" t="s">
        <v>1602</v>
      </c>
      <c r="K285" s="1507"/>
      <c r="L285" s="206"/>
      <c r="M285" s="207"/>
      <c r="N285" s="1023"/>
      <c r="O285" s="195"/>
      <c r="P285" s="195"/>
      <c r="Q285" s="195"/>
      <c r="R285" s="1024"/>
      <c r="S285" s="195"/>
      <c r="T285" s="1648">
        <v>4</v>
      </c>
      <c r="U285" s="1139">
        <f>SUM(E285:G285)</f>
        <v>2</v>
      </c>
      <c r="V285" s="1430">
        <f t="shared" ref="V285" si="323">IF(U285/T285&gt;=100%,100%,U285/T285)</f>
        <v>0.5</v>
      </c>
      <c r="W285" s="853">
        <v>1</v>
      </c>
      <c r="X285" s="903">
        <v>1</v>
      </c>
      <c r="Y285" s="1604">
        <v>280000000</v>
      </c>
      <c r="Z285" s="1605">
        <v>215750000</v>
      </c>
      <c r="AA285" s="1604">
        <v>274337107.66000003</v>
      </c>
      <c r="AB285" s="1133">
        <f t="shared" si="293"/>
        <v>0.97977538450000012</v>
      </c>
      <c r="AC285" s="1604">
        <v>261625597</v>
      </c>
      <c r="AD285" s="1134">
        <f t="shared" si="294"/>
        <v>0.93437713214285711</v>
      </c>
      <c r="AE285" s="1135">
        <f>+AA285-AC285</f>
        <v>12711510.660000026</v>
      </c>
      <c r="AF285" s="1606">
        <v>78300000</v>
      </c>
      <c r="AG285" s="1605">
        <v>48300000</v>
      </c>
      <c r="AH285" s="1136">
        <f t="shared" si="295"/>
        <v>0.61685823754789271</v>
      </c>
      <c r="AI285" s="1138">
        <v>1200000000</v>
      </c>
      <c r="AJ285" s="1138">
        <f t="shared" si="318"/>
        <v>490087107.66000003</v>
      </c>
      <c r="AK285" s="1139">
        <f t="shared" si="300"/>
        <v>0.40840592305000001</v>
      </c>
      <c r="AL285" s="173"/>
      <c r="AM285" s="173"/>
      <c r="AN285" s="189" t="s">
        <v>302</v>
      </c>
      <c r="AO285" s="1607" t="s">
        <v>890</v>
      </c>
      <c r="AP285" s="1037"/>
      <c r="AQ285" s="1037"/>
    </row>
    <row r="286" spans="1:43" s="617" customFormat="1" ht="57.75" customHeight="1" thickBot="1">
      <c r="A286" s="1065" t="s">
        <v>446</v>
      </c>
      <c r="B286" s="1066"/>
      <c r="C286" s="862"/>
      <c r="D286" s="835"/>
      <c r="E286" s="1067"/>
      <c r="F286" s="862"/>
      <c r="G286" s="862"/>
      <c r="H286" s="1077">
        <f>+(H287*0%)+(H289*100%)</f>
        <v>1</v>
      </c>
      <c r="I286" s="1068">
        <f>+(I287*X287)+(I289*X289)</f>
        <v>0.95</v>
      </c>
      <c r="J286" s="1082"/>
      <c r="K286" s="1463"/>
      <c r="L286" s="1071"/>
      <c r="M286" s="1069"/>
      <c r="N286" s="1069"/>
      <c r="O286" s="1464"/>
      <c r="P286" s="1464"/>
      <c r="Q286" s="1464"/>
      <c r="R286" s="1072"/>
      <c r="S286" s="1464"/>
      <c r="T286" s="1465"/>
      <c r="U286" s="1075"/>
      <c r="V286" s="1246">
        <f>+(V287*W287)+(V289*W289)</f>
        <v>0.57000000000000006</v>
      </c>
      <c r="W286" s="1077">
        <v>0.1</v>
      </c>
      <c r="X286" s="883">
        <v>0.1</v>
      </c>
      <c r="Y286" s="1078">
        <f>+Y287+Y289</f>
        <v>1140000000</v>
      </c>
      <c r="Z286" s="1078">
        <f>+Z287+Z289</f>
        <v>516510025</v>
      </c>
      <c r="AA286" s="1078">
        <f>+AA287+AA289</f>
        <v>767376643.79999995</v>
      </c>
      <c r="AB286" s="1079">
        <f t="shared" si="293"/>
        <v>0.67313740684210521</v>
      </c>
      <c r="AC286" s="1078">
        <f>+AC287+AC289</f>
        <v>342271445</v>
      </c>
      <c r="AD286" s="1077">
        <f t="shared" si="294"/>
        <v>0.30023810964912279</v>
      </c>
      <c r="AE286" s="1066">
        <f>+AE287+AE289</f>
        <v>425105198.79999995</v>
      </c>
      <c r="AF286" s="1069">
        <f>+AF287+AF289</f>
        <v>54314523</v>
      </c>
      <c r="AG286" s="1078">
        <f>+AG287+AG289</f>
        <v>51321583</v>
      </c>
      <c r="AH286" s="1080">
        <f t="shared" si="295"/>
        <v>0.94489613763155023</v>
      </c>
      <c r="AI286" s="1078">
        <f>+AI287+AI289</f>
        <v>9285000000</v>
      </c>
      <c r="AJ286" s="1078">
        <f>+AJ287+AJ289</f>
        <v>1283886668.8</v>
      </c>
      <c r="AK286" s="1306">
        <f t="shared" si="300"/>
        <v>0.1382753547442111</v>
      </c>
      <c r="AL286" s="1071"/>
      <c r="AM286" s="1071" t="s">
        <v>301</v>
      </c>
      <c r="AN286" s="1069"/>
      <c r="AO286" s="1066"/>
      <c r="AP286" s="1082"/>
      <c r="AQ286" s="1082"/>
    </row>
    <row r="287" spans="1:43" ht="51.75" customHeight="1">
      <c r="A287" s="331" t="s">
        <v>505</v>
      </c>
      <c r="B287" s="437"/>
      <c r="C287" s="873"/>
      <c r="D287" s="849"/>
      <c r="E287" s="1572"/>
      <c r="F287" s="873"/>
      <c r="G287" s="873"/>
      <c r="H287" s="294">
        <v>0</v>
      </c>
      <c r="I287" s="1573">
        <f>+SUMPRODUCT(I288:I288,X288:X288)</f>
        <v>0</v>
      </c>
      <c r="J287" s="1574"/>
      <c r="K287" s="1575"/>
      <c r="L287" s="243"/>
      <c r="M287" s="1576"/>
      <c r="N287" s="1576"/>
      <c r="O287" s="1577"/>
      <c r="P287" s="1577"/>
      <c r="Q287" s="1577"/>
      <c r="R287" s="1578"/>
      <c r="S287" s="1577"/>
      <c r="T287" s="1579"/>
      <c r="U287" s="261"/>
      <c r="V287" s="1580">
        <f>+SUMPRODUCT(V288:V288,W288:W288)</f>
        <v>0</v>
      </c>
      <c r="W287" s="294">
        <v>0.05</v>
      </c>
      <c r="X287" s="899">
        <v>0.05</v>
      </c>
      <c r="Y287" s="1581">
        <f>SUM(Y288)</f>
        <v>90000000</v>
      </c>
      <c r="Z287" s="1581">
        <f>SUM(Z288)</f>
        <v>0</v>
      </c>
      <c r="AA287" s="1581">
        <f>SUM(AA288)</f>
        <v>13303871</v>
      </c>
      <c r="AB287" s="1582">
        <f t="shared" si="293"/>
        <v>0.14782078888888889</v>
      </c>
      <c r="AC287" s="1581">
        <f>SUM(AC288)</f>
        <v>3262173</v>
      </c>
      <c r="AD287" s="1586">
        <f t="shared" si="294"/>
        <v>3.6246366666666668E-2</v>
      </c>
      <c r="AE287" s="1584">
        <f>SUM(AE288)</f>
        <v>10041698</v>
      </c>
      <c r="AF287" s="1576">
        <f>SUM(AF288)</f>
        <v>0</v>
      </c>
      <c r="AG287" s="1581">
        <f>SUM(AG288)</f>
        <v>0</v>
      </c>
      <c r="AH287" s="613" t="e">
        <f t="shared" si="295"/>
        <v>#DIV/0!</v>
      </c>
      <c r="AI287" s="1581">
        <f>SUM(AI288)</f>
        <v>240000000</v>
      </c>
      <c r="AJ287" s="1581">
        <f>SUM(AJ288)</f>
        <v>13303871</v>
      </c>
      <c r="AK287" s="1586">
        <f t="shared" si="300"/>
        <v>5.5432795833333333E-2</v>
      </c>
      <c r="AL287" s="1587"/>
      <c r="AM287" s="1588"/>
      <c r="AN287" s="1589"/>
      <c r="AO287" s="1584"/>
      <c r="AP287" s="1590"/>
      <c r="AQ287" s="1590"/>
    </row>
    <row r="288" spans="1:43" ht="66" customHeight="1">
      <c r="A288" s="353" t="s">
        <v>695</v>
      </c>
      <c r="B288" s="458" t="s">
        <v>866</v>
      </c>
      <c r="C288" s="1630">
        <v>0</v>
      </c>
      <c r="D288" s="220">
        <v>1</v>
      </c>
      <c r="E288" s="213">
        <v>0</v>
      </c>
      <c r="F288" s="147">
        <v>0</v>
      </c>
      <c r="G288" s="147"/>
      <c r="H288" s="180" t="e">
        <f>IF((E288+G288)/C288&gt;=100%,100%,(E288+G288)/C288)</f>
        <v>#DIV/0!</v>
      </c>
      <c r="I288" s="642">
        <f t="shared" ref="I288" si="324">IF(F288/D288&gt;=100%,100%,F288/D288)</f>
        <v>0</v>
      </c>
      <c r="J288" s="1037" t="s">
        <v>1603</v>
      </c>
      <c r="K288" s="1507"/>
      <c r="L288" s="206"/>
      <c r="M288" s="207"/>
      <c r="N288" s="146"/>
      <c r="O288" s="195"/>
      <c r="P288" s="195"/>
      <c r="Q288" s="195"/>
      <c r="R288" s="150"/>
      <c r="S288" s="195"/>
      <c r="T288" s="241">
        <v>2</v>
      </c>
      <c r="U288" s="242">
        <f>SUM(E288:G288)</f>
        <v>0</v>
      </c>
      <c r="V288" s="186">
        <f t="shared" ref="V288" si="325">IF(U288/T288&gt;=100%,100%,U288/T288)</f>
        <v>0</v>
      </c>
      <c r="W288" s="410">
        <v>1</v>
      </c>
      <c r="X288" s="505">
        <v>1</v>
      </c>
      <c r="Y288" s="545">
        <v>90000000</v>
      </c>
      <c r="Z288" s="377">
        <v>0</v>
      </c>
      <c r="AA288" s="545">
        <v>13303871</v>
      </c>
      <c r="AB288" s="1114">
        <f t="shared" si="293"/>
        <v>0.14782078888888889</v>
      </c>
      <c r="AC288" s="545">
        <v>3262173</v>
      </c>
      <c r="AD288" s="1139">
        <f t="shared" si="294"/>
        <v>3.6246366666666668E-2</v>
      </c>
      <c r="AE288" s="1116">
        <f>+AA288-AC288</f>
        <v>10041698</v>
      </c>
      <c r="AF288" s="1612">
        <v>0</v>
      </c>
      <c r="AG288" s="377">
        <v>0</v>
      </c>
      <c r="AH288" s="1089" t="e">
        <f t="shared" si="295"/>
        <v>#DIV/0!</v>
      </c>
      <c r="AI288" s="1118">
        <v>240000000</v>
      </c>
      <c r="AJ288" s="1118">
        <f t="shared" ref="AJ288:AJ292" si="326">+SUM(Z288:AA288)</f>
        <v>13303871</v>
      </c>
      <c r="AK288" s="1139">
        <f t="shared" si="300"/>
        <v>5.5432795833333333E-2</v>
      </c>
      <c r="AL288" s="1140"/>
      <c r="AM288" s="157"/>
      <c r="AN288" s="152" t="s">
        <v>302</v>
      </c>
      <c r="AO288" s="1613" t="s">
        <v>914</v>
      </c>
      <c r="AP288" s="93"/>
      <c r="AQ288" s="93"/>
    </row>
    <row r="289" spans="1:43" ht="51.75" customHeight="1">
      <c r="A289" s="315" t="s">
        <v>506</v>
      </c>
      <c r="B289" s="138"/>
      <c r="C289" s="139"/>
      <c r="D289" s="223"/>
      <c r="E289" s="212"/>
      <c r="F289" s="139"/>
      <c r="G289" s="139"/>
      <c r="H289" s="140">
        <f>+(H290*50%)+(H291*50%)</f>
        <v>1</v>
      </c>
      <c r="I289" s="161">
        <f>+SUMPRODUCT(I290:I292,X290:X292)</f>
        <v>1</v>
      </c>
      <c r="J289" s="1618"/>
      <c r="K289" s="1619"/>
      <c r="L289" s="141"/>
      <c r="M289" s="142"/>
      <c r="N289" s="142"/>
      <c r="O289" s="194"/>
      <c r="P289" s="194"/>
      <c r="Q289" s="194"/>
      <c r="R289" s="163"/>
      <c r="S289" s="194"/>
      <c r="T289" s="240"/>
      <c r="U289" s="261"/>
      <c r="V289" s="177">
        <f>+SUMPRODUCT(V290:V292,W290:W292)</f>
        <v>0.60000000000000009</v>
      </c>
      <c r="W289" s="140">
        <v>0.95</v>
      </c>
      <c r="X289" s="471">
        <v>0.95</v>
      </c>
      <c r="Y289" s="1453">
        <f>SUM(Y290:Y292)</f>
        <v>1050000000</v>
      </c>
      <c r="Z289" s="1453">
        <f>SUM(Z290:Z292)</f>
        <v>516510025</v>
      </c>
      <c r="AA289" s="1453">
        <f>SUM(AA290:AA292)</f>
        <v>754072772.79999995</v>
      </c>
      <c r="AB289" s="272">
        <f t="shared" si="293"/>
        <v>0.71816454552380948</v>
      </c>
      <c r="AC289" s="1453">
        <f>SUM(AC290:AC292)</f>
        <v>339009272</v>
      </c>
      <c r="AD289" s="1455">
        <f t="shared" si="294"/>
        <v>0.32286597333333333</v>
      </c>
      <c r="AE289" s="145">
        <f>SUM(AE290:AE292)</f>
        <v>415063500.79999995</v>
      </c>
      <c r="AF289" s="553">
        <f>SUM(AF290:AF292)</f>
        <v>54314523</v>
      </c>
      <c r="AG289" s="144">
        <f>SUM(AG290:AG292)</f>
        <v>51321583</v>
      </c>
      <c r="AH289" s="613">
        <f t="shared" si="295"/>
        <v>0.94489613763155023</v>
      </c>
      <c r="AI289" s="1453">
        <f t="shared" ref="AI289:AJ289" si="327">SUM(AI290:AI292)</f>
        <v>9045000000</v>
      </c>
      <c r="AJ289" s="1453">
        <f t="shared" si="327"/>
        <v>1270582797.8</v>
      </c>
      <c r="AK289" s="1455">
        <f t="shared" si="300"/>
        <v>0.14047349892758429</v>
      </c>
      <c r="AL289" s="179"/>
      <c r="AM289" s="165"/>
      <c r="AN289" s="553"/>
      <c r="AO289" s="145"/>
      <c r="AP289" s="98"/>
      <c r="AQ289" s="98"/>
    </row>
    <row r="290" spans="1:43" ht="54.75" customHeight="1">
      <c r="A290" s="354" t="s">
        <v>696</v>
      </c>
      <c r="B290" s="459" t="s">
        <v>883</v>
      </c>
      <c r="C290" s="1677">
        <v>1</v>
      </c>
      <c r="D290" s="411">
        <v>1</v>
      </c>
      <c r="E290" s="311">
        <v>0.78</v>
      </c>
      <c r="F290" s="872">
        <v>1</v>
      </c>
      <c r="G290" s="182">
        <v>0.22</v>
      </c>
      <c r="H290" s="180">
        <f t="shared" ref="H290:H292" si="328">IF((E290+G290)/C290&gt;=100%,100%,(E290+G290)/C290)</f>
        <v>1</v>
      </c>
      <c r="I290" s="642">
        <f t="shared" ref="I290:I292" si="329">IF(F290/D290&gt;=100%,100%,F290/D290)</f>
        <v>1</v>
      </c>
      <c r="J290" s="1210" t="s">
        <v>1604</v>
      </c>
      <c r="K290" s="1525"/>
      <c r="L290" s="1220"/>
      <c r="M290" s="1221"/>
      <c r="N290" s="1013"/>
      <c r="O290" s="1526"/>
      <c r="P290" s="1526"/>
      <c r="Q290" s="1526"/>
      <c r="R290" s="1017"/>
      <c r="S290" s="1526"/>
      <c r="T290" s="311">
        <v>4</v>
      </c>
      <c r="U290" s="1010">
        <f>SUM(E290:G290)</f>
        <v>2</v>
      </c>
      <c r="V290" s="1438">
        <f t="shared" ref="V290:V292" si="330">IF(U290/T290&gt;=100%,100%,U290/T290)</f>
        <v>0.5</v>
      </c>
      <c r="W290" s="1705">
        <v>0.4</v>
      </c>
      <c r="X290" s="506">
        <v>0.4</v>
      </c>
      <c r="Y290" s="546">
        <v>200000000</v>
      </c>
      <c r="Z290" s="378">
        <f>51250000+465260025</f>
        <v>516510025</v>
      </c>
      <c r="AA290" s="546">
        <v>163961645</v>
      </c>
      <c r="AB290" s="1114">
        <f t="shared" si="293"/>
        <v>0.81980822499999995</v>
      </c>
      <c r="AC290" s="546">
        <v>132837706</v>
      </c>
      <c r="AD290" s="1134">
        <f t="shared" si="294"/>
        <v>0.66418853</v>
      </c>
      <c r="AE290" s="1116">
        <f>+AA290-AC290</f>
        <v>31123939</v>
      </c>
      <c r="AF290" s="1632">
        <f>38664523+15650000</f>
        <v>54314523</v>
      </c>
      <c r="AG290" s="378">
        <f>35671583+15650000</f>
        <v>51321583</v>
      </c>
      <c r="AH290" s="1089">
        <f t="shared" si="295"/>
        <v>0.94489613763155023</v>
      </c>
      <c r="AI290" s="1118">
        <v>845000000</v>
      </c>
      <c r="AJ290" s="1118">
        <f t="shared" si="326"/>
        <v>680471670</v>
      </c>
      <c r="AK290" s="1134">
        <f t="shared" si="300"/>
        <v>0.80529191715976334</v>
      </c>
      <c r="AL290" s="1140"/>
      <c r="AM290" s="157"/>
      <c r="AN290" s="152" t="s">
        <v>302</v>
      </c>
      <c r="AO290" s="1678" t="s">
        <v>890</v>
      </c>
      <c r="AP290" s="93"/>
      <c r="AQ290" s="93"/>
    </row>
    <row r="291" spans="1:43" ht="65.25" customHeight="1">
      <c r="A291" s="354" t="s">
        <v>697</v>
      </c>
      <c r="B291" s="459" t="s">
        <v>884</v>
      </c>
      <c r="C291" s="1677">
        <v>1</v>
      </c>
      <c r="D291" s="411">
        <v>1</v>
      </c>
      <c r="E291" s="311">
        <v>0.93</v>
      </c>
      <c r="F291" s="182">
        <v>1</v>
      </c>
      <c r="G291" s="182">
        <v>7.0000000000000007E-2</v>
      </c>
      <c r="H291" s="180">
        <f t="shared" si="328"/>
        <v>1</v>
      </c>
      <c r="I291" s="642">
        <f t="shared" si="329"/>
        <v>1</v>
      </c>
      <c r="J291" s="1230" t="s">
        <v>1605</v>
      </c>
      <c r="K291" s="1525"/>
      <c r="L291" s="1220"/>
      <c r="M291" s="1221"/>
      <c r="N291" s="1013"/>
      <c r="O291" s="1526"/>
      <c r="P291" s="1526"/>
      <c r="Q291" s="1526"/>
      <c r="R291" s="1017"/>
      <c r="S291" s="1526"/>
      <c r="T291" s="311">
        <v>4</v>
      </c>
      <c r="U291" s="1010">
        <f>SUM(E291:G291)</f>
        <v>2</v>
      </c>
      <c r="V291" s="1438">
        <f t="shared" si="330"/>
        <v>0.5</v>
      </c>
      <c r="W291" s="1705">
        <v>0.4</v>
      </c>
      <c r="X291" s="506">
        <v>0.4</v>
      </c>
      <c r="Y291" s="546">
        <v>850000000</v>
      </c>
      <c r="Z291" s="378">
        <v>0</v>
      </c>
      <c r="AA291" s="546">
        <v>590111127.79999995</v>
      </c>
      <c r="AB291" s="1114">
        <f t="shared" si="293"/>
        <v>0.69424838564705882</v>
      </c>
      <c r="AC291" s="546">
        <v>206171566</v>
      </c>
      <c r="AD291" s="1139">
        <f t="shared" si="294"/>
        <v>0.24255478352941176</v>
      </c>
      <c r="AE291" s="1116">
        <f>+AA291-AC291</f>
        <v>383939561.79999995</v>
      </c>
      <c r="AF291" s="1632">
        <v>0</v>
      </c>
      <c r="AG291" s="378">
        <v>0</v>
      </c>
      <c r="AH291" s="1089" t="e">
        <f t="shared" si="295"/>
        <v>#DIV/0!</v>
      </c>
      <c r="AI291" s="1118">
        <v>7500000000</v>
      </c>
      <c r="AJ291" s="1118">
        <f t="shared" si="326"/>
        <v>590111127.79999995</v>
      </c>
      <c r="AK291" s="1139">
        <f t="shared" si="300"/>
        <v>7.8681483706666666E-2</v>
      </c>
      <c r="AL291" s="1140"/>
      <c r="AM291" s="157"/>
      <c r="AN291" s="152" t="s">
        <v>302</v>
      </c>
      <c r="AO291" s="1678" t="s">
        <v>890</v>
      </c>
      <c r="AP291" s="93"/>
      <c r="AQ291" s="93"/>
    </row>
    <row r="292" spans="1:43" ht="67.5" customHeight="1" thickBot="1">
      <c r="A292" s="1620" t="s">
        <v>698</v>
      </c>
      <c r="B292" s="1621" t="s">
        <v>867</v>
      </c>
      <c r="C292" s="1706">
        <v>0</v>
      </c>
      <c r="D292" s="857">
        <v>4</v>
      </c>
      <c r="E292" s="1707">
        <v>0</v>
      </c>
      <c r="F292" s="860">
        <v>4</v>
      </c>
      <c r="G292" s="860"/>
      <c r="H292" s="1021" t="e">
        <f t="shared" si="328"/>
        <v>#DIV/0!</v>
      </c>
      <c r="I292" s="1030">
        <f t="shared" si="329"/>
        <v>1</v>
      </c>
      <c r="J292" s="1230" t="s">
        <v>1606</v>
      </c>
      <c r="K292" s="1525"/>
      <c r="L292" s="1220"/>
      <c r="M292" s="1221"/>
      <c r="N292" s="1219"/>
      <c r="O292" s="1526"/>
      <c r="P292" s="1526"/>
      <c r="Q292" s="1526"/>
      <c r="R292" s="1223"/>
      <c r="S292" s="1526"/>
      <c r="T292" s="1707">
        <v>4</v>
      </c>
      <c r="U292" s="1130">
        <f>SUM(E292:G292)</f>
        <v>4</v>
      </c>
      <c r="V292" s="1430">
        <f t="shared" si="330"/>
        <v>1</v>
      </c>
      <c r="W292" s="1708">
        <v>0.2</v>
      </c>
      <c r="X292" s="904">
        <v>0.2</v>
      </c>
      <c r="Y292" s="1626">
        <v>0</v>
      </c>
      <c r="Z292" s="1627">
        <v>0</v>
      </c>
      <c r="AA292" s="1626"/>
      <c r="AB292" s="1133" t="e">
        <f t="shared" si="293"/>
        <v>#DIV/0!</v>
      </c>
      <c r="AC292" s="1709"/>
      <c r="AD292" s="1130" t="e">
        <f t="shared" si="294"/>
        <v>#DIV/0!</v>
      </c>
      <c r="AE292" s="1135"/>
      <c r="AF292" s="1628">
        <v>0</v>
      </c>
      <c r="AG292" s="1627">
        <v>0</v>
      </c>
      <c r="AH292" s="1136" t="e">
        <f t="shared" si="295"/>
        <v>#DIV/0!</v>
      </c>
      <c r="AI292" s="1138">
        <v>700000000</v>
      </c>
      <c r="AJ292" s="1138">
        <f t="shared" si="326"/>
        <v>0</v>
      </c>
      <c r="AK292" s="1139">
        <f t="shared" si="300"/>
        <v>0</v>
      </c>
      <c r="AL292" s="1140"/>
      <c r="AM292" s="1710"/>
      <c r="AN292" s="189" t="s">
        <v>302</v>
      </c>
      <c r="AO292" s="1711" t="s">
        <v>890</v>
      </c>
      <c r="AP292" s="1037"/>
      <c r="AQ292" s="1037"/>
    </row>
    <row r="293" spans="1:43" s="617" customFormat="1" ht="39.75" customHeight="1" thickBot="1">
      <c r="A293" s="1065" t="s">
        <v>1607</v>
      </c>
      <c r="B293" s="1066"/>
      <c r="C293" s="862"/>
      <c r="D293" s="835"/>
      <c r="E293" s="1067"/>
      <c r="F293" s="862"/>
      <c r="G293" s="862"/>
      <c r="H293" s="1077">
        <f>+H294*W294</f>
        <v>1</v>
      </c>
      <c r="I293" s="1077">
        <f>+I294*X294</f>
        <v>0.69069916563960898</v>
      </c>
      <c r="J293" s="1082"/>
      <c r="K293" s="1463"/>
      <c r="L293" s="1071"/>
      <c r="M293" s="1069"/>
      <c r="N293" s="1069"/>
      <c r="O293" s="1464"/>
      <c r="P293" s="1464"/>
      <c r="Q293" s="1464"/>
      <c r="R293" s="1072"/>
      <c r="S293" s="1464"/>
      <c r="T293" s="1465"/>
      <c r="U293" s="1075"/>
      <c r="V293" s="1077">
        <f>+V294*W294</f>
        <v>0.28816214507012328</v>
      </c>
      <c r="W293" s="1077">
        <v>0.01</v>
      </c>
      <c r="X293" s="883">
        <v>0.01</v>
      </c>
      <c r="Y293" s="1078">
        <f>+Y294</f>
        <v>6628530984</v>
      </c>
      <c r="Z293" s="1078">
        <f>+Z294</f>
        <v>6107311808</v>
      </c>
      <c r="AA293" s="1078">
        <f>+AA294</f>
        <v>6515110547</v>
      </c>
      <c r="AB293" s="1079">
        <f>+AA293/Y293</f>
        <v>0.98288905380788361</v>
      </c>
      <c r="AC293" s="1078">
        <f>+AC294</f>
        <v>6500860547</v>
      </c>
      <c r="AD293" s="1068">
        <f t="shared" si="294"/>
        <v>0.98073925620802382</v>
      </c>
      <c r="AE293" s="1066">
        <f>+AA293-AC293</f>
        <v>14250000</v>
      </c>
      <c r="AF293" s="1069">
        <f>+AF294</f>
        <v>101991641</v>
      </c>
      <c r="AG293" s="1078">
        <f>+AG294</f>
        <v>2218394</v>
      </c>
      <c r="AH293" s="1080">
        <f t="shared" si="295"/>
        <v>2.1750743279049703E-2</v>
      </c>
      <c r="AI293" s="1078">
        <f>+AI294</f>
        <v>47060000000</v>
      </c>
      <c r="AJ293" s="1078">
        <f>+SUM(Z293:AA293)</f>
        <v>12622422355</v>
      </c>
      <c r="AK293" s="1077">
        <f t="shared" si="300"/>
        <v>0.26821976954951127</v>
      </c>
      <c r="AL293" s="1071"/>
      <c r="AM293" s="1071"/>
      <c r="AN293" s="1069"/>
      <c r="AO293" s="1066"/>
      <c r="AP293" s="1082"/>
      <c r="AQ293" s="1082"/>
    </row>
    <row r="294" spans="1:43" ht="41.25" customHeight="1">
      <c r="A294" s="331" t="s">
        <v>1608</v>
      </c>
      <c r="B294" s="437"/>
      <c r="C294" s="873"/>
      <c r="D294" s="849"/>
      <c r="E294" s="1712"/>
      <c r="F294" s="1572"/>
      <c r="G294" s="873"/>
      <c r="H294" s="294">
        <f>+H295*W294</f>
        <v>1</v>
      </c>
      <c r="I294" s="294">
        <f>+I295*X294</f>
        <v>0.69069916563960898</v>
      </c>
      <c r="J294" s="1574"/>
      <c r="K294" s="1575"/>
      <c r="L294" s="243"/>
      <c r="M294" s="1576"/>
      <c r="N294" s="1576"/>
      <c r="O294" s="1577"/>
      <c r="P294" s="1577"/>
      <c r="Q294" s="1577"/>
      <c r="R294" s="1578"/>
      <c r="S294" s="1577"/>
      <c r="T294" s="1579"/>
      <c r="U294" s="261"/>
      <c r="V294" s="294">
        <f>+V295*W295</f>
        <v>0.28816214507012328</v>
      </c>
      <c r="W294" s="294">
        <v>1</v>
      </c>
      <c r="X294" s="899">
        <v>1</v>
      </c>
      <c r="Y294" s="1581">
        <v>6628530984</v>
      </c>
      <c r="Z294" s="1581">
        <v>6107311808</v>
      </c>
      <c r="AA294" s="1581">
        <v>6515110547</v>
      </c>
      <c r="AB294" s="1582">
        <f t="shared" ref="AB294:AB295" si="331">+AA294/Y294</f>
        <v>0.98288905380788361</v>
      </c>
      <c r="AC294" s="1581">
        <v>6500860547</v>
      </c>
      <c r="AD294" s="1573">
        <f t="shared" si="294"/>
        <v>0.98073925620802382</v>
      </c>
      <c r="AE294" s="1584">
        <f>+AA294-AC294</f>
        <v>14250000</v>
      </c>
      <c r="AF294" s="1589">
        <f>+AF295</f>
        <v>101991641</v>
      </c>
      <c r="AG294" s="1585">
        <f>+AG295</f>
        <v>2218394</v>
      </c>
      <c r="AH294" s="613">
        <f t="shared" si="295"/>
        <v>2.1750743279049703E-2</v>
      </c>
      <c r="AI294" s="1581">
        <f>+AI295</f>
        <v>47060000000</v>
      </c>
      <c r="AJ294" s="1581">
        <f>+SUM(Z294:AA294)</f>
        <v>12622422355</v>
      </c>
      <c r="AK294" s="294">
        <f t="shared" si="300"/>
        <v>0.26821976954951127</v>
      </c>
      <c r="AL294" s="1587"/>
      <c r="AM294" s="1588"/>
      <c r="AN294" s="1589"/>
      <c r="AO294" s="1584"/>
      <c r="AP294" s="1590"/>
      <c r="AQ294" s="1590"/>
    </row>
    <row r="295" spans="1:43" s="1520" customFormat="1" ht="51.75" customHeight="1" thickBot="1">
      <c r="A295" s="1713" t="s">
        <v>1609</v>
      </c>
      <c r="B295" s="1013" t="s">
        <v>1610</v>
      </c>
      <c r="C295" s="872">
        <v>0.15</v>
      </c>
      <c r="D295" s="1010">
        <v>0.2</v>
      </c>
      <c r="E295" s="1010">
        <f>7060050000/AI295</f>
        <v>0.15002231194220145</v>
      </c>
      <c r="F295" s="1673">
        <f>+AC295/AI295</f>
        <v>0.1381398331279218</v>
      </c>
      <c r="G295" s="859"/>
      <c r="H295" s="1010">
        <f>IF((E295+G295)/C295&gt;=100%,100%,(E295+G295)/C295)</f>
        <v>1</v>
      </c>
      <c r="I295" s="1011">
        <f>IF(F295/D295&gt;=100%,100%,F295/D295)</f>
        <v>0.69069916563960898</v>
      </c>
      <c r="J295" s="1230"/>
      <c r="K295" s="1525"/>
      <c r="L295" s="1016"/>
      <c r="M295" s="1012"/>
      <c r="N295" s="1012"/>
      <c r="O295" s="1526"/>
      <c r="P295" s="1526"/>
      <c r="Q295" s="1526"/>
      <c r="R295" s="1017"/>
      <c r="S295" s="1526"/>
      <c r="T295" s="1714">
        <v>1</v>
      </c>
      <c r="U295" s="1010">
        <f>SUM(E295:G295)</f>
        <v>0.28816214507012328</v>
      </c>
      <c r="V295" s="872">
        <f>IF(U295/T295&gt;=100%,100%,U295/T295)</f>
        <v>0.28816214507012328</v>
      </c>
      <c r="W295" s="1010">
        <v>1</v>
      </c>
      <c r="X295" s="881">
        <v>1</v>
      </c>
      <c r="Y295" s="1715">
        <v>6628530984</v>
      </c>
      <c r="Z295" s="1715">
        <v>6107311808</v>
      </c>
      <c r="AA295" s="1715">
        <v>6515110547</v>
      </c>
      <c r="AB295" s="1114">
        <f t="shared" si="331"/>
        <v>0.98288905380788361</v>
      </c>
      <c r="AC295" s="1715">
        <v>6500860547</v>
      </c>
      <c r="AD295" s="1115">
        <f t="shared" si="294"/>
        <v>0.98073925620802382</v>
      </c>
      <c r="AE295" s="1013">
        <f>+AA295-AC295</f>
        <v>14250000</v>
      </c>
      <c r="AF295" s="1012">
        <v>101991641</v>
      </c>
      <c r="AG295" s="1715">
        <v>2218394</v>
      </c>
      <c r="AH295" s="1089">
        <f t="shared" si="295"/>
        <v>2.1750743279049703E-2</v>
      </c>
      <c r="AI295" s="1715">
        <v>47060000000</v>
      </c>
      <c r="AJ295" s="1715">
        <f>+SUM(Z295:AA295)</f>
        <v>12622422355</v>
      </c>
      <c r="AK295" s="1010">
        <f t="shared" si="300"/>
        <v>0.26821976954951127</v>
      </c>
      <c r="AL295" s="1222"/>
      <c r="AM295" s="1016"/>
      <c r="AN295" s="1012"/>
      <c r="AO295" s="1013"/>
      <c r="AP295" s="1210"/>
      <c r="AQ295" s="1210"/>
    </row>
    <row r="296" spans="1:43" ht="42.75" customHeight="1" thickBot="1">
      <c r="A296" s="2293" t="s">
        <v>35</v>
      </c>
      <c r="B296" s="2294"/>
      <c r="C296" s="1716"/>
      <c r="D296" s="1716"/>
      <c r="E296" s="1717"/>
      <c r="F296" s="1716"/>
      <c r="G296" s="1716"/>
      <c r="H296" s="1718">
        <f>(H8*W8)+(H56*W56)+(H99*W99)+(H146*W146)+(H211*W211)</f>
        <v>0.90940709999999991</v>
      </c>
      <c r="I296" s="1719">
        <f>(I8*X8)+(I56*X56)+(I99*X99)+(I146*X146)+(I211*X211)</f>
        <v>0.7729356687600536</v>
      </c>
      <c r="J296" s="1717"/>
      <c r="K296" s="1716"/>
      <c r="L296" s="1716"/>
      <c r="M296" s="1716"/>
      <c r="N296" s="1716"/>
      <c r="O296" s="1716"/>
      <c r="P296" s="1716"/>
      <c r="Q296" s="1716"/>
      <c r="R296" s="1716"/>
      <c r="S296" s="1720"/>
      <c r="T296" s="1716"/>
      <c r="U296" s="1717"/>
      <c r="V296" s="1718">
        <f>(V8*W8)+(V56*W56)+(V99*W99)+(V146*W146)+(V211*W211)</f>
        <v>0.47943207265838983</v>
      </c>
      <c r="W296" s="1721"/>
      <c r="X296" s="1720"/>
      <c r="Y296" s="1722">
        <f>+Y8+Y56+Y99+Y146+Y211+Y293</f>
        <v>127060888332</v>
      </c>
      <c r="Z296" s="1722">
        <f>+Z8+Z56+Z99+Z146+Z211+Z293</f>
        <v>63560805671.059998</v>
      </c>
      <c r="AA296" s="1722">
        <f>+AA8+AA56+AA99+AA146+AA211+AA293</f>
        <v>95329855301.670013</v>
      </c>
      <c r="AB296" s="1079">
        <f>+AA296/Y296</f>
        <v>0.75026907613443317</v>
      </c>
      <c r="AC296" s="1722">
        <f>+AC8+AC56+AC99+AC146+AC211+AC293</f>
        <v>78914531319.630005</v>
      </c>
      <c r="AD296" s="1068">
        <f t="shared" si="294"/>
        <v>0.62107649612391036</v>
      </c>
      <c r="AE296" s="1723">
        <f>+AE8+AE56+AE99+AE146+AE211+AE293</f>
        <v>16415323982.040003</v>
      </c>
      <c r="AF296" s="1724">
        <f>+AF8+AF56+AF99+AF146+AF211</f>
        <v>19867333630.959999</v>
      </c>
      <c r="AG296" s="1722">
        <f>+AG8+AG56+AG99+AG146+AG211</f>
        <v>17290076415.439999</v>
      </c>
      <c r="AH296" s="1080">
        <f t="shared" si="295"/>
        <v>0.87027664288559758</v>
      </c>
      <c r="AI296" s="1722">
        <f>+AI8+AI56+AI99+AI146+AI211+AI293</f>
        <v>425871745727</v>
      </c>
      <c r="AJ296" s="1722">
        <f>+AJ8+AJ56+AJ99+AJ146+AJ211+AJ293</f>
        <v>158890660972.73001</v>
      </c>
      <c r="AK296" s="1725">
        <f t="shared" si="300"/>
        <v>0.37309509862291962</v>
      </c>
      <c r="AL296" s="1069"/>
      <c r="AM296" s="1651"/>
      <c r="AN296" s="1315"/>
      <c r="AO296" s="1652"/>
      <c r="AP296" s="1315"/>
      <c r="AQ296" s="1726"/>
    </row>
    <row r="297" spans="1:43" ht="51.75" customHeight="1">
      <c r="A297" s="2187" t="s">
        <v>36</v>
      </c>
      <c r="B297" s="2187"/>
      <c r="C297" s="2187"/>
      <c r="D297" s="2187"/>
      <c r="E297" s="2187"/>
      <c r="F297" s="2187"/>
      <c r="G297" s="2187"/>
      <c r="H297" s="2187"/>
      <c r="I297" s="2187"/>
      <c r="J297" s="2187"/>
      <c r="K297" s="2187"/>
      <c r="L297" s="2187"/>
      <c r="M297" s="2187"/>
      <c r="N297" s="2187"/>
      <c r="O297" s="2187"/>
      <c r="P297" s="2187"/>
      <c r="Q297" s="2187"/>
      <c r="R297" s="2187"/>
      <c r="S297" s="2187"/>
      <c r="T297" s="2187"/>
      <c r="U297" s="2187"/>
      <c r="V297" s="2187"/>
      <c r="W297" s="2187"/>
      <c r="X297" s="2187"/>
      <c r="Y297" s="2187"/>
      <c r="Z297" s="2187"/>
      <c r="AA297" s="2187"/>
      <c r="AB297" s="2187"/>
      <c r="AC297" s="2187"/>
      <c r="AD297" s="2187"/>
      <c r="AE297" s="2187"/>
      <c r="AF297" s="2187"/>
      <c r="AG297" s="2187"/>
      <c r="AH297" s="2187"/>
      <c r="AI297" s="2187"/>
      <c r="AJ297" s="2187"/>
      <c r="AK297" s="2187"/>
      <c r="AL297" s="2171"/>
    </row>
    <row r="298" spans="1:43">
      <c r="Y298" s="608">
        <f>+Y296+6628530984</f>
        <v>133689419316</v>
      </c>
      <c r="AL298" s="95"/>
    </row>
    <row r="299" spans="1:43" ht="23.25" customHeight="1">
      <c r="A299" s="617"/>
      <c r="B299" s="617"/>
      <c r="C299" s="617"/>
      <c r="D299" s="617"/>
      <c r="E299" s="617"/>
      <c r="F299" s="617"/>
      <c r="G299" s="617"/>
      <c r="H299" s="617"/>
      <c r="I299" s="617"/>
      <c r="J299" s="617"/>
      <c r="K299" s="115"/>
      <c r="L299" s="115"/>
      <c r="M299" s="115"/>
      <c r="N299" s="115"/>
      <c r="O299" s="115"/>
      <c r="P299" s="115"/>
      <c r="Q299" s="115"/>
      <c r="R299" s="115"/>
      <c r="S299" s="617"/>
      <c r="T299" s="617"/>
      <c r="U299" s="617"/>
      <c r="V299" s="617"/>
      <c r="W299" s="617"/>
      <c r="X299" s="617"/>
      <c r="Y299" s="617"/>
      <c r="Z299" s="617"/>
      <c r="AA299" s="617"/>
      <c r="AB299" s="617"/>
      <c r="AC299" s="617"/>
      <c r="AD299" s="115"/>
      <c r="AE299" s="618"/>
      <c r="AF299" s="617"/>
      <c r="AG299" s="617"/>
      <c r="AH299" s="617"/>
      <c r="AI299" s="617"/>
      <c r="AJ299" s="617"/>
    </row>
    <row r="300" spans="1:43" ht="19.5" customHeight="1">
      <c r="A300" s="2188"/>
      <c r="B300" s="2188"/>
      <c r="C300" s="115"/>
      <c r="D300" s="115"/>
      <c r="E300" s="115"/>
      <c r="F300" s="115"/>
      <c r="G300" s="115"/>
      <c r="H300" s="115"/>
      <c r="I300" s="115"/>
      <c r="J300" s="115"/>
      <c r="K300" s="115"/>
      <c r="L300" s="115"/>
      <c r="M300" s="115"/>
      <c r="N300" s="115"/>
      <c r="O300" s="115"/>
      <c r="P300" s="115"/>
      <c r="Q300" s="115"/>
      <c r="R300" s="115"/>
      <c r="S300" s="115"/>
      <c r="T300" s="115"/>
      <c r="U300" s="115"/>
      <c r="V300" s="115"/>
      <c r="W300" s="115"/>
      <c r="X300" s="115"/>
      <c r="Y300" s="2188"/>
      <c r="Z300" s="2188"/>
      <c r="AA300" s="2188"/>
      <c r="AB300" s="2188"/>
      <c r="AC300" s="2188"/>
      <c r="AD300" s="2188"/>
      <c r="AE300" s="2188"/>
      <c r="AF300" s="2188"/>
      <c r="AG300" s="2188"/>
      <c r="AH300" s="2188"/>
      <c r="AI300" s="2188"/>
      <c r="AJ300" s="2188"/>
      <c r="AK300" s="2188"/>
    </row>
    <row r="301" spans="1:43" ht="59.25" customHeight="1">
      <c r="A301" s="2169"/>
      <c r="B301" s="2169"/>
      <c r="C301" s="115"/>
      <c r="D301" s="115"/>
      <c r="E301" s="115"/>
      <c r="F301" s="115"/>
      <c r="G301" s="115"/>
      <c r="H301" s="115"/>
      <c r="I301" s="115"/>
      <c r="J301" s="114"/>
      <c r="K301" s="114"/>
      <c r="L301" s="114"/>
      <c r="M301" s="114"/>
      <c r="N301" s="114"/>
      <c r="O301" s="114"/>
      <c r="P301" s="114"/>
      <c r="Q301" s="114"/>
      <c r="R301" s="114"/>
      <c r="S301" s="114"/>
      <c r="T301" s="115"/>
      <c r="U301" s="115"/>
      <c r="V301" s="115"/>
      <c r="W301" s="114"/>
      <c r="X301" s="114"/>
      <c r="Y301" s="2170"/>
      <c r="Z301" s="2170"/>
      <c r="AA301" s="2170"/>
      <c r="AB301" s="2170"/>
      <c r="AC301" s="2170"/>
      <c r="AD301" s="2170"/>
      <c r="AE301" s="2170"/>
      <c r="AF301" s="2170"/>
      <c r="AG301" s="2170"/>
      <c r="AH301" s="2170"/>
      <c r="AI301" s="2170"/>
      <c r="AJ301" s="2170"/>
      <c r="AK301" s="2170"/>
    </row>
    <row r="302" spans="1:43" ht="42.75" customHeight="1">
      <c r="A302" s="2169"/>
      <c r="B302" s="2169"/>
      <c r="C302" s="115"/>
      <c r="D302" s="115"/>
      <c r="E302" s="115"/>
      <c r="F302" s="115"/>
      <c r="G302" s="115"/>
      <c r="H302" s="115"/>
      <c r="I302" s="115"/>
      <c r="J302" s="114"/>
      <c r="K302" s="114"/>
      <c r="L302" s="114"/>
      <c r="M302" s="114"/>
      <c r="N302" s="114"/>
      <c r="O302" s="114"/>
      <c r="P302" s="114"/>
      <c r="Q302" s="114"/>
      <c r="R302" s="114"/>
      <c r="S302" s="114"/>
      <c r="T302" s="115"/>
      <c r="U302" s="115"/>
      <c r="V302" s="115"/>
      <c r="W302" s="114"/>
      <c r="X302" s="114"/>
      <c r="Y302" s="2170"/>
      <c r="Z302" s="2170"/>
      <c r="AA302" s="2170"/>
      <c r="AB302" s="2170"/>
      <c r="AC302" s="2170"/>
      <c r="AD302" s="2170"/>
      <c r="AE302" s="2170"/>
      <c r="AF302" s="2170"/>
      <c r="AG302" s="2170"/>
      <c r="AH302" s="2170"/>
      <c r="AI302" s="2170"/>
      <c r="AJ302" s="2170"/>
      <c r="AK302" s="2170"/>
    </row>
    <row r="303" spans="1:43" ht="27" customHeight="1">
      <c r="A303" s="2169"/>
      <c r="B303" s="2169"/>
      <c r="C303" s="115"/>
      <c r="D303" s="115"/>
      <c r="E303" s="115"/>
      <c r="F303" s="115"/>
      <c r="G303" s="115"/>
      <c r="H303" s="115"/>
      <c r="I303" s="115"/>
      <c r="J303" s="114"/>
      <c r="K303" s="114"/>
      <c r="L303" s="114"/>
      <c r="M303" s="114"/>
      <c r="N303" s="114"/>
      <c r="O303" s="114"/>
      <c r="P303" s="114"/>
      <c r="Q303" s="114"/>
      <c r="R303" s="114"/>
      <c r="S303" s="114"/>
      <c r="T303" s="115"/>
      <c r="U303" s="115"/>
      <c r="V303" s="115"/>
      <c r="W303" s="114"/>
      <c r="X303" s="114"/>
      <c r="Y303" s="2170"/>
      <c r="Z303" s="2170"/>
      <c r="AA303" s="2170"/>
      <c r="AB303" s="2170"/>
      <c r="AC303" s="2170"/>
      <c r="AD303" s="2170"/>
      <c r="AE303" s="2170"/>
      <c r="AF303" s="2170"/>
      <c r="AG303" s="2170"/>
      <c r="AH303" s="2170"/>
      <c r="AI303" s="2170"/>
      <c r="AJ303" s="2170"/>
      <c r="AK303" s="2170"/>
    </row>
    <row r="304" spans="1:43" ht="40.5" customHeight="1">
      <c r="A304" s="2169"/>
      <c r="B304" s="2169"/>
      <c r="C304" s="115"/>
      <c r="D304" s="115"/>
      <c r="E304" s="115"/>
      <c r="F304" s="115"/>
      <c r="G304" s="115"/>
      <c r="H304" s="115"/>
      <c r="I304" s="115"/>
      <c r="J304" s="114"/>
      <c r="K304" s="114"/>
      <c r="L304" s="114"/>
      <c r="M304" s="114"/>
      <c r="N304" s="114"/>
      <c r="O304" s="114"/>
      <c r="P304" s="114"/>
      <c r="Q304" s="114"/>
      <c r="R304" s="114"/>
      <c r="S304" s="114"/>
      <c r="T304" s="115"/>
      <c r="U304" s="115"/>
      <c r="V304" s="115"/>
      <c r="W304" s="114"/>
      <c r="X304" s="114"/>
      <c r="Y304" s="2170"/>
      <c r="Z304" s="2170"/>
      <c r="AA304" s="2170"/>
      <c r="AB304" s="2170"/>
      <c r="AC304" s="2170"/>
      <c r="AD304" s="2170"/>
      <c r="AE304" s="2170"/>
      <c r="AF304" s="2170"/>
      <c r="AG304" s="2170"/>
      <c r="AH304" s="2170"/>
      <c r="AI304" s="2170"/>
      <c r="AJ304" s="2170"/>
      <c r="AK304" s="2170"/>
    </row>
    <row r="305" spans="1:37" ht="35.25" customHeight="1">
      <c r="A305" s="2169"/>
      <c r="B305" s="2169"/>
      <c r="C305" s="115"/>
      <c r="D305" s="115"/>
      <c r="E305" s="115"/>
      <c r="F305" s="115"/>
      <c r="G305" s="115"/>
      <c r="H305" s="115"/>
      <c r="I305" s="115"/>
      <c r="J305" s="114"/>
      <c r="K305" s="114"/>
      <c r="L305" s="114"/>
      <c r="M305" s="114"/>
      <c r="N305" s="114"/>
      <c r="O305" s="114"/>
      <c r="P305" s="114"/>
      <c r="Q305" s="114"/>
      <c r="R305" s="114"/>
      <c r="S305" s="114"/>
      <c r="T305" s="115"/>
      <c r="U305" s="115"/>
      <c r="V305" s="115"/>
      <c r="W305" s="114"/>
      <c r="X305" s="114"/>
      <c r="Y305" s="2170"/>
      <c r="Z305" s="2170"/>
      <c r="AA305" s="2170"/>
      <c r="AB305" s="2170"/>
      <c r="AC305" s="2170"/>
      <c r="AD305" s="2170"/>
      <c r="AE305" s="2170"/>
      <c r="AF305" s="2170"/>
      <c r="AG305" s="2170"/>
      <c r="AH305" s="2170"/>
      <c r="AI305" s="2170"/>
      <c r="AJ305" s="2170"/>
      <c r="AK305" s="2170"/>
    </row>
    <row r="306" spans="1:37" ht="41.25" customHeight="1">
      <c r="A306" s="2169"/>
      <c r="B306" s="2169"/>
      <c r="C306" s="115"/>
      <c r="D306" s="115"/>
      <c r="E306" s="115"/>
      <c r="F306" s="115"/>
      <c r="G306" s="115"/>
      <c r="H306" s="115"/>
      <c r="I306" s="115"/>
      <c r="J306" s="114"/>
      <c r="K306" s="114"/>
      <c r="L306" s="114"/>
      <c r="M306" s="114"/>
      <c r="N306" s="114"/>
      <c r="O306" s="114"/>
      <c r="P306" s="114"/>
      <c r="Q306" s="114"/>
      <c r="R306" s="114"/>
      <c r="S306" s="114"/>
      <c r="T306" s="115"/>
      <c r="U306" s="115"/>
      <c r="V306" s="115"/>
      <c r="W306" s="114"/>
      <c r="X306" s="114"/>
      <c r="Y306" s="2170"/>
      <c r="Z306" s="2170"/>
      <c r="AA306" s="2170"/>
      <c r="AB306" s="2170"/>
      <c r="AC306" s="2170"/>
      <c r="AD306" s="2170"/>
      <c r="AE306" s="2170"/>
      <c r="AF306" s="2170"/>
      <c r="AG306" s="2170"/>
      <c r="AH306" s="2170"/>
      <c r="AI306" s="2170"/>
      <c r="AJ306" s="2170"/>
      <c r="AK306" s="2170"/>
    </row>
    <row r="307" spans="1:37" ht="39" customHeight="1">
      <c r="A307" s="2169"/>
      <c r="B307" s="2169"/>
      <c r="C307" s="115"/>
      <c r="D307" s="115"/>
      <c r="E307" s="115"/>
      <c r="F307" s="115"/>
      <c r="G307" s="115"/>
      <c r="H307" s="115"/>
      <c r="I307" s="115"/>
      <c r="J307" s="114"/>
      <c r="K307" s="114"/>
      <c r="L307" s="114"/>
      <c r="M307" s="114"/>
      <c r="N307" s="114"/>
      <c r="O307" s="114"/>
      <c r="P307" s="114"/>
      <c r="Q307" s="114"/>
      <c r="R307" s="114"/>
      <c r="S307" s="114"/>
      <c r="T307" s="115"/>
      <c r="U307" s="115"/>
      <c r="V307" s="115"/>
      <c r="W307" s="114"/>
      <c r="X307" s="114"/>
      <c r="Y307" s="2170"/>
      <c r="Z307" s="2170"/>
      <c r="AA307" s="2170"/>
      <c r="AB307" s="2170"/>
      <c r="AC307" s="2170"/>
      <c r="AD307" s="2170"/>
      <c r="AE307" s="2170"/>
      <c r="AF307" s="2170"/>
      <c r="AG307" s="2170"/>
      <c r="AH307" s="2170"/>
      <c r="AI307" s="2170"/>
      <c r="AJ307" s="2170"/>
      <c r="AK307" s="2170"/>
    </row>
    <row r="308" spans="1:37" ht="81" customHeight="1">
      <c r="A308" s="2169"/>
      <c r="B308" s="2169"/>
      <c r="C308" s="115"/>
      <c r="D308" s="115"/>
      <c r="E308" s="115"/>
      <c r="F308" s="115"/>
      <c r="G308" s="115"/>
      <c r="H308" s="115"/>
      <c r="I308" s="115"/>
      <c r="J308" s="114"/>
      <c r="K308" s="114"/>
      <c r="L308" s="114"/>
      <c r="M308" s="114"/>
      <c r="N308" s="114"/>
      <c r="O308" s="114"/>
      <c r="P308" s="114"/>
      <c r="Q308" s="114"/>
      <c r="R308" s="114"/>
      <c r="S308" s="114"/>
      <c r="T308" s="115"/>
      <c r="U308" s="115"/>
      <c r="V308" s="115"/>
      <c r="W308" s="114"/>
      <c r="X308" s="114"/>
      <c r="Y308" s="2170"/>
      <c r="Z308" s="2170"/>
      <c r="AA308" s="2170"/>
      <c r="AB308" s="2170"/>
      <c r="AC308" s="2170"/>
      <c r="AD308" s="2170"/>
      <c r="AE308" s="2170"/>
      <c r="AF308" s="2170"/>
      <c r="AG308" s="2170"/>
      <c r="AH308" s="2170"/>
      <c r="AI308" s="2170"/>
      <c r="AJ308" s="2170"/>
      <c r="AK308" s="2170"/>
    </row>
    <row r="309" spans="1:37" ht="33.75" customHeight="1">
      <c r="A309" s="2169"/>
      <c r="B309" s="2169"/>
      <c r="C309" s="115"/>
      <c r="D309" s="115"/>
      <c r="E309" s="115"/>
      <c r="F309" s="115"/>
      <c r="G309" s="115"/>
      <c r="H309" s="115"/>
      <c r="I309" s="115"/>
      <c r="J309" s="114"/>
      <c r="K309" s="114"/>
      <c r="L309" s="114"/>
      <c r="M309" s="114"/>
      <c r="N309" s="114"/>
      <c r="O309" s="114"/>
      <c r="P309" s="114"/>
      <c r="Q309" s="114"/>
      <c r="R309" s="114"/>
      <c r="S309" s="114"/>
      <c r="T309" s="115"/>
      <c r="U309" s="115"/>
      <c r="V309" s="115"/>
      <c r="W309" s="114"/>
      <c r="X309" s="114"/>
      <c r="Y309" s="2170"/>
      <c r="Z309" s="2170"/>
      <c r="AA309" s="2170"/>
      <c r="AB309" s="2170"/>
      <c r="AC309" s="2170"/>
      <c r="AD309" s="2170"/>
      <c r="AE309" s="2170"/>
      <c r="AF309" s="2170"/>
      <c r="AG309" s="2170"/>
      <c r="AH309" s="2170"/>
      <c r="AI309" s="2170"/>
      <c r="AJ309" s="2170"/>
      <c r="AK309" s="2170"/>
    </row>
    <row r="310" spans="1:37" ht="147.75" customHeight="1">
      <c r="A310" s="2169"/>
      <c r="B310" s="2169"/>
      <c r="C310" s="115"/>
      <c r="D310" s="115"/>
      <c r="E310" s="115"/>
      <c r="F310" s="115"/>
      <c r="G310" s="115"/>
      <c r="H310" s="115"/>
      <c r="I310" s="115"/>
      <c r="J310" s="114"/>
      <c r="K310" s="114"/>
      <c r="L310" s="114"/>
      <c r="M310" s="114"/>
      <c r="N310" s="114"/>
      <c r="O310" s="114"/>
      <c r="P310" s="114"/>
      <c r="Q310" s="114"/>
      <c r="R310" s="114"/>
      <c r="S310" s="114"/>
      <c r="T310" s="115"/>
      <c r="U310" s="115"/>
      <c r="V310" s="115"/>
      <c r="W310" s="114"/>
      <c r="X310" s="114"/>
      <c r="Y310" s="2170"/>
      <c r="Z310" s="2170"/>
      <c r="AA310" s="2170"/>
      <c r="AB310" s="2170"/>
      <c r="AC310" s="2170"/>
      <c r="AD310" s="2170"/>
      <c r="AE310" s="2170"/>
      <c r="AF310" s="2170"/>
      <c r="AG310" s="2170"/>
      <c r="AH310" s="2170"/>
      <c r="AI310" s="2170"/>
      <c r="AJ310" s="2170"/>
      <c r="AK310" s="2170"/>
    </row>
    <row r="311" spans="1:37" ht="36" customHeight="1">
      <c r="A311" s="2169"/>
      <c r="B311" s="2169"/>
      <c r="C311" s="115"/>
      <c r="D311" s="115"/>
      <c r="E311" s="115"/>
      <c r="F311" s="115"/>
      <c r="G311" s="115"/>
      <c r="H311" s="115"/>
      <c r="I311" s="115"/>
      <c r="J311" s="114"/>
      <c r="K311" s="114"/>
      <c r="L311" s="114"/>
      <c r="M311" s="114"/>
      <c r="N311" s="114"/>
      <c r="O311" s="114"/>
      <c r="P311" s="114"/>
      <c r="Q311" s="114"/>
      <c r="R311" s="114"/>
      <c r="S311" s="114"/>
      <c r="T311" s="115"/>
      <c r="U311" s="115"/>
      <c r="V311" s="115"/>
      <c r="W311" s="114"/>
      <c r="X311" s="114"/>
      <c r="Y311" s="2170"/>
      <c r="Z311" s="2170"/>
      <c r="AA311" s="2170"/>
      <c r="AB311" s="2170"/>
      <c r="AC311" s="2170"/>
      <c r="AD311" s="2170"/>
      <c r="AE311" s="2170"/>
      <c r="AF311" s="2170"/>
      <c r="AG311" s="2170"/>
      <c r="AH311" s="2170"/>
      <c r="AI311" s="2170"/>
      <c r="AJ311" s="2170"/>
      <c r="AK311" s="2170"/>
    </row>
    <row r="312" spans="1:37" ht="82.5" customHeight="1">
      <c r="A312" s="2169"/>
      <c r="B312" s="2169"/>
      <c r="C312" s="115"/>
      <c r="D312" s="115"/>
      <c r="E312" s="115"/>
      <c r="F312" s="115"/>
      <c r="G312" s="115"/>
      <c r="H312" s="115"/>
      <c r="I312" s="115"/>
      <c r="J312" s="114"/>
      <c r="K312" s="114"/>
      <c r="L312" s="114"/>
      <c r="M312" s="114"/>
      <c r="N312" s="114"/>
      <c r="O312" s="114"/>
      <c r="P312" s="114"/>
      <c r="Q312" s="114"/>
      <c r="R312" s="114"/>
      <c r="S312" s="114"/>
      <c r="T312" s="115"/>
      <c r="U312" s="115"/>
      <c r="V312" s="115"/>
      <c r="W312" s="114"/>
      <c r="X312" s="114"/>
      <c r="Y312" s="2170"/>
      <c r="Z312" s="2170"/>
      <c r="AA312" s="2170"/>
      <c r="AB312" s="2170"/>
      <c r="AC312" s="2170"/>
      <c r="AD312" s="2170"/>
      <c r="AE312" s="2170"/>
      <c r="AF312" s="2170"/>
      <c r="AG312" s="2170"/>
      <c r="AH312" s="2170"/>
      <c r="AI312" s="2170"/>
      <c r="AJ312" s="2170"/>
      <c r="AK312" s="2170"/>
    </row>
    <row r="313" spans="1:37" ht="22.5" customHeight="1">
      <c r="A313" s="2169"/>
      <c r="B313" s="2171"/>
      <c r="C313" s="2171"/>
      <c r="D313" s="2171"/>
      <c r="E313" s="2171"/>
      <c r="F313" s="2171"/>
      <c r="G313" s="2171"/>
      <c r="H313" s="2171"/>
      <c r="I313" s="2171"/>
      <c r="J313" s="2171"/>
      <c r="K313" s="2171"/>
      <c r="L313" s="2171"/>
      <c r="M313" s="2171"/>
      <c r="N313" s="2171"/>
      <c r="O313" s="2171"/>
      <c r="P313" s="2171"/>
      <c r="Q313" s="2171"/>
      <c r="R313" s="2171"/>
      <c r="S313" s="2171"/>
      <c r="T313" s="2171"/>
      <c r="U313" s="2171"/>
      <c r="V313" s="2171"/>
      <c r="W313" s="2171"/>
      <c r="X313" s="2171"/>
      <c r="Y313" s="2171"/>
      <c r="Z313" s="2171"/>
      <c r="AA313" s="2171"/>
      <c r="AB313" s="2171"/>
      <c r="AC313" s="2171"/>
      <c r="AD313" s="2171"/>
      <c r="AE313" s="2171"/>
      <c r="AF313" s="2171"/>
      <c r="AG313" s="2171"/>
      <c r="AH313" s="2171"/>
      <c r="AI313" s="2171"/>
      <c r="AJ313" s="2171"/>
      <c r="AK313" s="2171"/>
    </row>
  </sheetData>
  <mergeCells count="102">
    <mergeCell ref="A312:B312"/>
    <mergeCell ref="Y312:AK312"/>
    <mergeCell ref="A313:AK313"/>
    <mergeCell ref="A309:B309"/>
    <mergeCell ref="Y309:AK309"/>
    <mergeCell ref="A310:B310"/>
    <mergeCell ref="Y310:AK310"/>
    <mergeCell ref="A311:B311"/>
    <mergeCell ref="Y311:AK311"/>
    <mergeCell ref="A306:B306"/>
    <mergeCell ref="Y306:AK306"/>
    <mergeCell ref="A307:B307"/>
    <mergeCell ref="Y307:AK307"/>
    <mergeCell ref="A308:B308"/>
    <mergeCell ref="Y308:AK308"/>
    <mergeCell ref="A303:B303"/>
    <mergeCell ref="Y303:AK303"/>
    <mergeCell ref="A304:B304"/>
    <mergeCell ref="Y304:AK304"/>
    <mergeCell ref="A305:B305"/>
    <mergeCell ref="Y305:AK305"/>
    <mergeCell ref="A297:AL297"/>
    <mergeCell ref="A300:B300"/>
    <mergeCell ref="Y300:AK300"/>
    <mergeCell ref="A301:B301"/>
    <mergeCell ref="Y301:AK301"/>
    <mergeCell ref="A302:B302"/>
    <mergeCell ref="Y302:AK302"/>
    <mergeCell ref="AO235:AO237"/>
    <mergeCell ref="AO241:AO243"/>
    <mergeCell ref="AO254:AO255"/>
    <mergeCell ref="AO262:AO265"/>
    <mergeCell ref="AO274:AO276"/>
    <mergeCell ref="A296:B296"/>
    <mergeCell ref="AO130:AO131"/>
    <mergeCell ref="AO136:AO139"/>
    <mergeCell ref="AO169:AO172"/>
    <mergeCell ref="AO181:AO182"/>
    <mergeCell ref="AO204:AO205"/>
    <mergeCell ref="AO221:AO225"/>
    <mergeCell ref="AO93:AO96"/>
    <mergeCell ref="AO102:AO104"/>
    <mergeCell ref="AO108:AO110"/>
    <mergeCell ref="AO115:AO116"/>
    <mergeCell ref="AO122:AO123"/>
    <mergeCell ref="AO126:AO127"/>
    <mergeCell ref="AO54:AO55"/>
    <mergeCell ref="AO72:AO73"/>
    <mergeCell ref="AO86:AO87"/>
    <mergeCell ref="AO90:AO91"/>
    <mergeCell ref="AO13:AO15"/>
    <mergeCell ref="AO16:AO18"/>
    <mergeCell ref="AO24:AO25"/>
    <mergeCell ref="AO27:AO30"/>
    <mergeCell ref="AO34:AO35"/>
    <mergeCell ref="AO39:AO40"/>
    <mergeCell ref="AO11:AO12"/>
    <mergeCell ref="Z6:AA6"/>
    <mergeCell ref="AB6:AB7"/>
    <mergeCell ref="AC6:AC7"/>
    <mergeCell ref="AD6:AD7"/>
    <mergeCell ref="AE6:AE7"/>
    <mergeCell ref="AF6:AF7"/>
    <mergeCell ref="AO41:AO43"/>
    <mergeCell ref="AO47:AO48"/>
    <mergeCell ref="AP5:AP7"/>
    <mergeCell ref="AQ5:AQ7"/>
    <mergeCell ref="B6:B7"/>
    <mergeCell ref="C6:D6"/>
    <mergeCell ref="E6:F6"/>
    <mergeCell ref="H6:I6"/>
    <mergeCell ref="J6:J7"/>
    <mergeCell ref="K6:K7"/>
    <mergeCell ref="L6:L7"/>
    <mergeCell ref="M6:M7"/>
    <mergeCell ref="T6:T7"/>
    <mergeCell ref="U6:U7"/>
    <mergeCell ref="V6:V7"/>
    <mergeCell ref="W6:W7"/>
    <mergeCell ref="X6:X7"/>
    <mergeCell ref="Y6:Y7"/>
    <mergeCell ref="N6:N7"/>
    <mergeCell ref="O6:O7"/>
    <mergeCell ref="P6:P7"/>
    <mergeCell ref="Q6:Q7"/>
    <mergeCell ref="R6:R7"/>
    <mergeCell ref="S6:S7"/>
    <mergeCell ref="AG6:AG7"/>
    <mergeCell ref="AH6:AH7"/>
    <mergeCell ref="A1:AO1"/>
    <mergeCell ref="A2:AO2"/>
    <mergeCell ref="A3:AO3"/>
    <mergeCell ref="A5:A7"/>
    <mergeCell ref="B5:X5"/>
    <mergeCell ref="Y5:AK5"/>
    <mergeCell ref="AL5:AL7"/>
    <mergeCell ref="AM5:AM7"/>
    <mergeCell ref="AN5:AN7"/>
    <mergeCell ref="AO5:AO7"/>
    <mergeCell ref="AI6:AI7"/>
    <mergeCell ref="AJ6:AJ7"/>
    <mergeCell ref="AK6:AK7"/>
  </mergeCells>
  <pageMargins left="0.7" right="0.7" top="0.75" bottom="0.75" header="0.3" footer="0.3"/>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A6C15-1E16-4C76-885F-00A898E593DA}">
  <sheetPr>
    <pageSetUpPr fitToPage="1"/>
  </sheetPr>
  <dimension ref="A1:DD166"/>
  <sheetViews>
    <sheetView zoomScale="80" zoomScaleNormal="80" zoomScaleSheetLayoutView="100" workbookViewId="0">
      <pane xSplit="2" ySplit="3" topLeftCell="CS153" activePane="bottomRight" state="frozen"/>
      <selection pane="topRight" activeCell="C1" sqref="C1"/>
      <selection pane="bottomLeft" activeCell="A4" sqref="A4"/>
      <selection pane="bottomRight" activeCell="CS160" sqref="CS160"/>
    </sheetView>
  </sheetViews>
  <sheetFormatPr baseColWidth="10" defaultColWidth="8.85546875" defaultRowHeight="15.75"/>
  <cols>
    <col min="1" max="1" width="69.42578125" style="761" customWidth="1"/>
    <col min="2" max="2" width="33.42578125" style="761" customWidth="1"/>
    <col min="3" max="6" width="28.140625" style="761" customWidth="1"/>
    <col min="7" max="10" width="26.28515625" style="761" customWidth="1"/>
    <col min="11" max="14" width="28.28515625" style="761" customWidth="1"/>
    <col min="15" max="15" width="23.85546875" style="761" customWidth="1"/>
    <col min="16" max="17" width="30.5703125" style="761" customWidth="1"/>
    <col min="18" max="18" width="25.7109375" style="761" customWidth="1"/>
    <col min="19" max="22" width="29.28515625" style="761" customWidth="1"/>
    <col min="23" max="30" width="27.140625" style="761" customWidth="1"/>
    <col min="31" max="42" width="24.85546875" style="761" customWidth="1"/>
    <col min="43" max="46" width="23.42578125" style="761" customWidth="1"/>
    <col min="47" max="50" width="26.5703125" style="761" customWidth="1"/>
    <col min="51" max="54" width="24.28515625" style="761" customWidth="1"/>
    <col min="55" max="58" width="28.28515625" style="761" customWidth="1"/>
    <col min="59" max="59" width="24" style="761" customWidth="1"/>
    <col min="60" max="60" width="31.7109375" style="761" customWidth="1"/>
    <col min="61" max="61" width="32.28515625" style="761" customWidth="1"/>
    <col min="62" max="62" width="29.140625" style="761" customWidth="1"/>
    <col min="63" max="78" width="24" style="761" customWidth="1"/>
    <col min="79" max="82" width="18.42578125" style="761" customWidth="1"/>
    <col min="83" max="94" width="21" style="761" customWidth="1"/>
    <col min="95" max="95" width="27.85546875" style="761" customWidth="1"/>
    <col min="96" max="96" width="27.42578125" style="761" customWidth="1"/>
    <col min="97" max="97" width="28.85546875" style="761" customWidth="1"/>
    <col min="98" max="98" width="28" style="810" customWidth="1"/>
    <col min="99" max="99" width="20.7109375" style="750" customWidth="1"/>
    <col min="100" max="100" width="22.85546875" style="750" customWidth="1"/>
    <col min="101" max="101" width="19.28515625" style="750" customWidth="1"/>
    <col min="102" max="105" width="21" style="750" customWidth="1"/>
    <col min="106" max="106" width="18.28515625" style="750" customWidth="1"/>
    <col min="107" max="107" width="19.28515625" style="750" customWidth="1"/>
    <col min="108" max="333" width="8.85546875" style="750"/>
    <col min="334" max="334" width="69.42578125" style="750" customWidth="1"/>
    <col min="335" max="335" width="29.140625" style="750" customWidth="1"/>
    <col min="336" max="336" width="28.140625" style="750" customWidth="1"/>
    <col min="337" max="337" width="31.42578125" style="750" customWidth="1"/>
    <col min="338" max="338" width="26.42578125" style="750" customWidth="1"/>
    <col min="339" max="339" width="28.85546875" style="750" customWidth="1"/>
    <col min="340" max="340" width="23.5703125" style="750" customWidth="1"/>
    <col min="341" max="341" width="27.140625" style="750" bestFit="1" customWidth="1"/>
    <col min="342" max="342" width="24.85546875" style="750" bestFit="1" customWidth="1"/>
    <col min="343" max="343" width="23.42578125" style="750" bestFit="1" customWidth="1"/>
    <col min="344" max="344" width="26.5703125" style="750" customWidth="1"/>
    <col min="345" max="345" width="24.28515625" style="750" customWidth="1"/>
    <col min="346" max="346" width="28.28515625" style="750" bestFit="1" customWidth="1"/>
    <col min="347" max="347" width="8.85546875" style="750"/>
    <col min="348" max="348" width="16" style="750" customWidth="1"/>
    <col min="349" max="589" width="8.85546875" style="750"/>
    <col min="590" max="590" width="69.42578125" style="750" customWidth="1"/>
    <col min="591" max="591" width="29.140625" style="750" customWidth="1"/>
    <col min="592" max="592" width="28.140625" style="750" customWidth="1"/>
    <col min="593" max="593" width="31.42578125" style="750" customWidth="1"/>
    <col min="594" max="594" width="26.42578125" style="750" customWidth="1"/>
    <col min="595" max="595" width="28.85546875" style="750" customWidth="1"/>
    <col min="596" max="596" width="23.5703125" style="750" customWidth="1"/>
    <col min="597" max="597" width="27.140625" style="750" bestFit="1" customWidth="1"/>
    <col min="598" max="598" width="24.85546875" style="750" bestFit="1" customWidth="1"/>
    <col min="599" max="599" width="23.42578125" style="750" bestFit="1" customWidth="1"/>
    <col min="600" max="600" width="26.5703125" style="750" customWidth="1"/>
    <col min="601" max="601" width="24.28515625" style="750" customWidth="1"/>
    <col min="602" max="602" width="28.28515625" style="750" bestFit="1" customWidth="1"/>
    <col min="603" max="603" width="8.85546875" style="750"/>
    <col min="604" max="604" width="16" style="750" customWidth="1"/>
    <col min="605" max="845" width="8.85546875" style="750"/>
    <col min="846" max="846" width="69.42578125" style="750" customWidth="1"/>
    <col min="847" max="847" width="29.140625" style="750" customWidth="1"/>
    <col min="848" max="848" width="28.140625" style="750" customWidth="1"/>
    <col min="849" max="849" width="31.42578125" style="750" customWidth="1"/>
    <col min="850" max="850" width="26.42578125" style="750" customWidth="1"/>
    <col min="851" max="851" width="28.85546875" style="750" customWidth="1"/>
    <col min="852" max="852" width="23.5703125" style="750" customWidth="1"/>
    <col min="853" max="853" width="27.140625" style="750" bestFit="1" customWidth="1"/>
    <col min="854" max="854" width="24.85546875" style="750" bestFit="1" customWidth="1"/>
    <col min="855" max="855" width="23.42578125" style="750" bestFit="1" customWidth="1"/>
    <col min="856" max="856" width="26.5703125" style="750" customWidth="1"/>
    <col min="857" max="857" width="24.28515625" style="750" customWidth="1"/>
    <col min="858" max="858" width="28.28515625" style="750" bestFit="1" customWidth="1"/>
    <col min="859" max="859" width="8.85546875" style="750"/>
    <col min="860" max="860" width="16" style="750" customWidth="1"/>
    <col min="861" max="1101" width="8.85546875" style="750"/>
    <col min="1102" max="1102" width="69.42578125" style="750" customWidth="1"/>
    <col min="1103" max="1103" width="29.140625" style="750" customWidth="1"/>
    <col min="1104" max="1104" width="28.140625" style="750" customWidth="1"/>
    <col min="1105" max="1105" width="31.42578125" style="750" customWidth="1"/>
    <col min="1106" max="1106" width="26.42578125" style="750" customWidth="1"/>
    <col min="1107" max="1107" width="28.85546875" style="750" customWidth="1"/>
    <col min="1108" max="1108" width="23.5703125" style="750" customWidth="1"/>
    <col min="1109" max="1109" width="27.140625" style="750" bestFit="1" customWidth="1"/>
    <col min="1110" max="1110" width="24.85546875" style="750" bestFit="1" customWidth="1"/>
    <col min="1111" max="1111" width="23.42578125" style="750" bestFit="1" customWidth="1"/>
    <col min="1112" max="1112" width="26.5703125" style="750" customWidth="1"/>
    <col min="1113" max="1113" width="24.28515625" style="750" customWidth="1"/>
    <col min="1114" max="1114" width="28.28515625" style="750" bestFit="1" customWidth="1"/>
    <col min="1115" max="1115" width="8.85546875" style="750"/>
    <col min="1116" max="1116" width="16" style="750" customWidth="1"/>
    <col min="1117" max="1357" width="8.85546875" style="750"/>
    <col min="1358" max="1358" width="69.42578125" style="750" customWidth="1"/>
    <col min="1359" max="1359" width="29.140625" style="750" customWidth="1"/>
    <col min="1360" max="1360" width="28.140625" style="750" customWidth="1"/>
    <col min="1361" max="1361" width="31.42578125" style="750" customWidth="1"/>
    <col min="1362" max="1362" width="26.42578125" style="750" customWidth="1"/>
    <col min="1363" max="1363" width="28.85546875" style="750" customWidth="1"/>
    <col min="1364" max="1364" width="23.5703125" style="750" customWidth="1"/>
    <col min="1365" max="1365" width="27.140625" style="750" bestFit="1" customWidth="1"/>
    <col min="1366" max="1366" width="24.85546875" style="750" bestFit="1" customWidth="1"/>
    <col min="1367" max="1367" width="23.42578125" style="750" bestFit="1" customWidth="1"/>
    <col min="1368" max="1368" width="26.5703125" style="750" customWidth="1"/>
    <col min="1369" max="1369" width="24.28515625" style="750" customWidth="1"/>
    <col min="1370" max="1370" width="28.28515625" style="750" bestFit="1" customWidth="1"/>
    <col min="1371" max="1371" width="8.85546875" style="750"/>
    <col min="1372" max="1372" width="16" style="750" customWidth="1"/>
    <col min="1373" max="1613" width="8.85546875" style="750"/>
    <col min="1614" max="1614" width="69.42578125" style="750" customWidth="1"/>
    <col min="1615" max="1615" width="29.140625" style="750" customWidth="1"/>
    <col min="1616" max="1616" width="28.140625" style="750" customWidth="1"/>
    <col min="1617" max="1617" width="31.42578125" style="750" customWidth="1"/>
    <col min="1618" max="1618" width="26.42578125" style="750" customWidth="1"/>
    <col min="1619" max="1619" width="28.85546875" style="750" customWidth="1"/>
    <col min="1620" max="1620" width="23.5703125" style="750" customWidth="1"/>
    <col min="1621" max="1621" width="27.140625" style="750" bestFit="1" customWidth="1"/>
    <col min="1622" max="1622" width="24.85546875" style="750" bestFit="1" customWidth="1"/>
    <col min="1623" max="1623" width="23.42578125" style="750" bestFit="1" customWidth="1"/>
    <col min="1624" max="1624" width="26.5703125" style="750" customWidth="1"/>
    <col min="1625" max="1625" width="24.28515625" style="750" customWidth="1"/>
    <col min="1626" max="1626" width="28.28515625" style="750" bestFit="1" customWidth="1"/>
    <col min="1627" max="1627" width="8.85546875" style="750"/>
    <col min="1628" max="1628" width="16" style="750" customWidth="1"/>
    <col min="1629" max="1869" width="8.85546875" style="750"/>
    <col min="1870" max="1870" width="69.42578125" style="750" customWidth="1"/>
    <col min="1871" max="1871" width="29.140625" style="750" customWidth="1"/>
    <col min="1872" max="1872" width="28.140625" style="750" customWidth="1"/>
    <col min="1873" max="1873" width="31.42578125" style="750" customWidth="1"/>
    <col min="1874" max="1874" width="26.42578125" style="750" customWidth="1"/>
    <col min="1875" max="1875" width="28.85546875" style="750" customWidth="1"/>
    <col min="1876" max="1876" width="23.5703125" style="750" customWidth="1"/>
    <col min="1877" max="1877" width="27.140625" style="750" bestFit="1" customWidth="1"/>
    <col min="1878" max="1878" width="24.85546875" style="750" bestFit="1" customWidth="1"/>
    <col min="1879" max="1879" width="23.42578125" style="750" bestFit="1" customWidth="1"/>
    <col min="1880" max="1880" width="26.5703125" style="750" customWidth="1"/>
    <col min="1881" max="1881" width="24.28515625" style="750" customWidth="1"/>
    <col min="1882" max="1882" width="28.28515625" style="750" bestFit="1" customWidth="1"/>
    <col min="1883" max="1883" width="8.85546875" style="750"/>
    <col min="1884" max="1884" width="16" style="750" customWidth="1"/>
    <col min="1885" max="2125" width="8.85546875" style="750"/>
    <col min="2126" max="2126" width="69.42578125" style="750" customWidth="1"/>
    <col min="2127" max="2127" width="29.140625" style="750" customWidth="1"/>
    <col min="2128" max="2128" width="28.140625" style="750" customWidth="1"/>
    <col min="2129" max="2129" width="31.42578125" style="750" customWidth="1"/>
    <col min="2130" max="2130" width="26.42578125" style="750" customWidth="1"/>
    <col min="2131" max="2131" width="28.85546875" style="750" customWidth="1"/>
    <col min="2132" max="2132" width="23.5703125" style="750" customWidth="1"/>
    <col min="2133" max="2133" width="27.140625" style="750" bestFit="1" customWidth="1"/>
    <col min="2134" max="2134" width="24.85546875" style="750" bestFit="1" customWidth="1"/>
    <col min="2135" max="2135" width="23.42578125" style="750" bestFit="1" customWidth="1"/>
    <col min="2136" max="2136" width="26.5703125" style="750" customWidth="1"/>
    <col min="2137" max="2137" width="24.28515625" style="750" customWidth="1"/>
    <col min="2138" max="2138" width="28.28515625" style="750" bestFit="1" customWidth="1"/>
    <col min="2139" max="2139" width="8.85546875" style="750"/>
    <col min="2140" max="2140" width="16" style="750" customWidth="1"/>
    <col min="2141" max="2381" width="8.85546875" style="750"/>
    <col min="2382" max="2382" width="69.42578125" style="750" customWidth="1"/>
    <col min="2383" max="2383" width="29.140625" style="750" customWidth="1"/>
    <col min="2384" max="2384" width="28.140625" style="750" customWidth="1"/>
    <col min="2385" max="2385" width="31.42578125" style="750" customWidth="1"/>
    <col min="2386" max="2386" width="26.42578125" style="750" customWidth="1"/>
    <col min="2387" max="2387" width="28.85546875" style="750" customWidth="1"/>
    <col min="2388" max="2388" width="23.5703125" style="750" customWidth="1"/>
    <col min="2389" max="2389" width="27.140625" style="750" bestFit="1" customWidth="1"/>
    <col min="2390" max="2390" width="24.85546875" style="750" bestFit="1" customWidth="1"/>
    <col min="2391" max="2391" width="23.42578125" style="750" bestFit="1" customWidth="1"/>
    <col min="2392" max="2392" width="26.5703125" style="750" customWidth="1"/>
    <col min="2393" max="2393" width="24.28515625" style="750" customWidth="1"/>
    <col min="2394" max="2394" width="28.28515625" style="750" bestFit="1" customWidth="1"/>
    <col min="2395" max="2395" width="8.85546875" style="750"/>
    <col min="2396" max="2396" width="16" style="750" customWidth="1"/>
    <col min="2397" max="2637" width="8.85546875" style="750"/>
    <col min="2638" max="2638" width="69.42578125" style="750" customWidth="1"/>
    <col min="2639" max="2639" width="29.140625" style="750" customWidth="1"/>
    <col min="2640" max="2640" width="28.140625" style="750" customWidth="1"/>
    <col min="2641" max="2641" width="31.42578125" style="750" customWidth="1"/>
    <col min="2642" max="2642" width="26.42578125" style="750" customWidth="1"/>
    <col min="2643" max="2643" width="28.85546875" style="750" customWidth="1"/>
    <col min="2644" max="2644" width="23.5703125" style="750" customWidth="1"/>
    <col min="2645" max="2645" width="27.140625" style="750" bestFit="1" customWidth="1"/>
    <col min="2646" max="2646" width="24.85546875" style="750" bestFit="1" customWidth="1"/>
    <col min="2647" max="2647" width="23.42578125" style="750" bestFit="1" customWidth="1"/>
    <col min="2648" max="2648" width="26.5703125" style="750" customWidth="1"/>
    <col min="2649" max="2649" width="24.28515625" style="750" customWidth="1"/>
    <col min="2650" max="2650" width="28.28515625" style="750" bestFit="1" customWidth="1"/>
    <col min="2651" max="2651" width="8.85546875" style="750"/>
    <col min="2652" max="2652" width="16" style="750" customWidth="1"/>
    <col min="2653" max="2893" width="8.85546875" style="750"/>
    <col min="2894" max="2894" width="69.42578125" style="750" customWidth="1"/>
    <col min="2895" max="2895" width="29.140625" style="750" customWidth="1"/>
    <col min="2896" max="2896" width="28.140625" style="750" customWidth="1"/>
    <col min="2897" max="2897" width="31.42578125" style="750" customWidth="1"/>
    <col min="2898" max="2898" width="26.42578125" style="750" customWidth="1"/>
    <col min="2899" max="2899" width="28.85546875" style="750" customWidth="1"/>
    <col min="2900" max="2900" width="23.5703125" style="750" customWidth="1"/>
    <col min="2901" max="2901" width="27.140625" style="750" bestFit="1" customWidth="1"/>
    <col min="2902" max="2902" width="24.85546875" style="750" bestFit="1" customWidth="1"/>
    <col min="2903" max="2903" width="23.42578125" style="750" bestFit="1" customWidth="1"/>
    <col min="2904" max="2904" width="26.5703125" style="750" customWidth="1"/>
    <col min="2905" max="2905" width="24.28515625" style="750" customWidth="1"/>
    <col min="2906" max="2906" width="28.28515625" style="750" bestFit="1" customWidth="1"/>
    <col min="2907" max="2907" width="8.85546875" style="750"/>
    <col min="2908" max="2908" width="16" style="750" customWidth="1"/>
    <col min="2909" max="3149" width="8.85546875" style="750"/>
    <col min="3150" max="3150" width="69.42578125" style="750" customWidth="1"/>
    <col min="3151" max="3151" width="29.140625" style="750" customWidth="1"/>
    <col min="3152" max="3152" width="28.140625" style="750" customWidth="1"/>
    <col min="3153" max="3153" width="31.42578125" style="750" customWidth="1"/>
    <col min="3154" max="3154" width="26.42578125" style="750" customWidth="1"/>
    <col min="3155" max="3155" width="28.85546875" style="750" customWidth="1"/>
    <col min="3156" max="3156" width="23.5703125" style="750" customWidth="1"/>
    <col min="3157" max="3157" width="27.140625" style="750" bestFit="1" customWidth="1"/>
    <col min="3158" max="3158" width="24.85546875" style="750" bestFit="1" customWidth="1"/>
    <col min="3159" max="3159" width="23.42578125" style="750" bestFit="1" customWidth="1"/>
    <col min="3160" max="3160" width="26.5703125" style="750" customWidth="1"/>
    <col min="3161" max="3161" width="24.28515625" style="750" customWidth="1"/>
    <col min="3162" max="3162" width="28.28515625" style="750" bestFit="1" customWidth="1"/>
    <col min="3163" max="3163" width="8.85546875" style="750"/>
    <col min="3164" max="3164" width="16" style="750" customWidth="1"/>
    <col min="3165" max="3405" width="8.85546875" style="750"/>
    <col min="3406" max="3406" width="69.42578125" style="750" customWidth="1"/>
    <col min="3407" max="3407" width="29.140625" style="750" customWidth="1"/>
    <col min="3408" max="3408" width="28.140625" style="750" customWidth="1"/>
    <col min="3409" max="3409" width="31.42578125" style="750" customWidth="1"/>
    <col min="3410" max="3410" width="26.42578125" style="750" customWidth="1"/>
    <col min="3411" max="3411" width="28.85546875" style="750" customWidth="1"/>
    <col min="3412" max="3412" width="23.5703125" style="750" customWidth="1"/>
    <col min="3413" max="3413" width="27.140625" style="750" bestFit="1" customWidth="1"/>
    <col min="3414" max="3414" width="24.85546875" style="750" bestFit="1" customWidth="1"/>
    <col min="3415" max="3415" width="23.42578125" style="750" bestFit="1" customWidth="1"/>
    <col min="3416" max="3416" width="26.5703125" style="750" customWidth="1"/>
    <col min="3417" max="3417" width="24.28515625" style="750" customWidth="1"/>
    <col min="3418" max="3418" width="28.28515625" style="750" bestFit="1" customWidth="1"/>
    <col min="3419" max="3419" width="8.85546875" style="750"/>
    <col min="3420" max="3420" width="16" style="750" customWidth="1"/>
    <col min="3421" max="3661" width="8.85546875" style="750"/>
    <col min="3662" max="3662" width="69.42578125" style="750" customWidth="1"/>
    <col min="3663" max="3663" width="29.140625" style="750" customWidth="1"/>
    <col min="3664" max="3664" width="28.140625" style="750" customWidth="1"/>
    <col min="3665" max="3665" width="31.42578125" style="750" customWidth="1"/>
    <col min="3666" max="3666" width="26.42578125" style="750" customWidth="1"/>
    <col min="3667" max="3667" width="28.85546875" style="750" customWidth="1"/>
    <col min="3668" max="3668" width="23.5703125" style="750" customWidth="1"/>
    <col min="3669" max="3669" width="27.140625" style="750" bestFit="1" customWidth="1"/>
    <col min="3670" max="3670" width="24.85546875" style="750" bestFit="1" customWidth="1"/>
    <col min="3671" max="3671" width="23.42578125" style="750" bestFit="1" customWidth="1"/>
    <col min="3672" max="3672" width="26.5703125" style="750" customWidth="1"/>
    <col min="3673" max="3673" width="24.28515625" style="750" customWidth="1"/>
    <col min="3674" max="3674" width="28.28515625" style="750" bestFit="1" customWidth="1"/>
    <col min="3675" max="3675" width="8.85546875" style="750"/>
    <col min="3676" max="3676" width="16" style="750" customWidth="1"/>
    <col min="3677" max="3917" width="8.85546875" style="750"/>
    <col min="3918" max="3918" width="69.42578125" style="750" customWidth="1"/>
    <col min="3919" max="3919" width="29.140625" style="750" customWidth="1"/>
    <col min="3920" max="3920" width="28.140625" style="750" customWidth="1"/>
    <col min="3921" max="3921" width="31.42578125" style="750" customWidth="1"/>
    <col min="3922" max="3922" width="26.42578125" style="750" customWidth="1"/>
    <col min="3923" max="3923" width="28.85546875" style="750" customWidth="1"/>
    <col min="3924" max="3924" width="23.5703125" style="750" customWidth="1"/>
    <col min="3925" max="3925" width="27.140625" style="750" bestFit="1" customWidth="1"/>
    <col min="3926" max="3926" width="24.85546875" style="750" bestFit="1" customWidth="1"/>
    <col min="3927" max="3927" width="23.42578125" style="750" bestFit="1" customWidth="1"/>
    <col min="3928" max="3928" width="26.5703125" style="750" customWidth="1"/>
    <col min="3929" max="3929" width="24.28515625" style="750" customWidth="1"/>
    <col min="3930" max="3930" width="28.28515625" style="750" bestFit="1" customWidth="1"/>
    <col min="3931" max="3931" width="8.85546875" style="750"/>
    <col min="3932" max="3932" width="16" style="750" customWidth="1"/>
    <col min="3933" max="4173" width="8.85546875" style="750"/>
    <col min="4174" max="4174" width="69.42578125" style="750" customWidth="1"/>
    <col min="4175" max="4175" width="29.140625" style="750" customWidth="1"/>
    <col min="4176" max="4176" width="28.140625" style="750" customWidth="1"/>
    <col min="4177" max="4177" width="31.42578125" style="750" customWidth="1"/>
    <col min="4178" max="4178" width="26.42578125" style="750" customWidth="1"/>
    <col min="4179" max="4179" width="28.85546875" style="750" customWidth="1"/>
    <col min="4180" max="4180" width="23.5703125" style="750" customWidth="1"/>
    <col min="4181" max="4181" width="27.140625" style="750" bestFit="1" customWidth="1"/>
    <col min="4182" max="4182" width="24.85546875" style="750" bestFit="1" customWidth="1"/>
    <col min="4183" max="4183" width="23.42578125" style="750" bestFit="1" customWidth="1"/>
    <col min="4184" max="4184" width="26.5703125" style="750" customWidth="1"/>
    <col min="4185" max="4185" width="24.28515625" style="750" customWidth="1"/>
    <col min="4186" max="4186" width="28.28515625" style="750" bestFit="1" customWidth="1"/>
    <col min="4187" max="4187" width="8.85546875" style="750"/>
    <col min="4188" max="4188" width="16" style="750" customWidth="1"/>
    <col min="4189" max="4429" width="8.85546875" style="750"/>
    <col min="4430" max="4430" width="69.42578125" style="750" customWidth="1"/>
    <col min="4431" max="4431" width="29.140625" style="750" customWidth="1"/>
    <col min="4432" max="4432" width="28.140625" style="750" customWidth="1"/>
    <col min="4433" max="4433" width="31.42578125" style="750" customWidth="1"/>
    <col min="4434" max="4434" width="26.42578125" style="750" customWidth="1"/>
    <col min="4435" max="4435" width="28.85546875" style="750" customWidth="1"/>
    <col min="4436" max="4436" width="23.5703125" style="750" customWidth="1"/>
    <col min="4437" max="4437" width="27.140625" style="750" bestFit="1" customWidth="1"/>
    <col min="4438" max="4438" width="24.85546875" style="750" bestFit="1" customWidth="1"/>
    <col min="4439" max="4439" width="23.42578125" style="750" bestFit="1" customWidth="1"/>
    <col min="4440" max="4440" width="26.5703125" style="750" customWidth="1"/>
    <col min="4441" max="4441" width="24.28515625" style="750" customWidth="1"/>
    <col min="4442" max="4442" width="28.28515625" style="750" bestFit="1" customWidth="1"/>
    <col min="4443" max="4443" width="8.85546875" style="750"/>
    <col min="4444" max="4444" width="16" style="750" customWidth="1"/>
    <col min="4445" max="4685" width="8.85546875" style="750"/>
    <col min="4686" max="4686" width="69.42578125" style="750" customWidth="1"/>
    <col min="4687" max="4687" width="29.140625" style="750" customWidth="1"/>
    <col min="4688" max="4688" width="28.140625" style="750" customWidth="1"/>
    <col min="4689" max="4689" width="31.42578125" style="750" customWidth="1"/>
    <col min="4690" max="4690" width="26.42578125" style="750" customWidth="1"/>
    <col min="4691" max="4691" width="28.85546875" style="750" customWidth="1"/>
    <col min="4692" max="4692" width="23.5703125" style="750" customWidth="1"/>
    <col min="4693" max="4693" width="27.140625" style="750" bestFit="1" customWidth="1"/>
    <col min="4694" max="4694" width="24.85546875" style="750" bestFit="1" customWidth="1"/>
    <col min="4695" max="4695" width="23.42578125" style="750" bestFit="1" customWidth="1"/>
    <col min="4696" max="4696" width="26.5703125" style="750" customWidth="1"/>
    <col min="4697" max="4697" width="24.28515625" style="750" customWidth="1"/>
    <col min="4698" max="4698" width="28.28515625" style="750" bestFit="1" customWidth="1"/>
    <col min="4699" max="4699" width="8.85546875" style="750"/>
    <col min="4700" max="4700" width="16" style="750" customWidth="1"/>
    <col min="4701" max="4941" width="8.85546875" style="750"/>
    <col min="4942" max="4942" width="69.42578125" style="750" customWidth="1"/>
    <col min="4943" max="4943" width="29.140625" style="750" customWidth="1"/>
    <col min="4944" max="4944" width="28.140625" style="750" customWidth="1"/>
    <col min="4945" max="4945" width="31.42578125" style="750" customWidth="1"/>
    <col min="4946" max="4946" width="26.42578125" style="750" customWidth="1"/>
    <col min="4947" max="4947" width="28.85546875" style="750" customWidth="1"/>
    <col min="4948" max="4948" width="23.5703125" style="750" customWidth="1"/>
    <col min="4949" max="4949" width="27.140625" style="750" bestFit="1" customWidth="1"/>
    <col min="4950" max="4950" width="24.85546875" style="750" bestFit="1" customWidth="1"/>
    <col min="4951" max="4951" width="23.42578125" style="750" bestFit="1" customWidth="1"/>
    <col min="4952" max="4952" width="26.5703125" style="750" customWidth="1"/>
    <col min="4953" max="4953" width="24.28515625" style="750" customWidth="1"/>
    <col min="4954" max="4954" width="28.28515625" style="750" bestFit="1" customWidth="1"/>
    <col min="4955" max="4955" width="8.85546875" style="750"/>
    <col min="4956" max="4956" width="16" style="750" customWidth="1"/>
    <col min="4957" max="5197" width="8.85546875" style="750"/>
    <col min="5198" max="5198" width="69.42578125" style="750" customWidth="1"/>
    <col min="5199" max="5199" width="29.140625" style="750" customWidth="1"/>
    <col min="5200" max="5200" width="28.140625" style="750" customWidth="1"/>
    <col min="5201" max="5201" width="31.42578125" style="750" customWidth="1"/>
    <col min="5202" max="5202" width="26.42578125" style="750" customWidth="1"/>
    <col min="5203" max="5203" width="28.85546875" style="750" customWidth="1"/>
    <col min="5204" max="5204" width="23.5703125" style="750" customWidth="1"/>
    <col min="5205" max="5205" width="27.140625" style="750" bestFit="1" customWidth="1"/>
    <col min="5206" max="5206" width="24.85546875" style="750" bestFit="1" customWidth="1"/>
    <col min="5207" max="5207" width="23.42578125" style="750" bestFit="1" customWidth="1"/>
    <col min="5208" max="5208" width="26.5703125" style="750" customWidth="1"/>
    <col min="5209" max="5209" width="24.28515625" style="750" customWidth="1"/>
    <col min="5210" max="5210" width="28.28515625" style="750" bestFit="1" customWidth="1"/>
    <col min="5211" max="5211" width="8.85546875" style="750"/>
    <col min="5212" max="5212" width="16" style="750" customWidth="1"/>
    <col min="5213" max="5453" width="8.85546875" style="750"/>
    <col min="5454" max="5454" width="69.42578125" style="750" customWidth="1"/>
    <col min="5455" max="5455" width="29.140625" style="750" customWidth="1"/>
    <col min="5456" max="5456" width="28.140625" style="750" customWidth="1"/>
    <col min="5457" max="5457" width="31.42578125" style="750" customWidth="1"/>
    <col min="5458" max="5458" width="26.42578125" style="750" customWidth="1"/>
    <col min="5459" max="5459" width="28.85546875" style="750" customWidth="1"/>
    <col min="5460" max="5460" width="23.5703125" style="750" customWidth="1"/>
    <col min="5461" max="5461" width="27.140625" style="750" bestFit="1" customWidth="1"/>
    <col min="5462" max="5462" width="24.85546875" style="750" bestFit="1" customWidth="1"/>
    <col min="5463" max="5463" width="23.42578125" style="750" bestFit="1" customWidth="1"/>
    <col min="5464" max="5464" width="26.5703125" style="750" customWidth="1"/>
    <col min="5465" max="5465" width="24.28515625" style="750" customWidth="1"/>
    <col min="5466" max="5466" width="28.28515625" style="750" bestFit="1" customWidth="1"/>
    <col min="5467" max="5467" width="8.85546875" style="750"/>
    <col min="5468" max="5468" width="16" style="750" customWidth="1"/>
    <col min="5469" max="5709" width="8.85546875" style="750"/>
    <col min="5710" max="5710" width="69.42578125" style="750" customWidth="1"/>
    <col min="5711" max="5711" width="29.140625" style="750" customWidth="1"/>
    <col min="5712" max="5712" width="28.140625" style="750" customWidth="1"/>
    <col min="5713" max="5713" width="31.42578125" style="750" customWidth="1"/>
    <col min="5714" max="5714" width="26.42578125" style="750" customWidth="1"/>
    <col min="5715" max="5715" width="28.85546875" style="750" customWidth="1"/>
    <col min="5716" max="5716" width="23.5703125" style="750" customWidth="1"/>
    <col min="5717" max="5717" width="27.140625" style="750" bestFit="1" customWidth="1"/>
    <col min="5718" max="5718" width="24.85546875" style="750" bestFit="1" customWidth="1"/>
    <col min="5719" max="5719" width="23.42578125" style="750" bestFit="1" customWidth="1"/>
    <col min="5720" max="5720" width="26.5703125" style="750" customWidth="1"/>
    <col min="5721" max="5721" width="24.28515625" style="750" customWidth="1"/>
    <col min="5722" max="5722" width="28.28515625" style="750" bestFit="1" customWidth="1"/>
    <col min="5723" max="5723" width="8.85546875" style="750"/>
    <col min="5724" max="5724" width="16" style="750" customWidth="1"/>
    <col min="5725" max="5965" width="8.85546875" style="750"/>
    <col min="5966" max="5966" width="69.42578125" style="750" customWidth="1"/>
    <col min="5967" max="5967" width="29.140625" style="750" customWidth="1"/>
    <col min="5968" max="5968" width="28.140625" style="750" customWidth="1"/>
    <col min="5969" max="5969" width="31.42578125" style="750" customWidth="1"/>
    <col min="5970" max="5970" width="26.42578125" style="750" customWidth="1"/>
    <col min="5971" max="5971" width="28.85546875" style="750" customWidth="1"/>
    <col min="5972" max="5972" width="23.5703125" style="750" customWidth="1"/>
    <col min="5973" max="5973" width="27.140625" style="750" bestFit="1" customWidth="1"/>
    <col min="5974" max="5974" width="24.85546875" style="750" bestFit="1" customWidth="1"/>
    <col min="5975" max="5975" width="23.42578125" style="750" bestFit="1" customWidth="1"/>
    <col min="5976" max="5976" width="26.5703125" style="750" customWidth="1"/>
    <col min="5977" max="5977" width="24.28515625" style="750" customWidth="1"/>
    <col min="5978" max="5978" width="28.28515625" style="750" bestFit="1" customWidth="1"/>
    <col min="5979" max="5979" width="8.85546875" style="750"/>
    <col min="5980" max="5980" width="16" style="750" customWidth="1"/>
    <col min="5981" max="6221" width="8.85546875" style="750"/>
    <col min="6222" max="6222" width="69.42578125" style="750" customWidth="1"/>
    <col min="6223" max="6223" width="29.140625" style="750" customWidth="1"/>
    <col min="6224" max="6224" width="28.140625" style="750" customWidth="1"/>
    <col min="6225" max="6225" width="31.42578125" style="750" customWidth="1"/>
    <col min="6226" max="6226" width="26.42578125" style="750" customWidth="1"/>
    <col min="6227" max="6227" width="28.85546875" style="750" customWidth="1"/>
    <col min="6228" max="6228" width="23.5703125" style="750" customWidth="1"/>
    <col min="6229" max="6229" width="27.140625" style="750" bestFit="1" customWidth="1"/>
    <col min="6230" max="6230" width="24.85546875" style="750" bestFit="1" customWidth="1"/>
    <col min="6231" max="6231" width="23.42578125" style="750" bestFit="1" customWidth="1"/>
    <col min="6232" max="6232" width="26.5703125" style="750" customWidth="1"/>
    <col min="6233" max="6233" width="24.28515625" style="750" customWidth="1"/>
    <col min="6234" max="6234" width="28.28515625" style="750" bestFit="1" customWidth="1"/>
    <col min="6235" max="6235" width="8.85546875" style="750"/>
    <col min="6236" max="6236" width="16" style="750" customWidth="1"/>
    <col min="6237" max="6477" width="8.85546875" style="750"/>
    <col min="6478" max="6478" width="69.42578125" style="750" customWidth="1"/>
    <col min="6479" max="6479" width="29.140625" style="750" customWidth="1"/>
    <col min="6480" max="6480" width="28.140625" style="750" customWidth="1"/>
    <col min="6481" max="6481" width="31.42578125" style="750" customWidth="1"/>
    <col min="6482" max="6482" width="26.42578125" style="750" customWidth="1"/>
    <col min="6483" max="6483" width="28.85546875" style="750" customWidth="1"/>
    <col min="6484" max="6484" width="23.5703125" style="750" customWidth="1"/>
    <col min="6485" max="6485" width="27.140625" style="750" bestFit="1" customWidth="1"/>
    <col min="6486" max="6486" width="24.85546875" style="750" bestFit="1" customWidth="1"/>
    <col min="6487" max="6487" width="23.42578125" style="750" bestFit="1" customWidth="1"/>
    <col min="6488" max="6488" width="26.5703125" style="750" customWidth="1"/>
    <col min="6489" max="6489" width="24.28515625" style="750" customWidth="1"/>
    <col min="6490" max="6490" width="28.28515625" style="750" bestFit="1" customWidth="1"/>
    <col min="6491" max="6491" width="8.85546875" style="750"/>
    <col min="6492" max="6492" width="16" style="750" customWidth="1"/>
    <col min="6493" max="6733" width="8.85546875" style="750"/>
    <col min="6734" max="6734" width="69.42578125" style="750" customWidth="1"/>
    <col min="6735" max="6735" width="29.140625" style="750" customWidth="1"/>
    <col min="6736" max="6736" width="28.140625" style="750" customWidth="1"/>
    <col min="6737" max="6737" width="31.42578125" style="750" customWidth="1"/>
    <col min="6738" max="6738" width="26.42578125" style="750" customWidth="1"/>
    <col min="6739" max="6739" width="28.85546875" style="750" customWidth="1"/>
    <col min="6740" max="6740" width="23.5703125" style="750" customWidth="1"/>
    <col min="6741" max="6741" width="27.140625" style="750" bestFit="1" customWidth="1"/>
    <col min="6742" max="6742" width="24.85546875" style="750" bestFit="1" customWidth="1"/>
    <col min="6743" max="6743" width="23.42578125" style="750" bestFit="1" customWidth="1"/>
    <col min="6744" max="6744" width="26.5703125" style="750" customWidth="1"/>
    <col min="6745" max="6745" width="24.28515625" style="750" customWidth="1"/>
    <col min="6746" max="6746" width="28.28515625" style="750" bestFit="1" customWidth="1"/>
    <col min="6747" max="6747" width="8.85546875" style="750"/>
    <col min="6748" max="6748" width="16" style="750" customWidth="1"/>
    <col min="6749" max="6989" width="8.85546875" style="750"/>
    <col min="6990" max="6990" width="69.42578125" style="750" customWidth="1"/>
    <col min="6991" max="6991" width="29.140625" style="750" customWidth="1"/>
    <col min="6992" max="6992" width="28.140625" style="750" customWidth="1"/>
    <col min="6993" max="6993" width="31.42578125" style="750" customWidth="1"/>
    <col min="6994" max="6994" width="26.42578125" style="750" customWidth="1"/>
    <col min="6995" max="6995" width="28.85546875" style="750" customWidth="1"/>
    <col min="6996" max="6996" width="23.5703125" style="750" customWidth="1"/>
    <col min="6997" max="6997" width="27.140625" style="750" bestFit="1" customWidth="1"/>
    <col min="6998" max="6998" width="24.85546875" style="750" bestFit="1" customWidth="1"/>
    <col min="6999" max="6999" width="23.42578125" style="750" bestFit="1" customWidth="1"/>
    <col min="7000" max="7000" width="26.5703125" style="750" customWidth="1"/>
    <col min="7001" max="7001" width="24.28515625" style="750" customWidth="1"/>
    <col min="7002" max="7002" width="28.28515625" style="750" bestFit="1" customWidth="1"/>
    <col min="7003" max="7003" width="8.85546875" style="750"/>
    <col min="7004" max="7004" width="16" style="750" customWidth="1"/>
    <col min="7005" max="7245" width="8.85546875" style="750"/>
    <col min="7246" max="7246" width="69.42578125" style="750" customWidth="1"/>
    <col min="7247" max="7247" width="29.140625" style="750" customWidth="1"/>
    <col min="7248" max="7248" width="28.140625" style="750" customWidth="1"/>
    <col min="7249" max="7249" width="31.42578125" style="750" customWidth="1"/>
    <col min="7250" max="7250" width="26.42578125" style="750" customWidth="1"/>
    <col min="7251" max="7251" width="28.85546875" style="750" customWidth="1"/>
    <col min="7252" max="7252" width="23.5703125" style="750" customWidth="1"/>
    <col min="7253" max="7253" width="27.140625" style="750" bestFit="1" customWidth="1"/>
    <col min="7254" max="7254" width="24.85546875" style="750" bestFit="1" customWidth="1"/>
    <col min="7255" max="7255" width="23.42578125" style="750" bestFit="1" customWidth="1"/>
    <col min="7256" max="7256" width="26.5703125" style="750" customWidth="1"/>
    <col min="7257" max="7257" width="24.28515625" style="750" customWidth="1"/>
    <col min="7258" max="7258" width="28.28515625" style="750" bestFit="1" customWidth="1"/>
    <col min="7259" max="7259" width="8.85546875" style="750"/>
    <col min="7260" max="7260" width="16" style="750" customWidth="1"/>
    <col min="7261" max="7501" width="8.85546875" style="750"/>
    <col min="7502" max="7502" width="69.42578125" style="750" customWidth="1"/>
    <col min="7503" max="7503" width="29.140625" style="750" customWidth="1"/>
    <col min="7504" max="7504" width="28.140625" style="750" customWidth="1"/>
    <col min="7505" max="7505" width="31.42578125" style="750" customWidth="1"/>
    <col min="7506" max="7506" width="26.42578125" style="750" customWidth="1"/>
    <col min="7507" max="7507" width="28.85546875" style="750" customWidth="1"/>
    <col min="7508" max="7508" width="23.5703125" style="750" customWidth="1"/>
    <col min="7509" max="7509" width="27.140625" style="750" bestFit="1" customWidth="1"/>
    <col min="7510" max="7510" width="24.85546875" style="750" bestFit="1" customWidth="1"/>
    <col min="7511" max="7511" width="23.42578125" style="750" bestFit="1" customWidth="1"/>
    <col min="7512" max="7512" width="26.5703125" style="750" customWidth="1"/>
    <col min="7513" max="7513" width="24.28515625" style="750" customWidth="1"/>
    <col min="7514" max="7514" width="28.28515625" style="750" bestFit="1" customWidth="1"/>
    <col min="7515" max="7515" width="8.85546875" style="750"/>
    <col min="7516" max="7516" width="16" style="750" customWidth="1"/>
    <col min="7517" max="7757" width="8.85546875" style="750"/>
    <col min="7758" max="7758" width="69.42578125" style="750" customWidth="1"/>
    <col min="7759" max="7759" width="29.140625" style="750" customWidth="1"/>
    <col min="7760" max="7760" width="28.140625" style="750" customWidth="1"/>
    <col min="7761" max="7761" width="31.42578125" style="750" customWidth="1"/>
    <col min="7762" max="7762" width="26.42578125" style="750" customWidth="1"/>
    <col min="7763" max="7763" width="28.85546875" style="750" customWidth="1"/>
    <col min="7764" max="7764" width="23.5703125" style="750" customWidth="1"/>
    <col min="7765" max="7765" width="27.140625" style="750" bestFit="1" customWidth="1"/>
    <col min="7766" max="7766" width="24.85546875" style="750" bestFit="1" customWidth="1"/>
    <col min="7767" max="7767" width="23.42578125" style="750" bestFit="1" customWidth="1"/>
    <col min="7768" max="7768" width="26.5703125" style="750" customWidth="1"/>
    <col min="7769" max="7769" width="24.28515625" style="750" customWidth="1"/>
    <col min="7770" max="7770" width="28.28515625" style="750" bestFit="1" customWidth="1"/>
    <col min="7771" max="7771" width="8.85546875" style="750"/>
    <col min="7772" max="7772" width="16" style="750" customWidth="1"/>
    <col min="7773" max="8013" width="8.85546875" style="750"/>
    <col min="8014" max="8014" width="69.42578125" style="750" customWidth="1"/>
    <col min="8015" max="8015" width="29.140625" style="750" customWidth="1"/>
    <col min="8016" max="8016" width="28.140625" style="750" customWidth="1"/>
    <col min="8017" max="8017" width="31.42578125" style="750" customWidth="1"/>
    <col min="8018" max="8018" width="26.42578125" style="750" customWidth="1"/>
    <col min="8019" max="8019" width="28.85546875" style="750" customWidth="1"/>
    <col min="8020" max="8020" width="23.5703125" style="750" customWidth="1"/>
    <col min="8021" max="8021" width="27.140625" style="750" bestFit="1" customWidth="1"/>
    <col min="8022" max="8022" width="24.85546875" style="750" bestFit="1" customWidth="1"/>
    <col min="8023" max="8023" width="23.42578125" style="750" bestFit="1" customWidth="1"/>
    <col min="8024" max="8024" width="26.5703125" style="750" customWidth="1"/>
    <col min="8025" max="8025" width="24.28515625" style="750" customWidth="1"/>
    <col min="8026" max="8026" width="28.28515625" style="750" bestFit="1" customWidth="1"/>
    <col min="8027" max="8027" width="8.85546875" style="750"/>
    <col min="8028" max="8028" width="16" style="750" customWidth="1"/>
    <col min="8029" max="8269" width="8.85546875" style="750"/>
    <col min="8270" max="8270" width="69.42578125" style="750" customWidth="1"/>
    <col min="8271" max="8271" width="29.140625" style="750" customWidth="1"/>
    <col min="8272" max="8272" width="28.140625" style="750" customWidth="1"/>
    <col min="8273" max="8273" width="31.42578125" style="750" customWidth="1"/>
    <col min="8274" max="8274" width="26.42578125" style="750" customWidth="1"/>
    <col min="8275" max="8275" width="28.85546875" style="750" customWidth="1"/>
    <col min="8276" max="8276" width="23.5703125" style="750" customWidth="1"/>
    <col min="8277" max="8277" width="27.140625" style="750" bestFit="1" customWidth="1"/>
    <col min="8278" max="8278" width="24.85546875" style="750" bestFit="1" customWidth="1"/>
    <col min="8279" max="8279" width="23.42578125" style="750" bestFit="1" customWidth="1"/>
    <col min="8280" max="8280" width="26.5703125" style="750" customWidth="1"/>
    <col min="8281" max="8281" width="24.28515625" style="750" customWidth="1"/>
    <col min="8282" max="8282" width="28.28515625" style="750" bestFit="1" customWidth="1"/>
    <col min="8283" max="8283" width="8.85546875" style="750"/>
    <col min="8284" max="8284" width="16" style="750" customWidth="1"/>
    <col min="8285" max="8525" width="8.85546875" style="750"/>
    <col min="8526" max="8526" width="69.42578125" style="750" customWidth="1"/>
    <col min="8527" max="8527" width="29.140625" style="750" customWidth="1"/>
    <col min="8528" max="8528" width="28.140625" style="750" customWidth="1"/>
    <col min="8529" max="8529" width="31.42578125" style="750" customWidth="1"/>
    <col min="8530" max="8530" width="26.42578125" style="750" customWidth="1"/>
    <col min="8531" max="8531" width="28.85546875" style="750" customWidth="1"/>
    <col min="8532" max="8532" width="23.5703125" style="750" customWidth="1"/>
    <col min="8533" max="8533" width="27.140625" style="750" bestFit="1" customWidth="1"/>
    <col min="8534" max="8534" width="24.85546875" style="750" bestFit="1" customWidth="1"/>
    <col min="8535" max="8535" width="23.42578125" style="750" bestFit="1" customWidth="1"/>
    <col min="8536" max="8536" width="26.5703125" style="750" customWidth="1"/>
    <col min="8537" max="8537" width="24.28515625" style="750" customWidth="1"/>
    <col min="8538" max="8538" width="28.28515625" style="750" bestFit="1" customWidth="1"/>
    <col min="8539" max="8539" width="8.85546875" style="750"/>
    <col min="8540" max="8540" width="16" style="750" customWidth="1"/>
    <col min="8541" max="8781" width="8.85546875" style="750"/>
    <col min="8782" max="8782" width="69.42578125" style="750" customWidth="1"/>
    <col min="8783" max="8783" width="29.140625" style="750" customWidth="1"/>
    <col min="8784" max="8784" width="28.140625" style="750" customWidth="1"/>
    <col min="8785" max="8785" width="31.42578125" style="750" customWidth="1"/>
    <col min="8786" max="8786" width="26.42578125" style="750" customWidth="1"/>
    <col min="8787" max="8787" width="28.85546875" style="750" customWidth="1"/>
    <col min="8788" max="8788" width="23.5703125" style="750" customWidth="1"/>
    <col min="8789" max="8789" width="27.140625" style="750" bestFit="1" customWidth="1"/>
    <col min="8790" max="8790" width="24.85546875" style="750" bestFit="1" customWidth="1"/>
    <col min="8791" max="8791" width="23.42578125" style="750" bestFit="1" customWidth="1"/>
    <col min="8792" max="8792" width="26.5703125" style="750" customWidth="1"/>
    <col min="8793" max="8793" width="24.28515625" style="750" customWidth="1"/>
    <col min="8794" max="8794" width="28.28515625" style="750" bestFit="1" customWidth="1"/>
    <col min="8795" max="8795" width="8.85546875" style="750"/>
    <col min="8796" max="8796" width="16" style="750" customWidth="1"/>
    <col min="8797" max="9037" width="8.85546875" style="750"/>
    <col min="9038" max="9038" width="69.42578125" style="750" customWidth="1"/>
    <col min="9039" max="9039" width="29.140625" style="750" customWidth="1"/>
    <col min="9040" max="9040" width="28.140625" style="750" customWidth="1"/>
    <col min="9041" max="9041" width="31.42578125" style="750" customWidth="1"/>
    <col min="9042" max="9042" width="26.42578125" style="750" customWidth="1"/>
    <col min="9043" max="9043" width="28.85546875" style="750" customWidth="1"/>
    <col min="9044" max="9044" width="23.5703125" style="750" customWidth="1"/>
    <col min="9045" max="9045" width="27.140625" style="750" bestFit="1" customWidth="1"/>
    <col min="9046" max="9046" width="24.85546875" style="750" bestFit="1" customWidth="1"/>
    <col min="9047" max="9047" width="23.42578125" style="750" bestFit="1" customWidth="1"/>
    <col min="9048" max="9048" width="26.5703125" style="750" customWidth="1"/>
    <col min="9049" max="9049" width="24.28515625" style="750" customWidth="1"/>
    <col min="9050" max="9050" width="28.28515625" style="750" bestFit="1" customWidth="1"/>
    <col min="9051" max="9051" width="8.85546875" style="750"/>
    <col min="9052" max="9052" width="16" style="750" customWidth="1"/>
    <col min="9053" max="9293" width="8.85546875" style="750"/>
    <col min="9294" max="9294" width="69.42578125" style="750" customWidth="1"/>
    <col min="9295" max="9295" width="29.140625" style="750" customWidth="1"/>
    <col min="9296" max="9296" width="28.140625" style="750" customWidth="1"/>
    <col min="9297" max="9297" width="31.42578125" style="750" customWidth="1"/>
    <col min="9298" max="9298" width="26.42578125" style="750" customWidth="1"/>
    <col min="9299" max="9299" width="28.85546875" style="750" customWidth="1"/>
    <col min="9300" max="9300" width="23.5703125" style="750" customWidth="1"/>
    <col min="9301" max="9301" width="27.140625" style="750" bestFit="1" customWidth="1"/>
    <col min="9302" max="9302" width="24.85546875" style="750" bestFit="1" customWidth="1"/>
    <col min="9303" max="9303" width="23.42578125" style="750" bestFit="1" customWidth="1"/>
    <col min="9304" max="9304" width="26.5703125" style="750" customWidth="1"/>
    <col min="9305" max="9305" width="24.28515625" style="750" customWidth="1"/>
    <col min="9306" max="9306" width="28.28515625" style="750" bestFit="1" customWidth="1"/>
    <col min="9307" max="9307" width="8.85546875" style="750"/>
    <col min="9308" max="9308" width="16" style="750" customWidth="1"/>
    <col min="9309" max="9549" width="8.85546875" style="750"/>
    <col min="9550" max="9550" width="69.42578125" style="750" customWidth="1"/>
    <col min="9551" max="9551" width="29.140625" style="750" customWidth="1"/>
    <col min="9552" max="9552" width="28.140625" style="750" customWidth="1"/>
    <col min="9553" max="9553" width="31.42578125" style="750" customWidth="1"/>
    <col min="9554" max="9554" width="26.42578125" style="750" customWidth="1"/>
    <col min="9555" max="9555" width="28.85546875" style="750" customWidth="1"/>
    <col min="9556" max="9556" width="23.5703125" style="750" customWidth="1"/>
    <col min="9557" max="9557" width="27.140625" style="750" bestFit="1" customWidth="1"/>
    <col min="9558" max="9558" width="24.85546875" style="750" bestFit="1" customWidth="1"/>
    <col min="9559" max="9559" width="23.42578125" style="750" bestFit="1" customWidth="1"/>
    <col min="9560" max="9560" width="26.5703125" style="750" customWidth="1"/>
    <col min="9561" max="9561" width="24.28515625" style="750" customWidth="1"/>
    <col min="9562" max="9562" width="28.28515625" style="750" bestFit="1" customWidth="1"/>
    <col min="9563" max="9563" width="8.85546875" style="750"/>
    <col min="9564" max="9564" width="16" style="750" customWidth="1"/>
    <col min="9565" max="9805" width="8.85546875" style="750"/>
    <col min="9806" max="9806" width="69.42578125" style="750" customWidth="1"/>
    <col min="9807" max="9807" width="29.140625" style="750" customWidth="1"/>
    <col min="9808" max="9808" width="28.140625" style="750" customWidth="1"/>
    <col min="9809" max="9809" width="31.42578125" style="750" customWidth="1"/>
    <col min="9810" max="9810" width="26.42578125" style="750" customWidth="1"/>
    <col min="9811" max="9811" width="28.85546875" style="750" customWidth="1"/>
    <col min="9812" max="9812" width="23.5703125" style="750" customWidth="1"/>
    <col min="9813" max="9813" width="27.140625" style="750" bestFit="1" customWidth="1"/>
    <col min="9814" max="9814" width="24.85546875" style="750" bestFit="1" customWidth="1"/>
    <col min="9815" max="9815" width="23.42578125" style="750" bestFit="1" customWidth="1"/>
    <col min="9816" max="9816" width="26.5703125" style="750" customWidth="1"/>
    <col min="9817" max="9817" width="24.28515625" style="750" customWidth="1"/>
    <col min="9818" max="9818" width="28.28515625" style="750" bestFit="1" customWidth="1"/>
    <col min="9819" max="9819" width="8.85546875" style="750"/>
    <col min="9820" max="9820" width="16" style="750" customWidth="1"/>
    <col min="9821" max="10061" width="8.85546875" style="750"/>
    <col min="10062" max="10062" width="69.42578125" style="750" customWidth="1"/>
    <col min="10063" max="10063" width="29.140625" style="750" customWidth="1"/>
    <col min="10064" max="10064" width="28.140625" style="750" customWidth="1"/>
    <col min="10065" max="10065" width="31.42578125" style="750" customWidth="1"/>
    <col min="10066" max="10066" width="26.42578125" style="750" customWidth="1"/>
    <col min="10067" max="10067" width="28.85546875" style="750" customWidth="1"/>
    <col min="10068" max="10068" width="23.5703125" style="750" customWidth="1"/>
    <col min="10069" max="10069" width="27.140625" style="750" bestFit="1" customWidth="1"/>
    <col min="10070" max="10070" width="24.85546875" style="750" bestFit="1" customWidth="1"/>
    <col min="10071" max="10071" width="23.42578125" style="750" bestFit="1" customWidth="1"/>
    <col min="10072" max="10072" width="26.5703125" style="750" customWidth="1"/>
    <col min="10073" max="10073" width="24.28515625" style="750" customWidth="1"/>
    <col min="10074" max="10074" width="28.28515625" style="750" bestFit="1" customWidth="1"/>
    <col min="10075" max="10075" width="8.85546875" style="750"/>
    <col min="10076" max="10076" width="16" style="750" customWidth="1"/>
    <col min="10077" max="10317" width="8.85546875" style="750"/>
    <col min="10318" max="10318" width="69.42578125" style="750" customWidth="1"/>
    <col min="10319" max="10319" width="29.140625" style="750" customWidth="1"/>
    <col min="10320" max="10320" width="28.140625" style="750" customWidth="1"/>
    <col min="10321" max="10321" width="31.42578125" style="750" customWidth="1"/>
    <col min="10322" max="10322" width="26.42578125" style="750" customWidth="1"/>
    <col min="10323" max="10323" width="28.85546875" style="750" customWidth="1"/>
    <col min="10324" max="10324" width="23.5703125" style="750" customWidth="1"/>
    <col min="10325" max="10325" width="27.140625" style="750" bestFit="1" customWidth="1"/>
    <col min="10326" max="10326" width="24.85546875" style="750" bestFit="1" customWidth="1"/>
    <col min="10327" max="10327" width="23.42578125" style="750" bestFit="1" customWidth="1"/>
    <col min="10328" max="10328" width="26.5703125" style="750" customWidth="1"/>
    <col min="10329" max="10329" width="24.28515625" style="750" customWidth="1"/>
    <col min="10330" max="10330" width="28.28515625" style="750" bestFit="1" customWidth="1"/>
    <col min="10331" max="10331" width="8.85546875" style="750"/>
    <col min="10332" max="10332" width="16" style="750" customWidth="1"/>
    <col min="10333" max="10573" width="8.85546875" style="750"/>
    <col min="10574" max="10574" width="69.42578125" style="750" customWidth="1"/>
    <col min="10575" max="10575" width="29.140625" style="750" customWidth="1"/>
    <col min="10576" max="10576" width="28.140625" style="750" customWidth="1"/>
    <col min="10577" max="10577" width="31.42578125" style="750" customWidth="1"/>
    <col min="10578" max="10578" width="26.42578125" style="750" customWidth="1"/>
    <col min="10579" max="10579" width="28.85546875" style="750" customWidth="1"/>
    <col min="10580" max="10580" width="23.5703125" style="750" customWidth="1"/>
    <col min="10581" max="10581" width="27.140625" style="750" bestFit="1" customWidth="1"/>
    <col min="10582" max="10582" width="24.85546875" style="750" bestFit="1" customWidth="1"/>
    <col min="10583" max="10583" width="23.42578125" style="750" bestFit="1" customWidth="1"/>
    <col min="10584" max="10584" width="26.5703125" style="750" customWidth="1"/>
    <col min="10585" max="10585" width="24.28515625" style="750" customWidth="1"/>
    <col min="10586" max="10586" width="28.28515625" style="750" bestFit="1" customWidth="1"/>
    <col min="10587" max="10587" width="8.85546875" style="750"/>
    <col min="10588" max="10588" width="16" style="750" customWidth="1"/>
    <col min="10589" max="10829" width="8.85546875" style="750"/>
    <col min="10830" max="10830" width="69.42578125" style="750" customWidth="1"/>
    <col min="10831" max="10831" width="29.140625" style="750" customWidth="1"/>
    <col min="10832" max="10832" width="28.140625" style="750" customWidth="1"/>
    <col min="10833" max="10833" width="31.42578125" style="750" customWidth="1"/>
    <col min="10834" max="10834" width="26.42578125" style="750" customWidth="1"/>
    <col min="10835" max="10835" width="28.85546875" style="750" customWidth="1"/>
    <col min="10836" max="10836" width="23.5703125" style="750" customWidth="1"/>
    <col min="10837" max="10837" width="27.140625" style="750" bestFit="1" customWidth="1"/>
    <col min="10838" max="10838" width="24.85546875" style="750" bestFit="1" customWidth="1"/>
    <col min="10839" max="10839" width="23.42578125" style="750" bestFit="1" customWidth="1"/>
    <col min="10840" max="10840" width="26.5703125" style="750" customWidth="1"/>
    <col min="10841" max="10841" width="24.28515625" style="750" customWidth="1"/>
    <col min="10842" max="10842" width="28.28515625" style="750" bestFit="1" customWidth="1"/>
    <col min="10843" max="10843" width="8.85546875" style="750"/>
    <col min="10844" max="10844" width="16" style="750" customWidth="1"/>
    <col min="10845" max="11085" width="8.85546875" style="750"/>
    <col min="11086" max="11086" width="69.42578125" style="750" customWidth="1"/>
    <col min="11087" max="11087" width="29.140625" style="750" customWidth="1"/>
    <col min="11088" max="11088" width="28.140625" style="750" customWidth="1"/>
    <col min="11089" max="11089" width="31.42578125" style="750" customWidth="1"/>
    <col min="11090" max="11090" width="26.42578125" style="750" customWidth="1"/>
    <col min="11091" max="11091" width="28.85546875" style="750" customWidth="1"/>
    <col min="11092" max="11092" width="23.5703125" style="750" customWidth="1"/>
    <col min="11093" max="11093" width="27.140625" style="750" bestFit="1" customWidth="1"/>
    <col min="11094" max="11094" width="24.85546875" style="750" bestFit="1" customWidth="1"/>
    <col min="11095" max="11095" width="23.42578125" style="750" bestFit="1" customWidth="1"/>
    <col min="11096" max="11096" width="26.5703125" style="750" customWidth="1"/>
    <col min="11097" max="11097" width="24.28515625" style="750" customWidth="1"/>
    <col min="11098" max="11098" width="28.28515625" style="750" bestFit="1" customWidth="1"/>
    <col min="11099" max="11099" width="8.85546875" style="750"/>
    <col min="11100" max="11100" width="16" style="750" customWidth="1"/>
    <col min="11101" max="11341" width="8.85546875" style="750"/>
    <col min="11342" max="11342" width="69.42578125" style="750" customWidth="1"/>
    <col min="11343" max="11343" width="29.140625" style="750" customWidth="1"/>
    <col min="11344" max="11344" width="28.140625" style="750" customWidth="1"/>
    <col min="11345" max="11345" width="31.42578125" style="750" customWidth="1"/>
    <col min="11346" max="11346" width="26.42578125" style="750" customWidth="1"/>
    <col min="11347" max="11347" width="28.85546875" style="750" customWidth="1"/>
    <col min="11348" max="11348" width="23.5703125" style="750" customWidth="1"/>
    <col min="11349" max="11349" width="27.140625" style="750" bestFit="1" customWidth="1"/>
    <col min="11350" max="11350" width="24.85546875" style="750" bestFit="1" customWidth="1"/>
    <col min="11351" max="11351" width="23.42578125" style="750" bestFit="1" customWidth="1"/>
    <col min="11352" max="11352" width="26.5703125" style="750" customWidth="1"/>
    <col min="11353" max="11353" width="24.28515625" style="750" customWidth="1"/>
    <col min="11354" max="11354" width="28.28515625" style="750" bestFit="1" customWidth="1"/>
    <col min="11355" max="11355" width="8.85546875" style="750"/>
    <col min="11356" max="11356" width="16" style="750" customWidth="1"/>
    <col min="11357" max="11597" width="8.85546875" style="750"/>
    <col min="11598" max="11598" width="69.42578125" style="750" customWidth="1"/>
    <col min="11599" max="11599" width="29.140625" style="750" customWidth="1"/>
    <col min="11600" max="11600" width="28.140625" style="750" customWidth="1"/>
    <col min="11601" max="11601" width="31.42578125" style="750" customWidth="1"/>
    <col min="11602" max="11602" width="26.42578125" style="750" customWidth="1"/>
    <col min="11603" max="11603" width="28.85546875" style="750" customWidth="1"/>
    <col min="11604" max="11604" width="23.5703125" style="750" customWidth="1"/>
    <col min="11605" max="11605" width="27.140625" style="750" bestFit="1" customWidth="1"/>
    <col min="11606" max="11606" width="24.85546875" style="750" bestFit="1" customWidth="1"/>
    <col min="11607" max="11607" width="23.42578125" style="750" bestFit="1" customWidth="1"/>
    <col min="11608" max="11608" width="26.5703125" style="750" customWidth="1"/>
    <col min="11609" max="11609" width="24.28515625" style="750" customWidth="1"/>
    <col min="11610" max="11610" width="28.28515625" style="750" bestFit="1" customWidth="1"/>
    <col min="11611" max="11611" width="8.85546875" style="750"/>
    <col min="11612" max="11612" width="16" style="750" customWidth="1"/>
    <col min="11613" max="11853" width="8.85546875" style="750"/>
    <col min="11854" max="11854" width="69.42578125" style="750" customWidth="1"/>
    <col min="11855" max="11855" width="29.140625" style="750" customWidth="1"/>
    <col min="11856" max="11856" width="28.140625" style="750" customWidth="1"/>
    <col min="11857" max="11857" width="31.42578125" style="750" customWidth="1"/>
    <col min="11858" max="11858" width="26.42578125" style="750" customWidth="1"/>
    <col min="11859" max="11859" width="28.85546875" style="750" customWidth="1"/>
    <col min="11860" max="11860" width="23.5703125" style="750" customWidth="1"/>
    <col min="11861" max="11861" width="27.140625" style="750" bestFit="1" customWidth="1"/>
    <col min="11862" max="11862" width="24.85546875" style="750" bestFit="1" customWidth="1"/>
    <col min="11863" max="11863" width="23.42578125" style="750" bestFit="1" customWidth="1"/>
    <col min="11864" max="11864" width="26.5703125" style="750" customWidth="1"/>
    <col min="11865" max="11865" width="24.28515625" style="750" customWidth="1"/>
    <col min="11866" max="11866" width="28.28515625" style="750" bestFit="1" customWidth="1"/>
    <col min="11867" max="11867" width="8.85546875" style="750"/>
    <col min="11868" max="11868" width="16" style="750" customWidth="1"/>
    <col min="11869" max="12109" width="8.85546875" style="750"/>
    <col min="12110" max="12110" width="69.42578125" style="750" customWidth="1"/>
    <col min="12111" max="12111" width="29.140625" style="750" customWidth="1"/>
    <col min="12112" max="12112" width="28.140625" style="750" customWidth="1"/>
    <col min="12113" max="12113" width="31.42578125" style="750" customWidth="1"/>
    <col min="12114" max="12114" width="26.42578125" style="750" customWidth="1"/>
    <col min="12115" max="12115" width="28.85546875" style="750" customWidth="1"/>
    <col min="12116" max="12116" width="23.5703125" style="750" customWidth="1"/>
    <col min="12117" max="12117" width="27.140625" style="750" bestFit="1" customWidth="1"/>
    <col min="12118" max="12118" width="24.85546875" style="750" bestFit="1" customWidth="1"/>
    <col min="12119" max="12119" width="23.42578125" style="750" bestFit="1" customWidth="1"/>
    <col min="12120" max="12120" width="26.5703125" style="750" customWidth="1"/>
    <col min="12121" max="12121" width="24.28515625" style="750" customWidth="1"/>
    <col min="12122" max="12122" width="28.28515625" style="750" bestFit="1" customWidth="1"/>
    <col min="12123" max="12123" width="8.85546875" style="750"/>
    <col min="12124" max="12124" width="16" style="750" customWidth="1"/>
    <col min="12125" max="12365" width="8.85546875" style="750"/>
    <col min="12366" max="12366" width="69.42578125" style="750" customWidth="1"/>
    <col min="12367" max="12367" width="29.140625" style="750" customWidth="1"/>
    <col min="12368" max="12368" width="28.140625" style="750" customWidth="1"/>
    <col min="12369" max="12369" width="31.42578125" style="750" customWidth="1"/>
    <col min="12370" max="12370" width="26.42578125" style="750" customWidth="1"/>
    <col min="12371" max="12371" width="28.85546875" style="750" customWidth="1"/>
    <col min="12372" max="12372" width="23.5703125" style="750" customWidth="1"/>
    <col min="12373" max="12373" width="27.140625" style="750" bestFit="1" customWidth="1"/>
    <col min="12374" max="12374" width="24.85546875" style="750" bestFit="1" customWidth="1"/>
    <col min="12375" max="12375" width="23.42578125" style="750" bestFit="1" customWidth="1"/>
    <col min="12376" max="12376" width="26.5703125" style="750" customWidth="1"/>
    <col min="12377" max="12377" width="24.28515625" style="750" customWidth="1"/>
    <col min="12378" max="12378" width="28.28515625" style="750" bestFit="1" customWidth="1"/>
    <col min="12379" max="12379" width="8.85546875" style="750"/>
    <col min="12380" max="12380" width="16" style="750" customWidth="1"/>
    <col min="12381" max="12621" width="8.85546875" style="750"/>
    <col min="12622" max="12622" width="69.42578125" style="750" customWidth="1"/>
    <col min="12623" max="12623" width="29.140625" style="750" customWidth="1"/>
    <col min="12624" max="12624" width="28.140625" style="750" customWidth="1"/>
    <col min="12625" max="12625" width="31.42578125" style="750" customWidth="1"/>
    <col min="12626" max="12626" width="26.42578125" style="750" customWidth="1"/>
    <col min="12627" max="12627" width="28.85546875" style="750" customWidth="1"/>
    <col min="12628" max="12628" width="23.5703125" style="750" customWidth="1"/>
    <col min="12629" max="12629" width="27.140625" style="750" bestFit="1" customWidth="1"/>
    <col min="12630" max="12630" width="24.85546875" style="750" bestFit="1" customWidth="1"/>
    <col min="12631" max="12631" width="23.42578125" style="750" bestFit="1" customWidth="1"/>
    <col min="12632" max="12632" width="26.5703125" style="750" customWidth="1"/>
    <col min="12633" max="12633" width="24.28515625" style="750" customWidth="1"/>
    <col min="12634" max="12634" width="28.28515625" style="750" bestFit="1" customWidth="1"/>
    <col min="12635" max="12635" width="8.85546875" style="750"/>
    <col min="12636" max="12636" width="16" style="750" customWidth="1"/>
    <col min="12637" max="12877" width="8.85546875" style="750"/>
    <col min="12878" max="12878" width="69.42578125" style="750" customWidth="1"/>
    <col min="12879" max="12879" width="29.140625" style="750" customWidth="1"/>
    <col min="12880" max="12880" width="28.140625" style="750" customWidth="1"/>
    <col min="12881" max="12881" width="31.42578125" style="750" customWidth="1"/>
    <col min="12882" max="12882" width="26.42578125" style="750" customWidth="1"/>
    <col min="12883" max="12883" width="28.85546875" style="750" customWidth="1"/>
    <col min="12884" max="12884" width="23.5703125" style="750" customWidth="1"/>
    <col min="12885" max="12885" width="27.140625" style="750" bestFit="1" customWidth="1"/>
    <col min="12886" max="12886" width="24.85546875" style="750" bestFit="1" customWidth="1"/>
    <col min="12887" max="12887" width="23.42578125" style="750" bestFit="1" customWidth="1"/>
    <col min="12888" max="12888" width="26.5703125" style="750" customWidth="1"/>
    <col min="12889" max="12889" width="24.28515625" style="750" customWidth="1"/>
    <col min="12890" max="12890" width="28.28515625" style="750" bestFit="1" customWidth="1"/>
    <col min="12891" max="12891" width="8.85546875" style="750"/>
    <col min="12892" max="12892" width="16" style="750" customWidth="1"/>
    <col min="12893" max="13133" width="8.85546875" style="750"/>
    <col min="13134" max="13134" width="69.42578125" style="750" customWidth="1"/>
    <col min="13135" max="13135" width="29.140625" style="750" customWidth="1"/>
    <col min="13136" max="13136" width="28.140625" style="750" customWidth="1"/>
    <col min="13137" max="13137" width="31.42578125" style="750" customWidth="1"/>
    <col min="13138" max="13138" width="26.42578125" style="750" customWidth="1"/>
    <col min="13139" max="13139" width="28.85546875" style="750" customWidth="1"/>
    <col min="13140" max="13140" width="23.5703125" style="750" customWidth="1"/>
    <col min="13141" max="13141" width="27.140625" style="750" bestFit="1" customWidth="1"/>
    <col min="13142" max="13142" width="24.85546875" style="750" bestFit="1" customWidth="1"/>
    <col min="13143" max="13143" width="23.42578125" style="750" bestFit="1" customWidth="1"/>
    <col min="13144" max="13144" width="26.5703125" style="750" customWidth="1"/>
    <col min="13145" max="13145" width="24.28515625" style="750" customWidth="1"/>
    <col min="13146" max="13146" width="28.28515625" style="750" bestFit="1" customWidth="1"/>
    <col min="13147" max="13147" width="8.85546875" style="750"/>
    <col min="13148" max="13148" width="16" style="750" customWidth="1"/>
    <col min="13149" max="13389" width="8.85546875" style="750"/>
    <col min="13390" max="13390" width="69.42578125" style="750" customWidth="1"/>
    <col min="13391" max="13391" width="29.140625" style="750" customWidth="1"/>
    <col min="13392" max="13392" width="28.140625" style="750" customWidth="1"/>
    <col min="13393" max="13393" width="31.42578125" style="750" customWidth="1"/>
    <col min="13394" max="13394" width="26.42578125" style="750" customWidth="1"/>
    <col min="13395" max="13395" width="28.85546875" style="750" customWidth="1"/>
    <col min="13396" max="13396" width="23.5703125" style="750" customWidth="1"/>
    <col min="13397" max="13397" width="27.140625" style="750" bestFit="1" customWidth="1"/>
    <col min="13398" max="13398" width="24.85546875" style="750" bestFit="1" customWidth="1"/>
    <col min="13399" max="13399" width="23.42578125" style="750" bestFit="1" customWidth="1"/>
    <col min="13400" max="13400" width="26.5703125" style="750" customWidth="1"/>
    <col min="13401" max="13401" width="24.28515625" style="750" customWidth="1"/>
    <col min="13402" max="13402" width="28.28515625" style="750" bestFit="1" customWidth="1"/>
    <col min="13403" max="13403" width="8.85546875" style="750"/>
    <col min="13404" max="13404" width="16" style="750" customWidth="1"/>
    <col min="13405" max="13645" width="8.85546875" style="750"/>
    <col min="13646" max="13646" width="69.42578125" style="750" customWidth="1"/>
    <col min="13647" max="13647" width="29.140625" style="750" customWidth="1"/>
    <col min="13648" max="13648" width="28.140625" style="750" customWidth="1"/>
    <col min="13649" max="13649" width="31.42578125" style="750" customWidth="1"/>
    <col min="13650" max="13650" width="26.42578125" style="750" customWidth="1"/>
    <col min="13651" max="13651" width="28.85546875" style="750" customWidth="1"/>
    <col min="13652" max="13652" width="23.5703125" style="750" customWidth="1"/>
    <col min="13653" max="13653" width="27.140625" style="750" bestFit="1" customWidth="1"/>
    <col min="13654" max="13654" width="24.85546875" style="750" bestFit="1" customWidth="1"/>
    <col min="13655" max="13655" width="23.42578125" style="750" bestFit="1" customWidth="1"/>
    <col min="13656" max="13656" width="26.5703125" style="750" customWidth="1"/>
    <col min="13657" max="13657" width="24.28515625" style="750" customWidth="1"/>
    <col min="13658" max="13658" width="28.28515625" style="750" bestFit="1" customWidth="1"/>
    <col min="13659" max="13659" width="8.85546875" style="750"/>
    <col min="13660" max="13660" width="16" style="750" customWidth="1"/>
    <col min="13661" max="13901" width="8.85546875" style="750"/>
    <col min="13902" max="13902" width="69.42578125" style="750" customWidth="1"/>
    <col min="13903" max="13903" width="29.140625" style="750" customWidth="1"/>
    <col min="13904" max="13904" width="28.140625" style="750" customWidth="1"/>
    <col min="13905" max="13905" width="31.42578125" style="750" customWidth="1"/>
    <col min="13906" max="13906" width="26.42578125" style="750" customWidth="1"/>
    <col min="13907" max="13907" width="28.85546875" style="750" customWidth="1"/>
    <col min="13908" max="13908" width="23.5703125" style="750" customWidth="1"/>
    <col min="13909" max="13909" width="27.140625" style="750" bestFit="1" customWidth="1"/>
    <col min="13910" max="13910" width="24.85546875" style="750" bestFit="1" customWidth="1"/>
    <col min="13911" max="13911" width="23.42578125" style="750" bestFit="1" customWidth="1"/>
    <col min="13912" max="13912" width="26.5703125" style="750" customWidth="1"/>
    <col min="13913" max="13913" width="24.28515625" style="750" customWidth="1"/>
    <col min="13914" max="13914" width="28.28515625" style="750" bestFit="1" customWidth="1"/>
    <col min="13915" max="13915" width="8.85546875" style="750"/>
    <col min="13916" max="13916" width="16" style="750" customWidth="1"/>
    <col min="13917" max="14157" width="8.85546875" style="750"/>
    <col min="14158" max="14158" width="69.42578125" style="750" customWidth="1"/>
    <col min="14159" max="14159" width="29.140625" style="750" customWidth="1"/>
    <col min="14160" max="14160" width="28.140625" style="750" customWidth="1"/>
    <col min="14161" max="14161" width="31.42578125" style="750" customWidth="1"/>
    <col min="14162" max="14162" width="26.42578125" style="750" customWidth="1"/>
    <col min="14163" max="14163" width="28.85546875" style="750" customWidth="1"/>
    <col min="14164" max="14164" width="23.5703125" style="750" customWidth="1"/>
    <col min="14165" max="14165" width="27.140625" style="750" bestFit="1" customWidth="1"/>
    <col min="14166" max="14166" width="24.85546875" style="750" bestFit="1" customWidth="1"/>
    <col min="14167" max="14167" width="23.42578125" style="750" bestFit="1" customWidth="1"/>
    <col min="14168" max="14168" width="26.5703125" style="750" customWidth="1"/>
    <col min="14169" max="14169" width="24.28515625" style="750" customWidth="1"/>
    <col min="14170" max="14170" width="28.28515625" style="750" bestFit="1" customWidth="1"/>
    <col min="14171" max="14171" width="8.85546875" style="750"/>
    <col min="14172" max="14172" width="16" style="750" customWidth="1"/>
    <col min="14173" max="14413" width="8.85546875" style="750"/>
    <col min="14414" max="14414" width="69.42578125" style="750" customWidth="1"/>
    <col min="14415" max="14415" width="29.140625" style="750" customWidth="1"/>
    <col min="14416" max="14416" width="28.140625" style="750" customWidth="1"/>
    <col min="14417" max="14417" width="31.42578125" style="750" customWidth="1"/>
    <col min="14418" max="14418" width="26.42578125" style="750" customWidth="1"/>
    <col min="14419" max="14419" width="28.85546875" style="750" customWidth="1"/>
    <col min="14420" max="14420" width="23.5703125" style="750" customWidth="1"/>
    <col min="14421" max="14421" width="27.140625" style="750" bestFit="1" customWidth="1"/>
    <col min="14422" max="14422" width="24.85546875" style="750" bestFit="1" customWidth="1"/>
    <col min="14423" max="14423" width="23.42578125" style="750" bestFit="1" customWidth="1"/>
    <col min="14424" max="14424" width="26.5703125" style="750" customWidth="1"/>
    <col min="14425" max="14425" width="24.28515625" style="750" customWidth="1"/>
    <col min="14426" max="14426" width="28.28515625" style="750" bestFit="1" customWidth="1"/>
    <col min="14427" max="14427" width="8.85546875" style="750"/>
    <col min="14428" max="14428" width="16" style="750" customWidth="1"/>
    <col min="14429" max="14669" width="8.85546875" style="750"/>
    <col min="14670" max="14670" width="69.42578125" style="750" customWidth="1"/>
    <col min="14671" max="14671" width="29.140625" style="750" customWidth="1"/>
    <col min="14672" max="14672" width="28.140625" style="750" customWidth="1"/>
    <col min="14673" max="14673" width="31.42578125" style="750" customWidth="1"/>
    <col min="14674" max="14674" width="26.42578125" style="750" customWidth="1"/>
    <col min="14675" max="14675" width="28.85546875" style="750" customWidth="1"/>
    <col min="14676" max="14676" width="23.5703125" style="750" customWidth="1"/>
    <col min="14677" max="14677" width="27.140625" style="750" bestFit="1" customWidth="1"/>
    <col min="14678" max="14678" width="24.85546875" style="750" bestFit="1" customWidth="1"/>
    <col min="14679" max="14679" width="23.42578125" style="750" bestFit="1" customWidth="1"/>
    <col min="14680" max="14680" width="26.5703125" style="750" customWidth="1"/>
    <col min="14681" max="14681" width="24.28515625" style="750" customWidth="1"/>
    <col min="14682" max="14682" width="28.28515625" style="750" bestFit="1" customWidth="1"/>
    <col min="14683" max="14683" width="8.85546875" style="750"/>
    <col min="14684" max="14684" width="16" style="750" customWidth="1"/>
    <col min="14685" max="14925" width="8.85546875" style="750"/>
    <col min="14926" max="14926" width="69.42578125" style="750" customWidth="1"/>
    <col min="14927" max="14927" width="29.140625" style="750" customWidth="1"/>
    <col min="14928" max="14928" width="28.140625" style="750" customWidth="1"/>
    <col min="14929" max="14929" width="31.42578125" style="750" customWidth="1"/>
    <col min="14930" max="14930" width="26.42578125" style="750" customWidth="1"/>
    <col min="14931" max="14931" width="28.85546875" style="750" customWidth="1"/>
    <col min="14932" max="14932" width="23.5703125" style="750" customWidth="1"/>
    <col min="14933" max="14933" width="27.140625" style="750" bestFit="1" customWidth="1"/>
    <col min="14934" max="14934" width="24.85546875" style="750" bestFit="1" customWidth="1"/>
    <col min="14935" max="14935" width="23.42578125" style="750" bestFit="1" customWidth="1"/>
    <col min="14936" max="14936" width="26.5703125" style="750" customWidth="1"/>
    <col min="14937" max="14937" width="24.28515625" style="750" customWidth="1"/>
    <col min="14938" max="14938" width="28.28515625" style="750" bestFit="1" customWidth="1"/>
    <col min="14939" max="14939" width="8.85546875" style="750"/>
    <col min="14940" max="14940" width="16" style="750" customWidth="1"/>
    <col min="14941" max="15181" width="8.85546875" style="750"/>
    <col min="15182" max="15182" width="69.42578125" style="750" customWidth="1"/>
    <col min="15183" max="15183" width="29.140625" style="750" customWidth="1"/>
    <col min="15184" max="15184" width="28.140625" style="750" customWidth="1"/>
    <col min="15185" max="15185" width="31.42578125" style="750" customWidth="1"/>
    <col min="15186" max="15186" width="26.42578125" style="750" customWidth="1"/>
    <col min="15187" max="15187" width="28.85546875" style="750" customWidth="1"/>
    <col min="15188" max="15188" width="23.5703125" style="750" customWidth="1"/>
    <col min="15189" max="15189" width="27.140625" style="750" bestFit="1" customWidth="1"/>
    <col min="15190" max="15190" width="24.85546875" style="750" bestFit="1" customWidth="1"/>
    <col min="15191" max="15191" width="23.42578125" style="750" bestFit="1" customWidth="1"/>
    <col min="15192" max="15192" width="26.5703125" style="750" customWidth="1"/>
    <col min="15193" max="15193" width="24.28515625" style="750" customWidth="1"/>
    <col min="15194" max="15194" width="28.28515625" style="750" bestFit="1" customWidth="1"/>
    <col min="15195" max="15195" width="8.85546875" style="750"/>
    <col min="15196" max="15196" width="16" style="750" customWidth="1"/>
    <col min="15197" max="15437" width="8.85546875" style="750"/>
    <col min="15438" max="15438" width="69.42578125" style="750" customWidth="1"/>
    <col min="15439" max="15439" width="29.140625" style="750" customWidth="1"/>
    <col min="15440" max="15440" width="28.140625" style="750" customWidth="1"/>
    <col min="15441" max="15441" width="31.42578125" style="750" customWidth="1"/>
    <col min="15442" max="15442" width="26.42578125" style="750" customWidth="1"/>
    <col min="15443" max="15443" width="28.85546875" style="750" customWidth="1"/>
    <col min="15444" max="15444" width="23.5703125" style="750" customWidth="1"/>
    <col min="15445" max="15445" width="27.140625" style="750" bestFit="1" customWidth="1"/>
    <col min="15446" max="15446" width="24.85546875" style="750" bestFit="1" customWidth="1"/>
    <col min="15447" max="15447" width="23.42578125" style="750" bestFit="1" customWidth="1"/>
    <col min="15448" max="15448" width="26.5703125" style="750" customWidth="1"/>
    <col min="15449" max="15449" width="24.28515625" style="750" customWidth="1"/>
    <col min="15450" max="15450" width="28.28515625" style="750" bestFit="1" customWidth="1"/>
    <col min="15451" max="15451" width="8.85546875" style="750"/>
    <col min="15452" max="15452" width="16" style="750" customWidth="1"/>
    <col min="15453" max="15693" width="8.85546875" style="750"/>
    <col min="15694" max="15694" width="69.42578125" style="750" customWidth="1"/>
    <col min="15695" max="15695" width="29.140625" style="750" customWidth="1"/>
    <col min="15696" max="15696" width="28.140625" style="750" customWidth="1"/>
    <col min="15697" max="15697" width="31.42578125" style="750" customWidth="1"/>
    <col min="15698" max="15698" width="26.42578125" style="750" customWidth="1"/>
    <col min="15699" max="15699" width="28.85546875" style="750" customWidth="1"/>
    <col min="15700" max="15700" width="23.5703125" style="750" customWidth="1"/>
    <col min="15701" max="15701" width="27.140625" style="750" bestFit="1" customWidth="1"/>
    <col min="15702" max="15702" width="24.85546875" style="750" bestFit="1" customWidth="1"/>
    <col min="15703" max="15703" width="23.42578125" style="750" bestFit="1" customWidth="1"/>
    <col min="15704" max="15704" width="26.5703125" style="750" customWidth="1"/>
    <col min="15705" max="15705" width="24.28515625" style="750" customWidth="1"/>
    <col min="15706" max="15706" width="28.28515625" style="750" bestFit="1" customWidth="1"/>
    <col min="15707" max="15707" width="8.85546875" style="750"/>
    <col min="15708" max="15708" width="16" style="750" customWidth="1"/>
    <col min="15709" max="15949" width="8.85546875" style="750"/>
    <col min="15950" max="15950" width="69.42578125" style="750" customWidth="1"/>
    <col min="15951" max="15951" width="29.140625" style="750" customWidth="1"/>
    <col min="15952" max="15952" width="28.140625" style="750" customWidth="1"/>
    <col min="15953" max="15953" width="31.42578125" style="750" customWidth="1"/>
    <col min="15954" max="15954" width="26.42578125" style="750" customWidth="1"/>
    <col min="15955" max="15955" width="28.85546875" style="750" customWidth="1"/>
    <col min="15956" max="15956" width="23.5703125" style="750" customWidth="1"/>
    <col min="15957" max="15957" width="27.140625" style="750" bestFit="1" customWidth="1"/>
    <col min="15958" max="15958" width="24.85546875" style="750" bestFit="1" customWidth="1"/>
    <col min="15959" max="15959" width="23.42578125" style="750" bestFit="1" customWidth="1"/>
    <col min="15960" max="15960" width="26.5703125" style="750" customWidth="1"/>
    <col min="15961" max="15961" width="24.28515625" style="750" customWidth="1"/>
    <col min="15962" max="15962" width="28.28515625" style="750" bestFit="1" customWidth="1"/>
    <col min="15963" max="15963" width="8.85546875" style="750"/>
    <col min="15964" max="15964" width="16" style="750" customWidth="1"/>
    <col min="15965" max="16205" width="8.85546875" style="750"/>
    <col min="16206" max="16206" width="69.42578125" style="750" customWidth="1"/>
    <col min="16207" max="16207" width="29.140625" style="750" customWidth="1"/>
    <col min="16208" max="16208" width="28.140625" style="750" customWidth="1"/>
    <col min="16209" max="16209" width="31.42578125" style="750" customWidth="1"/>
    <col min="16210" max="16210" width="26.42578125" style="750" customWidth="1"/>
    <col min="16211" max="16211" width="28.85546875" style="750" customWidth="1"/>
    <col min="16212" max="16212" width="23.5703125" style="750" customWidth="1"/>
    <col min="16213" max="16213" width="27.140625" style="750" bestFit="1" customWidth="1"/>
    <col min="16214" max="16214" width="24.85546875" style="750" bestFit="1" customWidth="1"/>
    <col min="16215" max="16215" width="23.42578125" style="750" bestFit="1" customWidth="1"/>
    <col min="16216" max="16216" width="26.5703125" style="750" customWidth="1"/>
    <col min="16217" max="16217" width="24.28515625" style="750" customWidth="1"/>
    <col min="16218" max="16218" width="28.28515625" style="750" bestFit="1" customWidth="1"/>
    <col min="16219" max="16219" width="8.85546875" style="750"/>
    <col min="16220" max="16220" width="16" style="750" customWidth="1"/>
    <col min="16221" max="16384" width="8.85546875" style="750"/>
  </cols>
  <sheetData>
    <row r="1" spans="1:104" ht="117" customHeight="1" thickBot="1">
      <c r="A1" s="748"/>
      <c r="B1" s="749" t="s">
        <v>1334</v>
      </c>
      <c r="C1" s="2361" t="s">
        <v>942</v>
      </c>
      <c r="D1" s="2362"/>
      <c r="E1" s="2362"/>
      <c r="F1" s="2363"/>
      <c r="G1" s="2361" t="s">
        <v>1335</v>
      </c>
      <c r="H1" s="2362"/>
      <c r="I1" s="2362"/>
      <c r="J1" s="2363"/>
      <c r="K1" s="2361" t="s">
        <v>1336</v>
      </c>
      <c r="L1" s="2362"/>
      <c r="M1" s="2362"/>
      <c r="N1" s="2363"/>
      <c r="O1" s="2366" t="s">
        <v>1337</v>
      </c>
      <c r="P1" s="2366"/>
      <c r="Q1" s="2366"/>
      <c r="R1" s="2366"/>
      <c r="S1" s="2367" t="s">
        <v>1338</v>
      </c>
      <c r="T1" s="2368"/>
      <c r="U1" s="2368"/>
      <c r="V1" s="2369"/>
      <c r="W1" s="2361" t="s">
        <v>1339</v>
      </c>
      <c r="X1" s="2362"/>
      <c r="Y1" s="2362"/>
      <c r="Z1" s="2363"/>
      <c r="AA1" s="2361" t="s">
        <v>1340</v>
      </c>
      <c r="AB1" s="2362"/>
      <c r="AC1" s="2362"/>
      <c r="AD1" s="2363"/>
      <c r="AE1" s="2361" t="s">
        <v>1341</v>
      </c>
      <c r="AF1" s="2362"/>
      <c r="AG1" s="2362"/>
      <c r="AH1" s="2363"/>
      <c r="AI1" s="2361" t="s">
        <v>943</v>
      </c>
      <c r="AJ1" s="2362"/>
      <c r="AK1" s="2362"/>
      <c r="AL1" s="2363"/>
      <c r="AM1" s="2361" t="s">
        <v>1342</v>
      </c>
      <c r="AN1" s="2362"/>
      <c r="AO1" s="2362"/>
      <c r="AP1" s="2363"/>
      <c r="AQ1" s="2361" t="s">
        <v>1343</v>
      </c>
      <c r="AR1" s="2362"/>
      <c r="AS1" s="2362"/>
      <c r="AT1" s="2363"/>
      <c r="AU1" s="2361" t="s">
        <v>944</v>
      </c>
      <c r="AV1" s="2362"/>
      <c r="AW1" s="2362"/>
      <c r="AX1" s="2363"/>
      <c r="AY1" s="2361" t="s">
        <v>945</v>
      </c>
      <c r="AZ1" s="2362"/>
      <c r="BA1" s="2362"/>
      <c r="BB1" s="2363"/>
      <c r="BC1" s="2361" t="s">
        <v>946</v>
      </c>
      <c r="BD1" s="2362"/>
      <c r="BE1" s="2362"/>
      <c r="BF1" s="2363"/>
      <c r="BG1" s="2361" t="s">
        <v>947</v>
      </c>
      <c r="BH1" s="2362"/>
      <c r="BI1" s="2362"/>
      <c r="BJ1" s="2363"/>
      <c r="BK1" s="2361" t="s">
        <v>948</v>
      </c>
      <c r="BL1" s="2362"/>
      <c r="BM1" s="2362"/>
      <c r="BN1" s="2363"/>
      <c r="BO1" s="2361" t="s">
        <v>949</v>
      </c>
      <c r="BP1" s="2362"/>
      <c r="BQ1" s="2362"/>
      <c r="BR1" s="2363"/>
      <c r="BS1" s="2361" t="s">
        <v>950</v>
      </c>
      <c r="BT1" s="2362"/>
      <c r="BU1" s="2362"/>
      <c r="BV1" s="2363"/>
      <c r="BW1" s="2361" t="s">
        <v>951</v>
      </c>
      <c r="BX1" s="2362"/>
      <c r="BY1" s="2362"/>
      <c r="BZ1" s="2363"/>
      <c r="CA1" s="2361" t="s">
        <v>1344</v>
      </c>
      <c r="CB1" s="2362"/>
      <c r="CC1" s="2362"/>
      <c r="CD1" s="2362"/>
      <c r="CE1" s="2361" t="s">
        <v>1345</v>
      </c>
      <c r="CF1" s="2362"/>
      <c r="CG1" s="2362"/>
      <c r="CH1" s="2363"/>
      <c r="CI1" s="2361" t="s">
        <v>1346</v>
      </c>
      <c r="CJ1" s="2362"/>
      <c r="CK1" s="2362"/>
      <c r="CL1" s="2363"/>
      <c r="CM1" s="2361" t="s">
        <v>952</v>
      </c>
      <c r="CN1" s="2362"/>
      <c r="CO1" s="2362"/>
      <c r="CP1" s="2363"/>
      <c r="CQ1" s="2364" t="s">
        <v>1347</v>
      </c>
      <c r="CR1" s="2364"/>
      <c r="CS1" s="2364"/>
      <c r="CT1" s="2364"/>
      <c r="CU1" s="2365"/>
      <c r="CV1" s="2365"/>
      <c r="CW1" s="2365"/>
      <c r="CX1" s="2365"/>
      <c r="CY1" s="2365"/>
      <c r="CZ1" s="2365"/>
    </row>
    <row r="2" spans="1:104" ht="18.75" customHeight="1" thickBot="1">
      <c r="A2" s="748"/>
      <c r="B2" s="751"/>
      <c r="C2" s="752" t="s">
        <v>204</v>
      </c>
      <c r="D2" s="753" t="s">
        <v>205</v>
      </c>
      <c r="E2" s="753" t="s">
        <v>206</v>
      </c>
      <c r="F2" s="753" t="s">
        <v>207</v>
      </c>
      <c r="G2" s="752" t="s">
        <v>204</v>
      </c>
      <c r="H2" s="753" t="s">
        <v>205</v>
      </c>
      <c r="I2" s="753" t="s">
        <v>206</v>
      </c>
      <c r="J2" s="753" t="s">
        <v>207</v>
      </c>
      <c r="K2" s="752" t="s">
        <v>204</v>
      </c>
      <c r="L2" s="753" t="s">
        <v>205</v>
      </c>
      <c r="M2" s="753" t="s">
        <v>206</v>
      </c>
      <c r="N2" s="753" t="s">
        <v>207</v>
      </c>
      <c r="O2" s="752" t="s">
        <v>204</v>
      </c>
      <c r="P2" s="753" t="s">
        <v>205</v>
      </c>
      <c r="Q2" s="753" t="s">
        <v>206</v>
      </c>
      <c r="R2" s="753" t="s">
        <v>207</v>
      </c>
      <c r="S2" s="752" t="s">
        <v>204</v>
      </c>
      <c r="T2" s="753" t="s">
        <v>205</v>
      </c>
      <c r="U2" s="753" t="s">
        <v>206</v>
      </c>
      <c r="V2" s="753" t="s">
        <v>207</v>
      </c>
      <c r="W2" s="752" t="s">
        <v>204</v>
      </c>
      <c r="X2" s="753" t="s">
        <v>205</v>
      </c>
      <c r="Y2" s="753" t="s">
        <v>206</v>
      </c>
      <c r="Z2" s="753" t="s">
        <v>207</v>
      </c>
      <c r="AA2" s="752" t="s">
        <v>204</v>
      </c>
      <c r="AB2" s="753" t="s">
        <v>205</v>
      </c>
      <c r="AC2" s="753" t="s">
        <v>206</v>
      </c>
      <c r="AD2" s="753" t="s">
        <v>207</v>
      </c>
      <c r="AE2" s="752" t="s">
        <v>204</v>
      </c>
      <c r="AF2" s="753" t="s">
        <v>205</v>
      </c>
      <c r="AG2" s="753" t="s">
        <v>206</v>
      </c>
      <c r="AH2" s="753" t="s">
        <v>207</v>
      </c>
      <c r="AI2" s="752" t="s">
        <v>204</v>
      </c>
      <c r="AJ2" s="753" t="s">
        <v>205</v>
      </c>
      <c r="AK2" s="753" t="s">
        <v>206</v>
      </c>
      <c r="AL2" s="753" t="s">
        <v>207</v>
      </c>
      <c r="AM2" s="752" t="s">
        <v>204</v>
      </c>
      <c r="AN2" s="753" t="s">
        <v>205</v>
      </c>
      <c r="AO2" s="753" t="s">
        <v>206</v>
      </c>
      <c r="AP2" s="753" t="s">
        <v>207</v>
      </c>
      <c r="AQ2" s="752" t="s">
        <v>204</v>
      </c>
      <c r="AR2" s="753" t="s">
        <v>205</v>
      </c>
      <c r="AS2" s="753" t="s">
        <v>206</v>
      </c>
      <c r="AT2" s="753" t="s">
        <v>207</v>
      </c>
      <c r="AU2" s="752" t="s">
        <v>204</v>
      </c>
      <c r="AV2" s="753" t="s">
        <v>205</v>
      </c>
      <c r="AW2" s="753" t="s">
        <v>206</v>
      </c>
      <c r="AX2" s="753" t="s">
        <v>207</v>
      </c>
      <c r="AY2" s="752" t="s">
        <v>204</v>
      </c>
      <c r="AZ2" s="753" t="s">
        <v>205</v>
      </c>
      <c r="BA2" s="753" t="s">
        <v>206</v>
      </c>
      <c r="BB2" s="753" t="s">
        <v>207</v>
      </c>
      <c r="BC2" s="752" t="s">
        <v>204</v>
      </c>
      <c r="BD2" s="753" t="s">
        <v>205</v>
      </c>
      <c r="BE2" s="753" t="s">
        <v>206</v>
      </c>
      <c r="BF2" s="753" t="s">
        <v>207</v>
      </c>
      <c r="BG2" s="752" t="s">
        <v>204</v>
      </c>
      <c r="BH2" s="753" t="s">
        <v>205</v>
      </c>
      <c r="BI2" s="753" t="s">
        <v>206</v>
      </c>
      <c r="BJ2" s="753" t="s">
        <v>207</v>
      </c>
      <c r="BK2" s="752" t="s">
        <v>204</v>
      </c>
      <c r="BL2" s="753" t="s">
        <v>205</v>
      </c>
      <c r="BM2" s="753" t="s">
        <v>206</v>
      </c>
      <c r="BN2" s="753" t="s">
        <v>207</v>
      </c>
      <c r="BO2" s="752" t="s">
        <v>204</v>
      </c>
      <c r="BP2" s="753" t="s">
        <v>205</v>
      </c>
      <c r="BQ2" s="753" t="s">
        <v>206</v>
      </c>
      <c r="BR2" s="753" t="s">
        <v>207</v>
      </c>
      <c r="BS2" s="752" t="s">
        <v>204</v>
      </c>
      <c r="BT2" s="753" t="s">
        <v>205</v>
      </c>
      <c r="BU2" s="753" t="s">
        <v>206</v>
      </c>
      <c r="BV2" s="753" t="s">
        <v>207</v>
      </c>
      <c r="BW2" s="752" t="s">
        <v>204</v>
      </c>
      <c r="BX2" s="753" t="s">
        <v>205</v>
      </c>
      <c r="BY2" s="753" t="s">
        <v>206</v>
      </c>
      <c r="BZ2" s="753" t="s">
        <v>207</v>
      </c>
      <c r="CA2" s="752" t="s">
        <v>204</v>
      </c>
      <c r="CB2" s="753" t="s">
        <v>205</v>
      </c>
      <c r="CC2" s="753" t="s">
        <v>206</v>
      </c>
      <c r="CD2" s="753" t="s">
        <v>207</v>
      </c>
      <c r="CE2" s="752" t="s">
        <v>204</v>
      </c>
      <c r="CF2" s="753" t="s">
        <v>205</v>
      </c>
      <c r="CG2" s="753" t="s">
        <v>206</v>
      </c>
      <c r="CH2" s="753" t="s">
        <v>207</v>
      </c>
      <c r="CI2" s="752" t="s">
        <v>204</v>
      </c>
      <c r="CJ2" s="753" t="s">
        <v>205</v>
      </c>
      <c r="CK2" s="753" t="s">
        <v>206</v>
      </c>
      <c r="CL2" s="753" t="s">
        <v>207</v>
      </c>
      <c r="CM2" s="752" t="s">
        <v>204</v>
      </c>
      <c r="CN2" s="753" t="s">
        <v>205</v>
      </c>
      <c r="CO2" s="753" t="s">
        <v>206</v>
      </c>
      <c r="CP2" s="753" t="s">
        <v>207</v>
      </c>
      <c r="CQ2" s="752" t="s">
        <v>204</v>
      </c>
      <c r="CR2" s="753" t="s">
        <v>205</v>
      </c>
      <c r="CS2" s="753" t="s">
        <v>206</v>
      </c>
      <c r="CT2" s="806" t="s">
        <v>207</v>
      </c>
      <c r="CU2" s="813"/>
      <c r="CV2" s="813"/>
      <c r="CW2" s="813"/>
      <c r="CX2" s="813"/>
      <c r="CY2" s="813"/>
      <c r="CZ2" s="813"/>
    </row>
    <row r="3" spans="1:104" s="757" customFormat="1">
      <c r="A3" s="754" t="s">
        <v>1348</v>
      </c>
      <c r="B3" s="755">
        <f>SUBTOTAL(9,B4:B159)</f>
        <v>155439506137.99899</v>
      </c>
      <c r="C3" s="755">
        <v>10022113022.27</v>
      </c>
      <c r="D3" s="755">
        <f>SUBTOTAL(9,D4:D159)</f>
        <v>10022113022.27</v>
      </c>
      <c r="E3" s="755">
        <f t="shared" ref="E3:F3" si="0">SUBTOTAL(9,E4:E159)</f>
        <v>10022113022.27</v>
      </c>
      <c r="F3" s="755">
        <f t="shared" si="0"/>
        <v>10022113022.27</v>
      </c>
      <c r="G3" s="755">
        <f>SUBTOTAL(9,G4:G159)</f>
        <v>3813285725</v>
      </c>
      <c r="H3" s="755">
        <f>SUBTOTAL(9,H4:H159)</f>
        <v>3813285725</v>
      </c>
      <c r="I3" s="755">
        <f t="shared" ref="I3:J3" si="1">SUBTOTAL(9,I4:I159)</f>
        <v>3813285725</v>
      </c>
      <c r="J3" s="755">
        <f t="shared" si="1"/>
        <v>3813285725</v>
      </c>
      <c r="K3" s="755">
        <f>SUBTOTAL(9,K4:K159)</f>
        <v>6210491301</v>
      </c>
      <c r="L3" s="755">
        <f>SUBTOTAL(9,L4:L159)</f>
        <v>6205735653.0268669</v>
      </c>
      <c r="M3" s="755">
        <f t="shared" ref="M3:N3" si="2">SUBTOTAL(9,M4:M159)</f>
        <v>6149616089.8706064</v>
      </c>
      <c r="N3" s="755">
        <f t="shared" si="2"/>
        <v>5994252501.7252665</v>
      </c>
      <c r="O3" s="755">
        <f>SUBTOTAL(9,O4:O159)</f>
        <v>533456409.49400002</v>
      </c>
      <c r="P3" s="755">
        <f>SUBTOTAL(9,P4:P159)</f>
        <v>531897807.80358958</v>
      </c>
      <c r="Q3" s="755">
        <f t="shared" ref="Q3:R3" si="3">SUBTOTAL(9,Q4:Q159)</f>
        <v>240656153.39675766</v>
      </c>
      <c r="R3" s="755">
        <f t="shared" si="3"/>
        <v>204885468.68980902</v>
      </c>
      <c r="S3" s="755">
        <f>SUBTOTAL(9,S4:S159)</f>
        <v>7226087698.6000004</v>
      </c>
      <c r="T3" s="755">
        <f>SUBTOTAL(9,T4:T159)</f>
        <v>7218593017.0787477</v>
      </c>
      <c r="U3" s="755">
        <f t="shared" ref="U3:V3" si="4">SUBTOTAL(9,U4:U159)</f>
        <v>6003691988.9190445</v>
      </c>
      <c r="V3" s="755">
        <f t="shared" si="4"/>
        <v>5775977086.43332</v>
      </c>
      <c r="W3" s="755">
        <f>SUBTOTAL(9,W4:W159)</f>
        <v>72602217.099999994</v>
      </c>
      <c r="X3" s="755">
        <f>SUBTOTAL(9,X4:X159)</f>
        <v>72515094.439479992</v>
      </c>
      <c r="Y3" s="755">
        <f t="shared" ref="Y3:Z3" si="5">SUBTOTAL(9,Y4:Y159)</f>
        <v>21265189.388589997</v>
      </c>
      <c r="Z3" s="755">
        <f t="shared" si="5"/>
        <v>21207107.614909999</v>
      </c>
      <c r="AA3" s="755">
        <f>SUBTOTAL(9,AA4:AA159)</f>
        <v>53092908.93</v>
      </c>
      <c r="AB3" s="755">
        <f>SUBTOTAL(9,AB4:AB159)</f>
        <v>53029197.439284004</v>
      </c>
      <c r="AC3" s="755">
        <f t="shared" ref="AC3:AD3" si="6">SUBTOTAL(9,AC4:AC159)</f>
        <v>15550913.025597</v>
      </c>
      <c r="AD3" s="755">
        <f t="shared" si="6"/>
        <v>15508438.698453002</v>
      </c>
      <c r="AE3" s="755">
        <f>SUBTOTAL(9,AE4:AE159)</f>
        <v>19552150.484999999</v>
      </c>
      <c r="AF3" s="755">
        <f>SUBTOTAL(9,AF4:AF159)</f>
        <v>19528687.904417999</v>
      </c>
      <c r="AG3" s="755">
        <f t="shared" ref="AG3:AH3" si="7">SUBTOTAL(9,AG4:AG159)</f>
        <v>5726824.8770564999</v>
      </c>
      <c r="AH3" s="755">
        <f t="shared" si="7"/>
        <v>5711183.1566685</v>
      </c>
      <c r="AI3" s="755">
        <f>SUBTOTAL(9,AI4:AI159)</f>
        <v>673672072.63</v>
      </c>
      <c r="AJ3" s="755">
        <f>SUBTOTAL(9,AJ4:AJ159)</f>
        <v>672863666.14284396</v>
      </c>
      <c r="AK3" s="755">
        <f t="shared" ref="AK3:AL3" si="8">SUBTOTAL(9,AK4:AK159)</f>
        <v>197318550.073327</v>
      </c>
      <c r="AL3" s="755">
        <f t="shared" si="8"/>
        <v>196779612.415223</v>
      </c>
      <c r="AM3" s="755">
        <f>SUBTOTAL(9,AM4:AM159)</f>
        <v>6295939992</v>
      </c>
      <c r="AN3" s="755">
        <f>SUBTOTAL(9,AN4:AN159)</f>
        <v>6243825465.8479996</v>
      </c>
      <c r="AO3" s="755">
        <f t="shared" ref="AO3:AP3" si="9">SUBTOTAL(9,AO4:AO159)</f>
        <v>5218606997.3584003</v>
      </c>
      <c r="AP3" s="755">
        <f t="shared" si="9"/>
        <v>4949638047.5960007</v>
      </c>
      <c r="AQ3" s="755">
        <f>SUBTOTAL(9,AQ4:AQ159)</f>
        <v>62959400.100000001</v>
      </c>
      <c r="AR3" s="755">
        <f>SUBTOTAL(9,AR4:AR159)</f>
        <v>62896440.699900001</v>
      </c>
      <c r="AS3" s="755">
        <f t="shared" ref="AS3:AT3" si="10">SUBTOTAL(9,AS4:AS159)</f>
        <v>52268893.963020004</v>
      </c>
      <c r="AT3" s="755">
        <f t="shared" si="10"/>
        <v>50398999.780050002</v>
      </c>
      <c r="AU3" s="755">
        <f>SUBTOTAL(9,AU4:AU159)</f>
        <v>4197128919.3000002</v>
      </c>
      <c r="AV3" s="755">
        <f>SUBTOTAL(9,AV4:AV159)</f>
        <v>4192931790.3807001</v>
      </c>
      <c r="AW3" s="755">
        <f t="shared" ref="AW3:AX3" si="11">SUBTOTAL(9,AW4:AW159)</f>
        <v>3484456428.8028603</v>
      </c>
      <c r="AX3" s="755">
        <f t="shared" si="11"/>
        <v>3359801699.8996501</v>
      </c>
      <c r="AY3" s="755">
        <f>SUBTOTAL(9,AY4:AY159)</f>
        <v>450000000</v>
      </c>
      <c r="AZ3" s="755">
        <f>SUBTOTAL(9,AZ4:AZ159)</f>
        <v>449550000</v>
      </c>
      <c r="BA3" s="755">
        <f t="shared" ref="BA3:BB3" si="12">SUBTOTAL(9,BA4:BA159)</f>
        <v>373590000</v>
      </c>
      <c r="BB3" s="755">
        <f t="shared" si="12"/>
        <v>360225000</v>
      </c>
      <c r="BC3" s="755">
        <f>SUBTOTAL(9,BC4:BC159)</f>
        <v>167552412.09</v>
      </c>
      <c r="BD3" s="755">
        <f>SUBTOTAL(9,BD4:BD159)</f>
        <v>166689497.06144705</v>
      </c>
      <c r="BE3" s="755">
        <f t="shared" ref="BE3:BF3" si="13">SUBTOTAL(9,BE4:BE159)</f>
        <v>162092808.56076917</v>
      </c>
      <c r="BF3" s="755">
        <f t="shared" si="13"/>
        <v>150637906.28142163</v>
      </c>
      <c r="BG3" s="755">
        <f>SUBTOTAL(9,BG4:BG159)</f>
        <v>42660880.789999999</v>
      </c>
      <c r="BH3" s="755">
        <f>SUBTOTAL(9,BH4:BH159)</f>
        <v>42441172.1346258</v>
      </c>
      <c r="BI3" s="755">
        <f t="shared" ref="BI3:BJ3" si="14">SUBTOTAL(9,BI4:BI159)</f>
        <v>41270799.36762052</v>
      </c>
      <c r="BJ3" s="755">
        <f t="shared" si="14"/>
        <v>38354242.008017391</v>
      </c>
      <c r="BK3" s="755">
        <f>SUBTOTAL(9,BK4:BK159)</f>
        <v>43855368.969999999</v>
      </c>
      <c r="BL3" s="755">
        <f>SUBTOTAL(9,BL4:BL159)</f>
        <v>43583546.017448246</v>
      </c>
      <c r="BM3" s="755">
        <f t="shared" ref="BM3:BN3" si="15">SUBTOTAL(9,BM4:BM159)</f>
        <v>42930234.180642851</v>
      </c>
      <c r="BN3" s="755">
        <f t="shared" si="15"/>
        <v>42451811.973697394</v>
      </c>
      <c r="BO3" s="755">
        <f>SUBTOTAL(9,BO4:BO159)</f>
        <v>16224093.99</v>
      </c>
      <c r="BP3" s="755">
        <f>SUBTOTAL(9,BP4:BP159)</f>
        <v>16123534.326852355</v>
      </c>
      <c r="BQ3" s="755">
        <f t="shared" ref="BQ3:BR3" si="16">SUBTOTAL(9,BQ4:BQ159)</f>
        <v>15881844.588650379</v>
      </c>
      <c r="BR3" s="755">
        <f t="shared" si="16"/>
        <v>15704854.472395834</v>
      </c>
      <c r="BS3" s="755">
        <f>SUBTOTAL(9,BS4:BS159)</f>
        <v>69074073886.249985</v>
      </c>
      <c r="BT3" s="755">
        <f>SUBTOTAL(9,BT4:BT159)</f>
        <v>68523404526.657402</v>
      </c>
      <c r="BU3" s="755">
        <f t="shared" ref="BU3:BV3" si="17">SUBTOTAL(9,BU4:BU159)</f>
        <v>47408512715.611382</v>
      </c>
      <c r="BV3" s="755">
        <f t="shared" si="17"/>
        <v>44195415725.383995</v>
      </c>
      <c r="BW3" s="755">
        <v>21776284773</v>
      </c>
      <c r="BX3" s="755">
        <f>SUBTOTAL(9,BX4:BX159)</f>
        <v>26321545687.434391</v>
      </c>
      <c r="BY3" s="755">
        <f t="shared" ref="BY3:BZ3" si="18">SUBTOTAL(9,BY4:BY159)</f>
        <v>22898655435.494473</v>
      </c>
      <c r="BZ3" s="755">
        <f t="shared" si="18"/>
        <v>22585874316.658108</v>
      </c>
      <c r="CA3" s="755"/>
      <c r="CB3" s="755">
        <f>SUBTOTAL(9,CB4:CB159)</f>
        <v>0</v>
      </c>
      <c r="CC3" s="755">
        <f t="shared" ref="CC3:CD3" si="19">SUBTOTAL(9,CC4:CC159)</f>
        <v>0</v>
      </c>
      <c r="CD3" s="755">
        <f t="shared" si="19"/>
        <v>0</v>
      </c>
      <c r="CE3" s="755">
        <v>14416666667</v>
      </c>
      <c r="CF3" s="755">
        <f>SUBTOTAL(9,CF4:CF159)</f>
        <v>14402250000.333</v>
      </c>
      <c r="CG3" s="755">
        <f t="shared" ref="CG3:CH3" si="20">SUBTOTAL(9,CG4:CG159)</f>
        <v>11968716666.943401</v>
      </c>
      <c r="CH3" s="755">
        <f t="shared" si="20"/>
        <v>11540541666.9335</v>
      </c>
      <c r="CI3" s="755"/>
      <c r="CJ3" s="755"/>
      <c r="CK3" s="755"/>
      <c r="CL3" s="755"/>
      <c r="CM3" s="755">
        <v>5221806239</v>
      </c>
      <c r="CN3" s="755">
        <f>SUBTOTAL(9,CN4:CN159)</f>
        <v>5216584432.7609997</v>
      </c>
      <c r="CO3" s="755">
        <f t="shared" ref="CO3:CP3" si="21">SUBTOTAL(9,CO4:CO159)</f>
        <v>4335143539.6178007</v>
      </c>
      <c r="CP3" s="755">
        <f t="shared" si="21"/>
        <v>4180055894.3195</v>
      </c>
      <c r="CQ3" s="756">
        <f>+C3+G3+K3+O3+S3+W3+AA3+AE3+AI3+AM3+AQ3+AU3+AY3+BC3+BG3+BK3+BO3+BS3+BW3+CA3+CE3+CM3</f>
        <v>150389506137.99899</v>
      </c>
      <c r="CR3" s="756">
        <f>+D3+H3+L3+P3+T3+X3+AB3+AF3+AJ3+AN3+AR3+AV3+AZ3+BD3+BH3+BL3+BP3+BT3+BX3+CB3+CF3+CN3</f>
        <v>154291387964.75998</v>
      </c>
      <c r="CS3" s="756">
        <f>+E3+I3+M3+Q3+U3+Y3+AC3+AG3+AK3+AO3+AS3+AW3+BA3+BE3+BI3+BM3+BQ3+BU3+BY3+CC3+CG3+CO3</f>
        <v>122471350821.31001</v>
      </c>
      <c r="CT3" s="807">
        <f>+F3+J3+N3+R3+V3+Z3+AD3+AH3+AL3+AP3+AT3+AX3+BB3+BF3+BJ3+BN3+BR3+BV3+BZ3+CD3+CH3+CP3</f>
        <v>117518820311.30998</v>
      </c>
      <c r="CU3" s="814"/>
      <c r="CV3" s="814"/>
      <c r="CW3" s="814"/>
      <c r="CX3" s="750"/>
      <c r="CY3" s="750"/>
      <c r="CZ3" s="750"/>
    </row>
    <row r="4" spans="1:104" ht="31.5">
      <c r="A4" s="758" t="s">
        <v>509</v>
      </c>
      <c r="B4" s="759">
        <v>120000000</v>
      </c>
      <c r="C4" s="760"/>
      <c r="D4" s="760"/>
      <c r="E4" s="760"/>
      <c r="F4" s="760"/>
      <c r="W4" s="760"/>
      <c r="X4" s="760"/>
      <c r="Y4" s="760"/>
      <c r="Z4" s="760"/>
      <c r="AA4" s="760"/>
      <c r="AB4" s="760"/>
      <c r="AC4" s="760"/>
      <c r="AD4" s="760"/>
      <c r="AM4" s="762">
        <f>+B4</f>
        <v>120000000</v>
      </c>
      <c r="AN4" s="762">
        <v>115778932</v>
      </c>
      <c r="AO4" s="762">
        <v>112969093</v>
      </c>
      <c r="AP4" s="762">
        <v>93856082</v>
      </c>
      <c r="CQ4" s="763">
        <f>+C4+G4+K4+O4+S4+W4+AA4+AE4+AI4+AM4+AQ4+AU4+AY4+BC4+BG4+BK4+BO4+BS4+BW4+CA4+CE4+CI4+CM4</f>
        <v>120000000</v>
      </c>
      <c r="CR4" s="763">
        <f t="shared" ref="CR4:CT19" si="22">+D4+H4+L4+P4+T4+X4+AB4+AF4+AJ4+AN4+AR4+AV4+AZ4+BD4+BH4+BL4+BP4+BT4+BX4+CB4+CF4+CJ4+CN4</f>
        <v>115778932</v>
      </c>
      <c r="CS4" s="763">
        <f t="shared" si="22"/>
        <v>112969093</v>
      </c>
      <c r="CT4" s="808">
        <f t="shared" si="22"/>
        <v>93856082</v>
      </c>
      <c r="CU4" s="815"/>
      <c r="CV4" s="815"/>
      <c r="CW4" s="815"/>
      <c r="CX4" s="816"/>
      <c r="CY4" s="816"/>
      <c r="CZ4" s="816"/>
    </row>
    <row r="5" spans="1:104" s="765" customFormat="1" ht="31.5">
      <c r="A5" s="758" t="s">
        <v>510</v>
      </c>
      <c r="B5" s="759">
        <v>120000000</v>
      </c>
      <c r="C5" s="764"/>
      <c r="D5" s="764"/>
      <c r="E5" s="764"/>
      <c r="F5" s="764"/>
      <c r="G5" s="764"/>
      <c r="H5" s="764"/>
      <c r="I5" s="764"/>
      <c r="J5" s="764"/>
      <c r="K5" s="764"/>
      <c r="L5" s="764"/>
      <c r="M5" s="764"/>
      <c r="N5" s="764"/>
      <c r="O5" s="764"/>
      <c r="P5" s="764"/>
      <c r="Q5" s="764"/>
      <c r="R5" s="764"/>
      <c r="S5" s="764"/>
      <c r="T5" s="764"/>
      <c r="U5" s="764"/>
      <c r="V5" s="764"/>
      <c r="W5" s="764"/>
      <c r="X5" s="764"/>
      <c r="Y5" s="764"/>
      <c r="Z5" s="764"/>
      <c r="AA5" s="764"/>
      <c r="AB5" s="764"/>
      <c r="AC5" s="764"/>
      <c r="AD5" s="764"/>
      <c r="AE5" s="764"/>
      <c r="AF5" s="764"/>
      <c r="AG5" s="764"/>
      <c r="AH5" s="764"/>
      <c r="AI5" s="764"/>
      <c r="AJ5" s="764"/>
      <c r="AK5" s="764"/>
      <c r="AL5" s="764"/>
      <c r="AM5" s="762">
        <f>+B5</f>
        <v>120000000</v>
      </c>
      <c r="AN5" s="762">
        <v>116938086.84</v>
      </c>
      <c r="AO5" s="762">
        <v>113037976</v>
      </c>
      <c r="AP5" s="762">
        <v>93778512</v>
      </c>
      <c r="AQ5" s="764"/>
      <c r="AR5" s="764"/>
      <c r="AS5" s="764"/>
      <c r="AT5" s="764"/>
      <c r="AU5" s="764"/>
      <c r="AV5" s="764"/>
      <c r="AW5" s="764"/>
      <c r="AX5" s="764"/>
      <c r="AY5" s="764"/>
      <c r="AZ5" s="764"/>
      <c r="BA5" s="764"/>
      <c r="BB5" s="764"/>
      <c r="BC5" s="764"/>
      <c r="BD5" s="764"/>
      <c r="BE5" s="764"/>
      <c r="BF5" s="764"/>
      <c r="BG5" s="764"/>
      <c r="BH5" s="764"/>
      <c r="BI5" s="764"/>
      <c r="BJ5" s="764"/>
      <c r="BK5" s="764"/>
      <c r="BL5" s="764"/>
      <c r="BM5" s="764"/>
      <c r="BN5" s="764"/>
      <c r="BO5" s="764"/>
      <c r="BP5" s="764"/>
      <c r="BQ5" s="764"/>
      <c r="BR5" s="764"/>
      <c r="BS5" s="764"/>
      <c r="BT5" s="764"/>
      <c r="BU5" s="764"/>
      <c r="BV5" s="764"/>
      <c r="BW5" s="764"/>
      <c r="BX5" s="764"/>
      <c r="BY5" s="764"/>
      <c r="BZ5" s="764"/>
      <c r="CA5" s="764"/>
      <c r="CB5" s="764"/>
      <c r="CC5" s="764"/>
      <c r="CD5" s="764"/>
      <c r="CE5" s="764"/>
      <c r="CF5" s="764"/>
      <c r="CG5" s="764"/>
      <c r="CH5" s="764"/>
      <c r="CI5" s="764"/>
      <c r="CJ5" s="764"/>
      <c r="CK5" s="764"/>
      <c r="CL5" s="764"/>
      <c r="CM5" s="764"/>
      <c r="CN5" s="764"/>
      <c r="CO5" s="764"/>
      <c r="CP5" s="764"/>
      <c r="CQ5" s="763">
        <f t="shared" ref="CQ5:CT68" si="23">+C5+G5+K5+O5+S5+W5+AA5+AE5+AI5+AM5+AQ5+AU5+AY5+BC5+BG5+BK5+BO5+BS5+BW5+CA5+CE5+CI5+CM5</f>
        <v>120000000</v>
      </c>
      <c r="CR5" s="763">
        <f t="shared" si="22"/>
        <v>116938086.84</v>
      </c>
      <c r="CS5" s="763">
        <f t="shared" si="22"/>
        <v>113037976</v>
      </c>
      <c r="CT5" s="808">
        <f t="shared" si="22"/>
        <v>93778512</v>
      </c>
      <c r="CU5" s="815"/>
      <c r="CV5" s="815"/>
      <c r="CW5" s="815"/>
      <c r="CX5" s="816"/>
      <c r="CY5" s="816"/>
      <c r="CZ5" s="816"/>
    </row>
    <row r="6" spans="1:104" s="765" customFormat="1" ht="31.5">
      <c r="A6" s="758" t="s">
        <v>1349</v>
      </c>
      <c r="B6" s="759">
        <v>120000000</v>
      </c>
      <c r="C6" s="764"/>
      <c r="D6" s="764"/>
      <c r="E6" s="764"/>
      <c r="F6" s="764"/>
      <c r="G6" s="764"/>
      <c r="H6" s="764"/>
      <c r="I6" s="764"/>
      <c r="J6" s="764"/>
      <c r="K6" s="764"/>
      <c r="L6" s="764"/>
      <c r="M6" s="764"/>
      <c r="N6" s="764"/>
      <c r="O6" s="764"/>
      <c r="P6" s="764"/>
      <c r="Q6" s="764"/>
      <c r="R6" s="764"/>
      <c r="S6" s="764"/>
      <c r="T6" s="764"/>
      <c r="U6" s="764"/>
      <c r="V6" s="764"/>
      <c r="W6" s="764"/>
      <c r="X6" s="764"/>
      <c r="Y6" s="764"/>
      <c r="Z6" s="764"/>
      <c r="AA6" s="764"/>
      <c r="AB6" s="764"/>
      <c r="AC6" s="764"/>
      <c r="AD6" s="764"/>
      <c r="AE6" s="764"/>
      <c r="AF6" s="764"/>
      <c r="AG6" s="764"/>
      <c r="AH6" s="764"/>
      <c r="AI6" s="764"/>
      <c r="AJ6" s="764"/>
      <c r="AK6" s="764"/>
      <c r="AL6" s="764"/>
      <c r="AM6" s="762">
        <f>+B6</f>
        <v>120000000</v>
      </c>
      <c r="AN6" s="762">
        <v>114367577</v>
      </c>
      <c r="AO6" s="762">
        <v>110411467</v>
      </c>
      <c r="AP6" s="762">
        <v>39060294</v>
      </c>
      <c r="AQ6" s="764"/>
      <c r="AR6" s="764"/>
      <c r="AS6" s="764"/>
      <c r="AT6" s="764"/>
      <c r="AU6" s="764"/>
      <c r="AV6" s="764"/>
      <c r="AW6" s="764"/>
      <c r="AX6" s="764"/>
      <c r="AY6" s="764"/>
      <c r="AZ6" s="764"/>
      <c r="BA6" s="764"/>
      <c r="BB6" s="764"/>
      <c r="BC6" s="764"/>
      <c r="BD6" s="764"/>
      <c r="BE6" s="764"/>
      <c r="BF6" s="764"/>
      <c r="BG6" s="764"/>
      <c r="BH6" s="764"/>
      <c r="BI6" s="764"/>
      <c r="BJ6" s="764"/>
      <c r="BK6" s="764"/>
      <c r="BL6" s="764"/>
      <c r="BM6" s="764"/>
      <c r="BN6" s="764"/>
      <c r="BO6" s="764"/>
      <c r="BP6" s="764"/>
      <c r="BQ6" s="764"/>
      <c r="BR6" s="764"/>
      <c r="BS6" s="764"/>
      <c r="BT6" s="764"/>
      <c r="BU6" s="764"/>
      <c r="BV6" s="764"/>
      <c r="BW6" s="764"/>
      <c r="BX6" s="764"/>
      <c r="BY6" s="764"/>
      <c r="BZ6" s="764"/>
      <c r="CA6" s="764"/>
      <c r="CB6" s="764"/>
      <c r="CC6" s="764"/>
      <c r="CD6" s="764"/>
      <c r="CE6" s="764"/>
      <c r="CF6" s="764"/>
      <c r="CG6" s="764"/>
      <c r="CH6" s="764"/>
      <c r="CI6" s="764"/>
      <c r="CJ6" s="764"/>
      <c r="CK6" s="764"/>
      <c r="CL6" s="764"/>
      <c r="CM6" s="764"/>
      <c r="CN6" s="764"/>
      <c r="CO6" s="764"/>
      <c r="CP6" s="764"/>
      <c r="CQ6" s="763">
        <f t="shared" si="23"/>
        <v>120000000</v>
      </c>
      <c r="CR6" s="763">
        <f t="shared" si="22"/>
        <v>114367577</v>
      </c>
      <c r="CS6" s="763">
        <f t="shared" si="22"/>
        <v>110411467</v>
      </c>
      <c r="CT6" s="808">
        <f t="shared" si="22"/>
        <v>39060294</v>
      </c>
      <c r="CU6" s="815"/>
      <c r="CV6" s="815"/>
      <c r="CW6" s="815"/>
      <c r="CX6" s="816"/>
      <c r="CY6" s="816"/>
      <c r="CZ6" s="816"/>
    </row>
    <row r="7" spans="1:104" ht="47.25">
      <c r="A7" s="758" t="s">
        <v>514</v>
      </c>
      <c r="B7" s="759">
        <v>550000000</v>
      </c>
      <c r="C7" s="760"/>
      <c r="D7" s="760"/>
      <c r="E7" s="760"/>
      <c r="F7" s="760"/>
      <c r="W7" s="760"/>
      <c r="X7" s="760"/>
      <c r="Y7" s="760"/>
      <c r="Z7" s="760"/>
      <c r="AA7" s="760"/>
      <c r="AB7" s="760"/>
      <c r="AC7" s="760"/>
      <c r="AD7" s="760"/>
      <c r="AM7" s="762">
        <f>+B7</f>
        <v>550000000</v>
      </c>
      <c r="AN7" s="762">
        <v>544866789</v>
      </c>
      <c r="AO7" s="762">
        <v>359608367</v>
      </c>
      <c r="AP7" s="762">
        <v>354993962</v>
      </c>
      <c r="CQ7" s="763">
        <f t="shared" si="23"/>
        <v>550000000</v>
      </c>
      <c r="CR7" s="763">
        <f t="shared" si="22"/>
        <v>544866789</v>
      </c>
      <c r="CS7" s="763">
        <f t="shared" si="22"/>
        <v>359608367</v>
      </c>
      <c r="CT7" s="808">
        <f t="shared" si="22"/>
        <v>354993962</v>
      </c>
      <c r="CU7" s="815"/>
      <c r="CV7" s="815"/>
      <c r="CW7" s="815"/>
      <c r="CX7" s="816"/>
      <c r="CY7" s="816"/>
      <c r="CZ7" s="816"/>
    </row>
    <row r="8" spans="1:104" s="765" customFormat="1" ht="31.5">
      <c r="A8" s="758" t="s">
        <v>517</v>
      </c>
      <c r="B8" s="759">
        <v>570000000</v>
      </c>
      <c r="C8" s="764"/>
      <c r="D8" s="764"/>
      <c r="E8" s="764"/>
      <c r="F8" s="764"/>
      <c r="G8" s="764"/>
      <c r="H8" s="764"/>
      <c r="I8" s="764"/>
      <c r="J8" s="764"/>
      <c r="K8" s="764"/>
      <c r="L8" s="764"/>
      <c r="M8" s="764"/>
      <c r="N8" s="764"/>
      <c r="O8" s="764"/>
      <c r="P8" s="764"/>
      <c r="Q8" s="764"/>
      <c r="R8" s="764"/>
      <c r="S8" s="764"/>
      <c r="T8" s="764"/>
      <c r="U8" s="764"/>
      <c r="V8" s="764"/>
      <c r="W8" s="764"/>
      <c r="X8" s="764"/>
      <c r="Y8" s="764"/>
      <c r="Z8" s="764"/>
      <c r="AA8" s="764"/>
      <c r="AB8" s="764"/>
      <c r="AC8" s="764"/>
      <c r="AD8" s="764"/>
      <c r="AE8" s="764"/>
      <c r="AF8" s="764"/>
      <c r="AG8" s="764"/>
      <c r="AH8" s="764"/>
      <c r="AI8" s="764"/>
      <c r="AJ8" s="764"/>
      <c r="AK8" s="764"/>
      <c r="AL8" s="764"/>
      <c r="AM8" s="762">
        <f t="shared" ref="AM8:AM12" si="24">+B8</f>
        <v>570000000</v>
      </c>
      <c r="AN8" s="762">
        <v>559570543</v>
      </c>
      <c r="AO8" s="762">
        <v>442650348</v>
      </c>
      <c r="AP8" s="762">
        <v>438039288</v>
      </c>
      <c r="AQ8" s="764"/>
      <c r="AR8" s="764"/>
      <c r="AS8" s="764"/>
      <c r="AT8" s="764"/>
      <c r="AU8" s="764"/>
      <c r="AV8" s="764"/>
      <c r="AW8" s="764"/>
      <c r="AX8" s="764"/>
      <c r="AY8" s="764"/>
      <c r="AZ8" s="764"/>
      <c r="BA8" s="764"/>
      <c r="BB8" s="764"/>
      <c r="BC8" s="764"/>
      <c r="BD8" s="764"/>
      <c r="BE8" s="764"/>
      <c r="BF8" s="764"/>
      <c r="BG8" s="764"/>
      <c r="BH8" s="764"/>
      <c r="BI8" s="764"/>
      <c r="BJ8" s="764"/>
      <c r="BK8" s="764"/>
      <c r="BL8" s="764"/>
      <c r="BM8" s="764"/>
      <c r="BN8" s="764"/>
      <c r="BO8" s="764"/>
      <c r="BP8" s="764"/>
      <c r="BQ8" s="764"/>
      <c r="BR8" s="764"/>
      <c r="BS8" s="764"/>
      <c r="BT8" s="764"/>
      <c r="BU8" s="764"/>
      <c r="BV8" s="764"/>
      <c r="BW8" s="764"/>
      <c r="BX8" s="764"/>
      <c r="BY8" s="764"/>
      <c r="BZ8" s="764"/>
      <c r="CA8" s="764"/>
      <c r="CB8" s="764"/>
      <c r="CC8" s="764"/>
      <c r="CD8" s="764"/>
      <c r="CE8" s="764"/>
      <c r="CF8" s="764"/>
      <c r="CG8" s="764"/>
      <c r="CH8" s="764"/>
      <c r="CI8" s="764"/>
      <c r="CJ8" s="764"/>
      <c r="CK8" s="764"/>
      <c r="CL8" s="764"/>
      <c r="CM8" s="764"/>
      <c r="CN8" s="764"/>
      <c r="CO8" s="764"/>
      <c r="CP8" s="764"/>
      <c r="CQ8" s="763">
        <f t="shared" si="23"/>
        <v>570000000</v>
      </c>
      <c r="CR8" s="763">
        <f t="shared" si="22"/>
        <v>559570543</v>
      </c>
      <c r="CS8" s="763">
        <f t="shared" si="22"/>
        <v>442650348</v>
      </c>
      <c r="CT8" s="808">
        <f t="shared" si="22"/>
        <v>438039288</v>
      </c>
      <c r="CU8" s="815"/>
      <c r="CV8" s="815"/>
      <c r="CW8" s="815"/>
      <c r="CX8" s="816"/>
      <c r="CY8" s="816"/>
      <c r="CZ8" s="816"/>
    </row>
    <row r="9" spans="1:104" ht="47.25">
      <c r="A9" s="758" t="s">
        <v>1350</v>
      </c>
      <c r="B9" s="759">
        <v>175000000</v>
      </c>
      <c r="C9" s="760"/>
      <c r="D9" s="760"/>
      <c r="E9" s="760"/>
      <c r="F9" s="760"/>
      <c r="W9" s="760"/>
      <c r="X9" s="760"/>
      <c r="Y9" s="760"/>
      <c r="Z9" s="760"/>
      <c r="AA9" s="760"/>
      <c r="AB9" s="760"/>
      <c r="AC9" s="760"/>
      <c r="AD9" s="760"/>
      <c r="AM9" s="762">
        <f t="shared" si="24"/>
        <v>175000000</v>
      </c>
      <c r="AN9" s="762">
        <v>169741138</v>
      </c>
      <c r="AO9" s="762">
        <v>164090403</v>
      </c>
      <c r="AP9" s="762">
        <v>143977235</v>
      </c>
      <c r="CQ9" s="763">
        <f t="shared" si="23"/>
        <v>175000000</v>
      </c>
      <c r="CR9" s="763">
        <f t="shared" si="22"/>
        <v>169741138</v>
      </c>
      <c r="CS9" s="763">
        <f t="shared" si="22"/>
        <v>164090403</v>
      </c>
      <c r="CT9" s="808">
        <f t="shared" si="22"/>
        <v>143977235</v>
      </c>
      <c r="CU9" s="815"/>
      <c r="CV9" s="815"/>
      <c r="CW9" s="815"/>
      <c r="CX9" s="816"/>
      <c r="CY9" s="816"/>
      <c r="CZ9" s="816"/>
    </row>
    <row r="10" spans="1:104" ht="47.25">
      <c r="A10" s="766" t="s">
        <v>519</v>
      </c>
      <c r="B10" s="767">
        <v>489400000</v>
      </c>
      <c r="C10" s="760"/>
      <c r="D10" s="760"/>
      <c r="E10" s="760"/>
      <c r="F10" s="760"/>
      <c r="W10" s="760"/>
      <c r="X10" s="760"/>
      <c r="Y10" s="760"/>
      <c r="Z10" s="760"/>
      <c r="AA10" s="760"/>
      <c r="AB10" s="760"/>
      <c r="AC10" s="760"/>
      <c r="AD10" s="760"/>
      <c r="AM10" s="762">
        <v>489400000</v>
      </c>
      <c r="AN10" s="762">
        <v>489109181</v>
      </c>
      <c r="AO10" s="762">
        <v>476709597</v>
      </c>
      <c r="AP10" s="762">
        <v>471253418</v>
      </c>
      <c r="CQ10" s="763">
        <f t="shared" si="23"/>
        <v>489400000</v>
      </c>
      <c r="CR10" s="763">
        <f t="shared" si="22"/>
        <v>489109181</v>
      </c>
      <c r="CS10" s="763">
        <f t="shared" si="22"/>
        <v>476709597</v>
      </c>
      <c r="CT10" s="808">
        <f t="shared" si="22"/>
        <v>471253418</v>
      </c>
      <c r="CU10" s="815"/>
      <c r="CV10" s="815"/>
      <c r="CW10" s="815"/>
      <c r="CX10" s="816"/>
      <c r="CY10" s="816"/>
      <c r="CZ10" s="816"/>
    </row>
    <row r="11" spans="1:104" ht="63">
      <c r="A11" s="766" t="s">
        <v>520</v>
      </c>
      <c r="B11" s="759">
        <v>60600000</v>
      </c>
      <c r="C11" s="760"/>
      <c r="D11" s="760"/>
      <c r="E11" s="760"/>
      <c r="F11" s="760"/>
      <c r="W11" s="760"/>
      <c r="X11" s="760"/>
      <c r="Y11" s="760"/>
      <c r="Z11" s="760"/>
      <c r="AA11" s="760"/>
      <c r="AB11" s="760"/>
      <c r="AC11" s="760"/>
      <c r="AD11" s="760"/>
      <c r="AM11" s="762">
        <v>60600000</v>
      </c>
      <c r="AN11" s="762">
        <v>60433046</v>
      </c>
      <c r="AO11" s="762">
        <v>23730780</v>
      </c>
      <c r="AP11" s="762">
        <v>12305581</v>
      </c>
      <c r="AQ11" s="762"/>
      <c r="AR11" s="762"/>
      <c r="AS11" s="762"/>
      <c r="AT11" s="762"/>
      <c r="AU11" s="762"/>
      <c r="AV11" s="762"/>
      <c r="AW11" s="762"/>
      <c r="AX11" s="762"/>
      <c r="AY11" s="762"/>
      <c r="AZ11" s="762"/>
      <c r="BA11" s="762"/>
      <c r="BB11" s="762"/>
      <c r="BC11" s="762"/>
      <c r="BD11" s="762"/>
      <c r="BE11" s="762"/>
      <c r="BF11" s="762"/>
      <c r="BG11" s="762"/>
      <c r="BH11" s="762"/>
      <c r="BI11" s="762"/>
      <c r="BJ11" s="762"/>
      <c r="BK11" s="762"/>
      <c r="BL11" s="762"/>
      <c r="BM11" s="762"/>
      <c r="BN11" s="762"/>
      <c r="BO11" s="762"/>
      <c r="BP11" s="762"/>
      <c r="BQ11" s="762"/>
      <c r="BR11" s="762"/>
      <c r="BS11" s="762"/>
      <c r="BT11" s="762"/>
      <c r="BU11" s="762"/>
      <c r="BV11" s="762"/>
      <c r="CQ11" s="763">
        <f t="shared" si="23"/>
        <v>60600000</v>
      </c>
      <c r="CR11" s="763">
        <f t="shared" si="22"/>
        <v>60433046</v>
      </c>
      <c r="CS11" s="763">
        <f t="shared" si="22"/>
        <v>23730780</v>
      </c>
      <c r="CT11" s="808">
        <f t="shared" si="22"/>
        <v>12305581</v>
      </c>
      <c r="CU11" s="815"/>
      <c r="CV11" s="815"/>
      <c r="CW11" s="815"/>
      <c r="CX11" s="816"/>
      <c r="CY11" s="816"/>
      <c r="CZ11" s="816"/>
    </row>
    <row r="12" spans="1:104" ht="31.5">
      <c r="A12" s="758" t="s">
        <v>1351</v>
      </c>
      <c r="B12" s="759">
        <v>375000000</v>
      </c>
      <c r="C12" s="760"/>
      <c r="D12" s="760"/>
      <c r="E12" s="760"/>
      <c r="F12" s="760"/>
      <c r="W12" s="760"/>
      <c r="X12" s="760"/>
      <c r="Y12" s="760"/>
      <c r="Z12" s="760"/>
      <c r="AA12" s="760"/>
      <c r="AB12" s="760"/>
      <c r="AC12" s="760"/>
      <c r="AD12" s="760"/>
      <c r="AM12" s="762">
        <f t="shared" si="24"/>
        <v>375000000</v>
      </c>
      <c r="AN12" s="762">
        <v>360796121</v>
      </c>
      <c r="AO12" s="762">
        <v>330425585</v>
      </c>
      <c r="AP12" s="762">
        <v>327763712</v>
      </c>
      <c r="AQ12" s="762"/>
      <c r="AR12" s="762"/>
      <c r="AS12" s="762"/>
      <c r="AT12" s="762"/>
      <c r="AU12" s="762"/>
      <c r="AV12" s="762"/>
      <c r="AW12" s="762"/>
      <c r="AX12" s="762"/>
      <c r="AY12" s="762"/>
      <c r="AZ12" s="762"/>
      <c r="BA12" s="762"/>
      <c r="BB12" s="762"/>
      <c r="BC12" s="762"/>
      <c r="BD12" s="762"/>
      <c r="BE12" s="762"/>
      <c r="BF12" s="762"/>
      <c r="BG12" s="762"/>
      <c r="BH12" s="762"/>
      <c r="BI12" s="762"/>
      <c r="BJ12" s="762"/>
      <c r="BK12" s="762"/>
      <c r="BL12" s="762"/>
      <c r="BM12" s="762"/>
      <c r="BN12" s="762"/>
      <c r="BO12" s="762"/>
      <c r="BP12" s="762"/>
      <c r="BQ12" s="762"/>
      <c r="BR12" s="762"/>
      <c r="BS12" s="762"/>
      <c r="BT12" s="762"/>
      <c r="BU12" s="762"/>
      <c r="BV12" s="762"/>
      <c r="CQ12" s="763">
        <f t="shared" si="23"/>
        <v>375000000</v>
      </c>
      <c r="CR12" s="763">
        <f t="shared" si="22"/>
        <v>360796121</v>
      </c>
      <c r="CS12" s="763">
        <f t="shared" si="22"/>
        <v>330425585</v>
      </c>
      <c r="CT12" s="808">
        <f t="shared" si="22"/>
        <v>327763712</v>
      </c>
      <c r="CU12" s="815"/>
      <c r="CV12" s="815"/>
      <c r="CW12" s="815"/>
      <c r="CX12" s="816"/>
      <c r="CY12" s="816"/>
      <c r="CZ12" s="816"/>
    </row>
    <row r="13" spans="1:104" ht="47.25">
      <c r="A13" s="758" t="s">
        <v>1352</v>
      </c>
      <c r="B13" s="759">
        <v>35231275472</v>
      </c>
      <c r="C13" s="760"/>
      <c r="D13" s="760"/>
      <c r="E13" s="760"/>
      <c r="F13" s="760"/>
      <c r="S13" s="768">
        <v>7166774254.6000004</v>
      </c>
      <c r="T13" s="768">
        <v>7159742619.6573973</v>
      </c>
      <c r="U13" s="768">
        <v>5950305825.1545162</v>
      </c>
      <c r="V13" s="768">
        <v>5737718320.3112984</v>
      </c>
      <c r="W13" s="769"/>
      <c r="X13" s="769"/>
      <c r="Y13" s="769"/>
      <c r="Z13" s="769"/>
      <c r="AA13" s="769"/>
      <c r="AB13" s="769"/>
      <c r="AC13" s="769"/>
      <c r="AD13" s="769"/>
      <c r="AM13" s="762">
        <v>3715939992</v>
      </c>
      <c r="AN13" s="768">
        <v>3712224052.0079999</v>
      </c>
      <c r="AO13" s="768">
        <v>3084973381.3584003</v>
      </c>
      <c r="AP13" s="768">
        <v>2974609963.5960002</v>
      </c>
      <c r="AQ13" s="770">
        <v>62959400.100000001</v>
      </c>
      <c r="AR13" s="768">
        <v>62896440.699900001</v>
      </c>
      <c r="AS13" s="768">
        <v>52268893.963020004</v>
      </c>
      <c r="AT13" s="768">
        <v>50398999.780050002</v>
      </c>
      <c r="AU13" s="762">
        <v>4197128919.3000002</v>
      </c>
      <c r="AV13" s="768">
        <v>4192931790.3807001</v>
      </c>
      <c r="AW13" s="768">
        <v>3484456428.8028603</v>
      </c>
      <c r="AX13" s="768">
        <v>3359801699.8996501</v>
      </c>
      <c r="AY13" s="770">
        <v>450000000</v>
      </c>
      <c r="AZ13" s="768">
        <v>449550000</v>
      </c>
      <c r="BA13" s="768">
        <v>373590000</v>
      </c>
      <c r="BB13" s="768">
        <v>360225000</v>
      </c>
      <c r="BC13" s="768"/>
      <c r="BD13" s="762"/>
      <c r="BE13" s="762"/>
      <c r="BF13" s="762"/>
      <c r="BG13" s="762"/>
      <c r="BH13" s="762"/>
      <c r="BI13" s="762"/>
      <c r="BJ13" s="762"/>
      <c r="BK13" s="762"/>
      <c r="BL13" s="762"/>
      <c r="BM13" s="762"/>
      <c r="BN13" s="762"/>
      <c r="BO13" s="762"/>
      <c r="BP13" s="762"/>
      <c r="BQ13" s="762"/>
      <c r="BR13" s="762"/>
      <c r="BS13" s="762"/>
      <c r="BT13" s="762"/>
      <c r="BU13" s="762"/>
      <c r="BV13" s="762"/>
      <c r="CE13" s="768">
        <v>14416666667</v>
      </c>
      <c r="CF13" s="768">
        <v>14402250000.333</v>
      </c>
      <c r="CG13" s="768">
        <v>11968716666.943401</v>
      </c>
      <c r="CH13" s="768">
        <v>11540541666.9335</v>
      </c>
      <c r="CI13" s="768"/>
      <c r="CJ13" s="768"/>
      <c r="CK13" s="768"/>
      <c r="CL13" s="768"/>
      <c r="CM13" s="771">
        <v>5221806239</v>
      </c>
      <c r="CN13" s="768">
        <v>5216584432.7609997</v>
      </c>
      <c r="CO13" s="768">
        <v>4335143539.6178007</v>
      </c>
      <c r="CP13" s="768">
        <v>4180055894.3195</v>
      </c>
      <c r="CQ13" s="763">
        <f t="shared" si="23"/>
        <v>35231275472</v>
      </c>
      <c r="CR13" s="763">
        <f t="shared" si="22"/>
        <v>35196179335.839996</v>
      </c>
      <c r="CS13" s="763">
        <f t="shared" si="22"/>
        <v>29249454735.84</v>
      </c>
      <c r="CT13" s="808">
        <f t="shared" si="22"/>
        <v>28203351544.84</v>
      </c>
      <c r="CU13" s="815"/>
      <c r="CV13" s="815"/>
      <c r="CW13" s="815"/>
      <c r="CX13" s="816"/>
      <c r="CY13" s="816"/>
      <c r="CZ13" s="816"/>
    </row>
    <row r="14" spans="1:104" ht="47.25">
      <c r="A14" s="758" t="s">
        <v>1353</v>
      </c>
      <c r="B14" s="759">
        <v>807500000</v>
      </c>
      <c r="C14" s="760"/>
      <c r="D14" s="760"/>
      <c r="E14" s="760"/>
      <c r="F14" s="760"/>
      <c r="K14" s="759">
        <v>609169515</v>
      </c>
      <c r="L14" s="759">
        <v>604413867.02686679</v>
      </c>
      <c r="M14" s="759">
        <v>548294303.87060678</v>
      </c>
      <c r="N14" s="759">
        <v>392930715.72526646</v>
      </c>
      <c r="O14" s="759">
        <v>139017041</v>
      </c>
      <c r="P14" s="759">
        <v>137931766.55178237</v>
      </c>
      <c r="Q14" s="759">
        <v>125124862.36486505</v>
      </c>
      <c r="R14" s="759">
        <v>89669729.15271163</v>
      </c>
      <c r="S14" s="768">
        <v>59313444</v>
      </c>
      <c r="T14" s="768">
        <v>58850397.421350792</v>
      </c>
      <c r="U14" s="768">
        <v>53386163.764528193</v>
      </c>
      <c r="V14" s="768">
        <v>38258766.122021899</v>
      </c>
      <c r="AQ14" s="762"/>
      <c r="AR14" s="762"/>
      <c r="AS14" s="762"/>
      <c r="AT14" s="762"/>
      <c r="AU14" s="762"/>
      <c r="AV14" s="762"/>
      <c r="AW14" s="762"/>
      <c r="AX14" s="762"/>
      <c r="AY14" s="762"/>
      <c r="AZ14" s="762"/>
      <c r="BA14" s="762"/>
      <c r="BB14" s="762"/>
      <c r="BC14" s="762"/>
      <c r="BD14" s="762"/>
      <c r="BE14" s="762"/>
      <c r="BF14" s="762"/>
      <c r="BG14" s="762"/>
      <c r="BH14" s="762"/>
      <c r="BI14" s="762"/>
      <c r="BJ14" s="762"/>
      <c r="BK14" s="762"/>
      <c r="BL14" s="762"/>
      <c r="BM14" s="762"/>
      <c r="BN14" s="762"/>
      <c r="BO14" s="762"/>
      <c r="BP14" s="762"/>
      <c r="BQ14" s="762"/>
      <c r="BR14" s="762"/>
      <c r="BS14" s="762"/>
      <c r="BT14" s="762"/>
      <c r="BU14" s="762"/>
      <c r="BV14" s="762"/>
      <c r="CQ14" s="763">
        <f t="shared" si="23"/>
        <v>807500000</v>
      </c>
      <c r="CR14" s="763">
        <f t="shared" si="22"/>
        <v>801196031</v>
      </c>
      <c r="CS14" s="763">
        <f t="shared" si="22"/>
        <v>726805330</v>
      </c>
      <c r="CT14" s="808">
        <f t="shared" si="22"/>
        <v>520859211</v>
      </c>
      <c r="CU14" s="815"/>
      <c r="CV14" s="815"/>
      <c r="CW14" s="815"/>
      <c r="CX14" s="816"/>
      <c r="CY14" s="816"/>
      <c r="CZ14" s="816"/>
    </row>
    <row r="15" spans="1:104" ht="47.25">
      <c r="A15" s="758" t="s">
        <v>1354</v>
      </c>
      <c r="B15" s="759">
        <v>9789274309.9990005</v>
      </c>
      <c r="C15" s="760"/>
      <c r="D15" s="760"/>
      <c r="E15" s="760"/>
      <c r="F15" s="760"/>
      <c r="O15" s="759">
        <v>394439368.49400002</v>
      </c>
      <c r="P15" s="759">
        <v>393966041.25180721</v>
      </c>
      <c r="Q15" s="759">
        <v>115531291.0318926</v>
      </c>
      <c r="R15" s="759">
        <v>115215739.53709741</v>
      </c>
      <c r="W15" s="759">
        <v>72602217.099999994</v>
      </c>
      <c r="X15" s="759">
        <v>72515094.439479992</v>
      </c>
      <c r="Y15" s="759">
        <v>21265189.388589997</v>
      </c>
      <c r="Z15" s="759">
        <v>21207107.614909999</v>
      </c>
      <c r="AA15" s="759">
        <v>53092908.93</v>
      </c>
      <c r="AB15" s="759">
        <v>53029197.439284004</v>
      </c>
      <c r="AC15" s="759">
        <v>15550913.025597</v>
      </c>
      <c r="AD15" s="759">
        <v>15508438.698453002</v>
      </c>
      <c r="AE15" s="759">
        <v>19552150.484999999</v>
      </c>
      <c r="AF15" s="759">
        <v>19528687.904417999</v>
      </c>
      <c r="AG15" s="759">
        <v>5726824.8770564999</v>
      </c>
      <c r="AH15" s="759">
        <v>5711183.1566685</v>
      </c>
      <c r="AI15" s="759">
        <v>673672072.63</v>
      </c>
      <c r="AJ15" s="759">
        <v>672863666.14284396</v>
      </c>
      <c r="AK15" s="759">
        <v>197318550.073327</v>
      </c>
      <c r="AL15" s="759">
        <v>196779612.415223</v>
      </c>
      <c r="AQ15" s="762"/>
      <c r="AR15" s="762"/>
      <c r="AS15" s="762"/>
      <c r="AT15" s="762"/>
      <c r="AU15" s="762"/>
      <c r="AV15" s="762"/>
      <c r="AW15" s="762"/>
      <c r="AX15" s="762"/>
      <c r="AY15" s="762"/>
      <c r="AZ15" s="762"/>
      <c r="BA15" s="762"/>
      <c r="BB15" s="762"/>
      <c r="BC15" s="762"/>
      <c r="BD15" s="762"/>
      <c r="BE15" s="762"/>
      <c r="BF15" s="762"/>
      <c r="BG15" s="762"/>
      <c r="BH15" s="762"/>
      <c r="BI15" s="762"/>
      <c r="BJ15" s="762"/>
      <c r="BK15" s="762"/>
      <c r="BL15" s="762"/>
      <c r="BM15" s="762"/>
      <c r="BN15" s="762"/>
      <c r="BO15" s="762"/>
      <c r="BP15" s="762"/>
      <c r="BQ15" s="762"/>
      <c r="BR15" s="762"/>
      <c r="BS15" s="762">
        <v>8575915592.3599997</v>
      </c>
      <c r="BT15" s="759">
        <v>8565814414.8221664</v>
      </c>
      <c r="BU15" s="759">
        <v>2511428288.6035366</v>
      </c>
      <c r="BV15" s="759">
        <v>2504851114.5776482</v>
      </c>
      <c r="CQ15" s="763">
        <f t="shared" si="23"/>
        <v>9789274309.9990005</v>
      </c>
      <c r="CR15" s="763">
        <f t="shared" si="22"/>
        <v>9777717102</v>
      </c>
      <c r="CS15" s="763">
        <f t="shared" si="22"/>
        <v>2866821057</v>
      </c>
      <c r="CT15" s="808">
        <f t="shared" si="22"/>
        <v>2859273196</v>
      </c>
      <c r="CU15" s="815"/>
      <c r="CV15" s="815"/>
      <c r="CW15" s="815"/>
      <c r="CX15" s="816"/>
      <c r="CY15" s="816"/>
      <c r="CZ15" s="816"/>
    </row>
    <row r="16" spans="1:104" ht="47.25">
      <c r="A16" s="758" t="s">
        <v>1355</v>
      </c>
      <c r="B16" s="767">
        <v>322500000</v>
      </c>
      <c r="C16" s="760"/>
      <c r="D16" s="760"/>
      <c r="E16" s="760"/>
      <c r="F16" s="760"/>
      <c r="AQ16" s="762"/>
      <c r="AR16" s="762"/>
      <c r="AS16" s="762"/>
      <c r="AT16" s="762"/>
      <c r="AU16" s="762"/>
      <c r="AV16" s="762"/>
      <c r="AW16" s="762"/>
      <c r="AX16" s="762"/>
      <c r="AY16" s="762"/>
      <c r="AZ16" s="762"/>
      <c r="BA16" s="762"/>
      <c r="BB16" s="762"/>
      <c r="BC16" s="762"/>
      <c r="BD16" s="762"/>
      <c r="BE16" s="762"/>
      <c r="BF16" s="762"/>
      <c r="BG16" s="762"/>
      <c r="BH16" s="762"/>
      <c r="BI16" s="762"/>
      <c r="BJ16" s="762"/>
      <c r="BK16" s="762"/>
      <c r="BL16" s="762"/>
      <c r="BM16" s="762"/>
      <c r="BN16" s="762"/>
      <c r="BO16" s="762"/>
      <c r="BP16" s="762"/>
      <c r="BQ16" s="762"/>
      <c r="BR16" s="762"/>
      <c r="BS16" s="762">
        <v>322500000</v>
      </c>
      <c r="BT16" s="762">
        <v>322056707</v>
      </c>
      <c r="BU16" s="762">
        <v>311012803</v>
      </c>
      <c r="BV16" s="762">
        <v>299371882</v>
      </c>
      <c r="CQ16" s="763">
        <f t="shared" si="23"/>
        <v>322500000</v>
      </c>
      <c r="CR16" s="763">
        <f t="shared" si="22"/>
        <v>322056707</v>
      </c>
      <c r="CS16" s="763">
        <f t="shared" si="22"/>
        <v>311012803</v>
      </c>
      <c r="CT16" s="808">
        <f t="shared" si="22"/>
        <v>299371882</v>
      </c>
      <c r="CU16" s="815"/>
      <c r="CV16" s="815"/>
      <c r="CW16" s="815"/>
      <c r="CX16" s="816"/>
      <c r="CY16" s="816"/>
      <c r="CZ16" s="816"/>
    </row>
    <row r="17" spans="1:108" ht="31.5">
      <c r="A17" s="772" t="s">
        <v>526</v>
      </c>
      <c r="B17" s="759">
        <v>295700000</v>
      </c>
      <c r="C17" s="760"/>
      <c r="D17" s="760"/>
      <c r="E17" s="760"/>
      <c r="F17" s="760"/>
      <c r="AQ17" s="762"/>
      <c r="AR17" s="762"/>
      <c r="AS17" s="762"/>
      <c r="AT17" s="762"/>
      <c r="AU17" s="762"/>
      <c r="AV17" s="762"/>
      <c r="AW17" s="762"/>
      <c r="AX17" s="762"/>
      <c r="AY17" s="762"/>
      <c r="AZ17" s="762"/>
      <c r="BA17" s="762"/>
      <c r="BB17" s="762"/>
      <c r="BC17" s="762"/>
      <c r="BD17" s="762"/>
      <c r="BE17" s="762"/>
      <c r="BF17" s="762"/>
      <c r="BG17" s="762"/>
      <c r="BH17" s="762"/>
      <c r="BI17" s="762"/>
      <c r="BJ17" s="762"/>
      <c r="BK17" s="762"/>
      <c r="BL17" s="762"/>
      <c r="BM17" s="762"/>
      <c r="BN17" s="762"/>
      <c r="BO17" s="762"/>
      <c r="BP17" s="762"/>
      <c r="BQ17" s="762"/>
      <c r="BR17" s="762"/>
      <c r="BS17" s="762">
        <v>295700000</v>
      </c>
      <c r="BT17" s="762">
        <v>293075474</v>
      </c>
      <c r="BU17" s="762">
        <v>278874807</v>
      </c>
      <c r="BV17" s="762">
        <v>277048886</v>
      </c>
      <c r="CQ17" s="763">
        <f t="shared" si="23"/>
        <v>295700000</v>
      </c>
      <c r="CR17" s="763">
        <f t="shared" si="22"/>
        <v>293075474</v>
      </c>
      <c r="CS17" s="763">
        <f t="shared" si="22"/>
        <v>278874807</v>
      </c>
      <c r="CT17" s="808">
        <f t="shared" si="22"/>
        <v>277048886</v>
      </c>
      <c r="CU17" s="815"/>
      <c r="CV17" s="815"/>
      <c r="CW17" s="815"/>
      <c r="CX17" s="816"/>
      <c r="CY17" s="816"/>
      <c r="CZ17" s="816"/>
    </row>
    <row r="18" spans="1:108" ht="31.5">
      <c r="A18" s="772" t="s">
        <v>1356</v>
      </c>
      <c r="B18" s="759">
        <v>249700000</v>
      </c>
      <c r="C18" s="760"/>
      <c r="D18" s="760"/>
      <c r="E18" s="760"/>
      <c r="F18" s="760"/>
      <c r="AQ18" s="762"/>
      <c r="AR18" s="762"/>
      <c r="AS18" s="762"/>
      <c r="AT18" s="762"/>
      <c r="AU18" s="762"/>
      <c r="AV18" s="762"/>
      <c r="AW18" s="762"/>
      <c r="AX18" s="762"/>
      <c r="AY18" s="762"/>
      <c r="AZ18" s="762"/>
      <c r="BA18" s="762"/>
      <c r="BB18" s="762"/>
      <c r="BC18" s="762"/>
      <c r="BD18" s="762"/>
      <c r="BE18" s="762"/>
      <c r="BF18" s="762"/>
      <c r="BG18" s="762"/>
      <c r="BH18" s="762"/>
      <c r="BI18" s="762"/>
      <c r="BJ18" s="762"/>
      <c r="BK18" s="762"/>
      <c r="BL18" s="762"/>
      <c r="BM18" s="762"/>
      <c r="BN18" s="762"/>
      <c r="BO18" s="762"/>
      <c r="BP18" s="762"/>
      <c r="BQ18" s="762"/>
      <c r="BR18" s="762"/>
      <c r="BS18" s="762">
        <v>249700000</v>
      </c>
      <c r="BT18" s="762">
        <v>245188486</v>
      </c>
      <c r="BU18" s="762">
        <v>238708110</v>
      </c>
      <c r="BV18" s="762">
        <v>236717516</v>
      </c>
      <c r="CQ18" s="763">
        <f t="shared" si="23"/>
        <v>249700000</v>
      </c>
      <c r="CR18" s="763">
        <f t="shared" si="22"/>
        <v>245188486</v>
      </c>
      <c r="CS18" s="763">
        <f t="shared" si="22"/>
        <v>238708110</v>
      </c>
      <c r="CT18" s="808">
        <f t="shared" si="22"/>
        <v>236717516</v>
      </c>
      <c r="CU18" s="815"/>
      <c r="CV18" s="815"/>
      <c r="CW18" s="815"/>
      <c r="CX18" s="816"/>
      <c r="CY18" s="816"/>
      <c r="CZ18" s="816"/>
    </row>
    <row r="19" spans="1:108" ht="31.5">
      <c r="A19" s="772" t="s">
        <v>1357</v>
      </c>
      <c r="B19" s="759">
        <v>189700000</v>
      </c>
      <c r="C19" s="760"/>
      <c r="D19" s="760"/>
      <c r="E19" s="760"/>
      <c r="F19" s="760"/>
      <c r="AQ19" s="762"/>
      <c r="AR19" s="762"/>
      <c r="AS19" s="762"/>
      <c r="AT19" s="762"/>
      <c r="AU19" s="762"/>
      <c r="AV19" s="762"/>
      <c r="AW19" s="762"/>
      <c r="AX19" s="762"/>
      <c r="AY19" s="762"/>
      <c r="AZ19" s="762"/>
      <c r="BA19" s="762"/>
      <c r="BB19" s="762"/>
      <c r="BC19" s="762"/>
      <c r="BD19" s="762"/>
      <c r="BE19" s="762"/>
      <c r="BF19" s="762"/>
      <c r="BG19" s="762"/>
      <c r="BH19" s="762"/>
      <c r="BI19" s="762"/>
      <c r="BJ19" s="762"/>
      <c r="BK19" s="762"/>
      <c r="BL19" s="762"/>
      <c r="BM19" s="762"/>
      <c r="BN19" s="762"/>
      <c r="BO19" s="762"/>
      <c r="BP19" s="762"/>
      <c r="BQ19" s="762"/>
      <c r="BR19" s="762"/>
      <c r="BS19" s="762">
        <v>189700000</v>
      </c>
      <c r="BT19" s="762">
        <v>189510018</v>
      </c>
      <c r="BU19" s="762">
        <v>188663299</v>
      </c>
      <c r="BV19" s="762">
        <v>184502904</v>
      </c>
      <c r="CQ19" s="763">
        <f t="shared" si="23"/>
        <v>189700000</v>
      </c>
      <c r="CR19" s="763">
        <f t="shared" si="22"/>
        <v>189510018</v>
      </c>
      <c r="CS19" s="763">
        <f t="shared" si="22"/>
        <v>188663299</v>
      </c>
      <c r="CT19" s="808">
        <f t="shared" si="22"/>
        <v>184502904</v>
      </c>
      <c r="CU19" s="815"/>
      <c r="CV19" s="815"/>
      <c r="CW19" s="815"/>
      <c r="CX19" s="816"/>
      <c r="CY19" s="816"/>
      <c r="CZ19" s="816"/>
    </row>
    <row r="20" spans="1:108">
      <c r="A20" s="772" t="s">
        <v>530</v>
      </c>
      <c r="B20" s="759">
        <v>961700000</v>
      </c>
      <c r="C20" s="760"/>
      <c r="D20" s="760"/>
      <c r="E20" s="760"/>
      <c r="F20" s="760"/>
      <c r="AQ20" s="762"/>
      <c r="AR20" s="762"/>
      <c r="AS20" s="762"/>
      <c r="AT20" s="762"/>
      <c r="AU20" s="762"/>
      <c r="AV20" s="762"/>
      <c r="AW20" s="762"/>
      <c r="AX20" s="762"/>
      <c r="AY20" s="762"/>
      <c r="AZ20" s="762"/>
      <c r="BA20" s="762"/>
      <c r="BB20" s="762"/>
      <c r="BC20" s="762"/>
      <c r="BD20" s="762"/>
      <c r="BE20" s="762"/>
      <c r="BF20" s="762"/>
      <c r="BG20" s="762"/>
      <c r="BH20" s="762"/>
      <c r="BI20" s="762"/>
      <c r="BJ20" s="762"/>
      <c r="BK20" s="762"/>
      <c r="BL20" s="762"/>
      <c r="BM20" s="762"/>
      <c r="BN20" s="762"/>
      <c r="BO20" s="762"/>
      <c r="BP20" s="762"/>
      <c r="BQ20" s="762"/>
      <c r="BR20" s="762"/>
      <c r="BS20" s="762">
        <v>961700000</v>
      </c>
      <c r="BT20" s="762">
        <v>960976437</v>
      </c>
      <c r="BU20" s="762">
        <v>699614855</v>
      </c>
      <c r="BV20" s="762">
        <v>431212044</v>
      </c>
      <c r="CQ20" s="763">
        <f t="shared" si="23"/>
        <v>961700000</v>
      </c>
      <c r="CR20" s="763">
        <f t="shared" si="23"/>
        <v>960976437</v>
      </c>
      <c r="CS20" s="763">
        <f t="shared" si="23"/>
        <v>699614855</v>
      </c>
      <c r="CT20" s="808">
        <f t="shared" si="23"/>
        <v>431212044</v>
      </c>
      <c r="CU20" s="815"/>
      <c r="CV20" s="815"/>
      <c r="CW20" s="815"/>
      <c r="CX20" s="816"/>
      <c r="CY20" s="816"/>
      <c r="CZ20" s="816"/>
    </row>
    <row r="21" spans="1:108" ht="31.5">
      <c r="A21" s="772" t="s">
        <v>531</v>
      </c>
      <c r="B21" s="759">
        <v>238300000</v>
      </c>
      <c r="C21" s="760"/>
      <c r="D21" s="760"/>
      <c r="E21" s="760"/>
      <c r="F21" s="760"/>
      <c r="AQ21" s="762"/>
      <c r="AR21" s="762"/>
      <c r="AS21" s="762"/>
      <c r="AT21" s="762"/>
      <c r="AU21" s="762"/>
      <c r="AV21" s="762"/>
      <c r="AW21" s="762"/>
      <c r="AX21" s="762"/>
      <c r="AY21" s="762"/>
      <c r="AZ21" s="762"/>
      <c r="BA21" s="762"/>
      <c r="BB21" s="762"/>
      <c r="BC21" s="762"/>
      <c r="BD21" s="762"/>
      <c r="BE21" s="762"/>
      <c r="BF21" s="762"/>
      <c r="BG21" s="762"/>
      <c r="BH21" s="762"/>
      <c r="BI21" s="762"/>
      <c r="BJ21" s="762"/>
      <c r="BK21" s="762"/>
      <c r="BL21" s="762"/>
      <c r="BM21" s="762"/>
      <c r="BN21" s="762"/>
      <c r="BO21" s="762"/>
      <c r="BP21" s="762"/>
      <c r="BQ21" s="762"/>
      <c r="BR21" s="762"/>
      <c r="BS21" s="762">
        <v>238300000</v>
      </c>
      <c r="BT21" s="762">
        <v>233567242</v>
      </c>
      <c r="BU21" s="762">
        <v>112257536</v>
      </c>
      <c r="BV21" s="762">
        <v>104526300</v>
      </c>
      <c r="CQ21" s="763">
        <f t="shared" si="23"/>
        <v>238300000</v>
      </c>
      <c r="CR21" s="763">
        <f t="shared" si="23"/>
        <v>233567242</v>
      </c>
      <c r="CS21" s="763">
        <f t="shared" si="23"/>
        <v>112257536</v>
      </c>
      <c r="CT21" s="808">
        <f t="shared" si="23"/>
        <v>104526300</v>
      </c>
      <c r="CU21" s="815"/>
      <c r="CV21" s="815"/>
      <c r="CW21" s="815"/>
      <c r="CX21" s="816"/>
      <c r="CY21" s="816"/>
      <c r="CZ21" s="816"/>
    </row>
    <row r="22" spans="1:108" s="765" customFormat="1" ht="31.5">
      <c r="A22" s="772" t="s">
        <v>533</v>
      </c>
      <c r="B22" s="759">
        <v>100000000</v>
      </c>
      <c r="C22" s="764"/>
      <c r="D22" s="764"/>
      <c r="E22" s="764"/>
      <c r="F22" s="764"/>
      <c r="G22" s="764"/>
      <c r="H22" s="764"/>
      <c r="I22" s="764"/>
      <c r="J22" s="764"/>
      <c r="K22" s="764"/>
      <c r="L22" s="764"/>
      <c r="M22" s="764"/>
      <c r="N22" s="764"/>
      <c r="O22" s="764"/>
      <c r="P22" s="764"/>
      <c r="Q22" s="764"/>
      <c r="R22" s="764"/>
      <c r="S22" s="764"/>
      <c r="T22" s="764"/>
      <c r="U22" s="764"/>
      <c r="V22" s="764"/>
      <c r="W22" s="764"/>
      <c r="X22" s="764"/>
      <c r="Y22" s="764"/>
      <c r="Z22" s="764"/>
      <c r="AA22" s="764"/>
      <c r="AB22" s="764"/>
      <c r="AC22" s="764"/>
      <c r="AD22" s="764"/>
      <c r="AE22" s="764"/>
      <c r="AF22" s="764"/>
      <c r="AG22" s="764"/>
      <c r="AH22" s="764"/>
      <c r="AI22" s="764"/>
      <c r="AJ22" s="764"/>
      <c r="AK22" s="764"/>
      <c r="AL22" s="764"/>
      <c r="AM22" s="764"/>
      <c r="AN22" s="764"/>
      <c r="AO22" s="764"/>
      <c r="AP22" s="764"/>
      <c r="AQ22" s="762"/>
      <c r="AR22" s="762"/>
      <c r="AS22" s="762"/>
      <c r="AT22" s="762"/>
      <c r="AU22" s="762"/>
      <c r="AV22" s="762"/>
      <c r="AW22" s="762"/>
      <c r="AX22" s="762"/>
      <c r="AY22" s="762"/>
      <c r="AZ22" s="762"/>
      <c r="BA22" s="762"/>
      <c r="BB22" s="762"/>
      <c r="BC22" s="762"/>
      <c r="BD22" s="762"/>
      <c r="BE22" s="762"/>
      <c r="BF22" s="762"/>
      <c r="BG22" s="762"/>
      <c r="BH22" s="762"/>
      <c r="BI22" s="762"/>
      <c r="BJ22" s="762"/>
      <c r="BK22" s="762"/>
      <c r="BL22" s="762"/>
      <c r="BM22" s="762"/>
      <c r="BN22" s="762"/>
      <c r="BO22" s="762"/>
      <c r="BP22" s="762"/>
      <c r="BQ22" s="762"/>
      <c r="BR22" s="762"/>
      <c r="BS22" s="762">
        <f t="shared" ref="BS22:BS23" si="25">+B22</f>
        <v>100000000</v>
      </c>
      <c r="BT22" s="762">
        <v>99692062</v>
      </c>
      <c r="BU22" s="762">
        <v>97634559</v>
      </c>
      <c r="BV22" s="762">
        <v>97112316</v>
      </c>
      <c r="BW22" s="764"/>
      <c r="BX22" s="764"/>
      <c r="BY22" s="764"/>
      <c r="BZ22" s="764"/>
      <c r="CA22" s="764"/>
      <c r="CB22" s="764"/>
      <c r="CC22" s="764"/>
      <c r="CD22" s="764"/>
      <c r="CE22" s="764"/>
      <c r="CF22" s="764"/>
      <c r="CG22" s="764"/>
      <c r="CH22" s="764"/>
      <c r="CI22" s="764"/>
      <c r="CJ22" s="764"/>
      <c r="CK22" s="764"/>
      <c r="CL22" s="764"/>
      <c r="CM22" s="764"/>
      <c r="CN22" s="764"/>
      <c r="CO22" s="764"/>
      <c r="CP22" s="764"/>
      <c r="CQ22" s="763">
        <f t="shared" si="23"/>
        <v>100000000</v>
      </c>
      <c r="CR22" s="763">
        <f t="shared" si="23"/>
        <v>99692062</v>
      </c>
      <c r="CS22" s="763">
        <f t="shared" si="23"/>
        <v>97634559</v>
      </c>
      <c r="CT22" s="808">
        <f t="shared" si="23"/>
        <v>97112316</v>
      </c>
      <c r="CU22" s="815"/>
      <c r="CV22" s="815"/>
      <c r="CW22" s="815"/>
      <c r="CX22" s="816"/>
      <c r="CY22" s="816"/>
      <c r="CZ22" s="816"/>
    </row>
    <row r="23" spans="1:108" s="765" customFormat="1" ht="31.5">
      <c r="A23" s="772" t="s">
        <v>535</v>
      </c>
      <c r="B23" s="759">
        <v>60000000</v>
      </c>
      <c r="C23" s="764"/>
      <c r="D23" s="764"/>
      <c r="E23" s="764"/>
      <c r="F23" s="764"/>
      <c r="G23" s="764"/>
      <c r="H23" s="764"/>
      <c r="I23" s="764"/>
      <c r="J23" s="764"/>
      <c r="K23" s="764"/>
      <c r="L23" s="764"/>
      <c r="M23" s="764"/>
      <c r="N23" s="764"/>
      <c r="O23" s="764"/>
      <c r="P23" s="764"/>
      <c r="Q23" s="764"/>
      <c r="R23" s="764"/>
      <c r="S23" s="764"/>
      <c r="T23" s="764"/>
      <c r="U23" s="764"/>
      <c r="V23" s="764"/>
      <c r="W23" s="764"/>
      <c r="X23" s="764"/>
      <c r="Y23" s="764"/>
      <c r="Z23" s="764"/>
      <c r="AA23" s="764"/>
      <c r="AB23" s="764"/>
      <c r="AC23" s="764"/>
      <c r="AD23" s="764"/>
      <c r="AE23" s="764"/>
      <c r="AF23" s="764"/>
      <c r="AG23" s="764"/>
      <c r="AH23" s="764"/>
      <c r="AI23" s="764"/>
      <c r="AJ23" s="764"/>
      <c r="AK23" s="764"/>
      <c r="AL23" s="764"/>
      <c r="AM23" s="764"/>
      <c r="AN23" s="764"/>
      <c r="AO23" s="764"/>
      <c r="AP23" s="764"/>
      <c r="AQ23" s="762"/>
      <c r="AR23" s="762"/>
      <c r="AS23" s="762"/>
      <c r="AT23" s="762"/>
      <c r="AU23" s="762"/>
      <c r="AV23" s="762"/>
      <c r="AW23" s="762"/>
      <c r="AX23" s="762"/>
      <c r="AY23" s="762"/>
      <c r="AZ23" s="762"/>
      <c r="BA23" s="762"/>
      <c r="BB23" s="762"/>
      <c r="BC23" s="762"/>
      <c r="BD23" s="762"/>
      <c r="BE23" s="762"/>
      <c r="BF23" s="762"/>
      <c r="BG23" s="762"/>
      <c r="BH23" s="762"/>
      <c r="BI23" s="762"/>
      <c r="BJ23" s="762"/>
      <c r="BK23" s="762"/>
      <c r="BL23" s="762"/>
      <c r="BM23" s="762"/>
      <c r="BN23" s="762"/>
      <c r="BO23" s="762"/>
      <c r="BP23" s="762"/>
      <c r="BQ23" s="762"/>
      <c r="BR23" s="762"/>
      <c r="BS23" s="762">
        <f t="shared" si="25"/>
        <v>60000000</v>
      </c>
      <c r="BT23" s="762">
        <v>59968774</v>
      </c>
      <c r="BU23" s="762">
        <v>59398402</v>
      </c>
      <c r="BV23" s="762">
        <v>57975966</v>
      </c>
      <c r="BW23" s="764"/>
      <c r="BX23" s="764"/>
      <c r="BY23" s="764"/>
      <c r="BZ23" s="764"/>
      <c r="CA23" s="764"/>
      <c r="CB23" s="764"/>
      <c r="CC23" s="764"/>
      <c r="CD23" s="764"/>
      <c r="CE23" s="764"/>
      <c r="CF23" s="764"/>
      <c r="CG23" s="764"/>
      <c r="CH23" s="764"/>
      <c r="CI23" s="764"/>
      <c r="CJ23" s="764"/>
      <c r="CK23" s="764"/>
      <c r="CL23" s="764"/>
      <c r="CM23" s="764"/>
      <c r="CN23" s="764"/>
      <c r="CO23" s="764"/>
      <c r="CP23" s="764"/>
      <c r="CQ23" s="763">
        <f t="shared" si="23"/>
        <v>60000000</v>
      </c>
      <c r="CR23" s="763">
        <f t="shared" si="23"/>
        <v>59968774</v>
      </c>
      <c r="CS23" s="763">
        <f t="shared" si="23"/>
        <v>59398402</v>
      </c>
      <c r="CT23" s="808">
        <f t="shared" si="23"/>
        <v>57975966</v>
      </c>
      <c r="CU23" s="815"/>
      <c r="CV23" s="815"/>
      <c r="CW23" s="815"/>
      <c r="CX23" s="816"/>
      <c r="CY23" s="816"/>
      <c r="CZ23" s="816"/>
    </row>
    <row r="24" spans="1:108" ht="31.5">
      <c r="A24" s="772" t="s">
        <v>536</v>
      </c>
      <c r="B24" s="759">
        <v>255000000</v>
      </c>
      <c r="C24" s="760"/>
      <c r="D24" s="760"/>
      <c r="E24" s="760"/>
      <c r="F24" s="760"/>
      <c r="AQ24" s="762"/>
      <c r="AR24" s="762"/>
      <c r="AS24" s="762"/>
      <c r="AT24" s="762"/>
      <c r="AU24" s="762"/>
      <c r="AV24" s="762"/>
      <c r="AW24" s="762"/>
      <c r="AX24" s="762"/>
      <c r="AY24" s="762"/>
      <c r="AZ24" s="762"/>
      <c r="BA24" s="762"/>
      <c r="BB24" s="762"/>
      <c r="BC24" s="762"/>
      <c r="BD24" s="762"/>
      <c r="BE24" s="762"/>
      <c r="BF24" s="762"/>
      <c r="BG24" s="762"/>
      <c r="BH24" s="762"/>
      <c r="BI24" s="762"/>
      <c r="BJ24" s="762"/>
      <c r="BK24" s="762"/>
      <c r="BL24" s="762"/>
      <c r="BM24" s="762"/>
      <c r="BN24" s="762"/>
      <c r="BO24" s="762"/>
      <c r="BP24" s="762"/>
      <c r="BQ24" s="762"/>
      <c r="BR24" s="762"/>
      <c r="BS24" s="762">
        <v>255000000</v>
      </c>
      <c r="BT24" s="762">
        <v>251567304</v>
      </c>
      <c r="BU24" s="762">
        <v>209824030</v>
      </c>
      <c r="BV24" s="762">
        <v>178854282</v>
      </c>
      <c r="CQ24" s="763">
        <f t="shared" si="23"/>
        <v>255000000</v>
      </c>
      <c r="CR24" s="763">
        <f t="shared" si="23"/>
        <v>251567304</v>
      </c>
      <c r="CS24" s="763">
        <f t="shared" si="23"/>
        <v>209824030</v>
      </c>
      <c r="CT24" s="808">
        <f t="shared" si="23"/>
        <v>178854282</v>
      </c>
      <c r="CU24" s="815"/>
      <c r="CV24" s="815"/>
      <c r="CW24" s="815"/>
      <c r="CX24" s="816"/>
      <c r="CY24" s="816"/>
      <c r="CZ24" s="816"/>
    </row>
    <row r="25" spans="1:108" ht="31.5">
      <c r="A25" s="773" t="s">
        <v>1358</v>
      </c>
      <c r="B25" s="759">
        <v>0</v>
      </c>
      <c r="C25" s="774"/>
      <c r="D25" s="774"/>
      <c r="E25" s="774"/>
      <c r="F25" s="774"/>
      <c r="AE25" s="775"/>
      <c r="AF25" s="775"/>
      <c r="AG25" s="775"/>
      <c r="AH25" s="775"/>
      <c r="AI25" s="775"/>
      <c r="AJ25" s="775"/>
      <c r="AK25" s="775"/>
      <c r="AL25" s="775"/>
      <c r="AM25" s="775"/>
      <c r="AN25" s="775"/>
      <c r="AO25" s="775"/>
      <c r="AP25" s="775"/>
      <c r="AY25" s="775"/>
      <c r="AZ25" s="775"/>
      <c r="BA25" s="775"/>
      <c r="BB25" s="775"/>
      <c r="BC25" s="775"/>
      <c r="BD25" s="775"/>
      <c r="BE25" s="775"/>
      <c r="BF25" s="775"/>
      <c r="BG25" s="775"/>
      <c r="BH25" s="775"/>
      <c r="BI25" s="775"/>
      <c r="BJ25" s="775"/>
      <c r="BK25" s="775"/>
      <c r="BL25" s="775"/>
      <c r="BM25" s="775"/>
      <c r="BN25" s="775"/>
      <c r="BO25" s="775"/>
      <c r="BP25" s="775"/>
      <c r="BQ25" s="775"/>
      <c r="BR25" s="775"/>
      <c r="BS25" s="762">
        <v>0</v>
      </c>
      <c r="BT25" s="762">
        <v>0</v>
      </c>
      <c r="BU25" s="762">
        <v>0</v>
      </c>
      <c r="BV25" s="762">
        <f>+BU25</f>
        <v>0</v>
      </c>
      <c r="BW25" s="775"/>
      <c r="BX25" s="775"/>
      <c r="BY25" s="775"/>
      <c r="BZ25" s="775"/>
      <c r="CA25" s="762">
        <v>0</v>
      </c>
      <c r="CB25" s="762">
        <v>0</v>
      </c>
      <c r="CC25" s="762">
        <v>0</v>
      </c>
      <c r="CD25" s="762">
        <v>0</v>
      </c>
      <c r="CE25" s="775"/>
      <c r="CF25" s="775"/>
      <c r="CG25" s="775"/>
      <c r="CH25" s="775"/>
      <c r="CI25" s="775"/>
      <c r="CJ25" s="775"/>
      <c r="CK25" s="775"/>
      <c r="CL25" s="775"/>
      <c r="CM25" s="775"/>
      <c r="CN25" s="775"/>
      <c r="CO25" s="775"/>
      <c r="CP25" s="775"/>
      <c r="CQ25" s="763">
        <f t="shared" si="23"/>
        <v>0</v>
      </c>
      <c r="CR25" s="763">
        <f t="shared" si="23"/>
        <v>0</v>
      </c>
      <c r="CS25" s="763">
        <f t="shared" si="23"/>
        <v>0</v>
      </c>
      <c r="CT25" s="808">
        <f t="shared" si="23"/>
        <v>0</v>
      </c>
      <c r="CU25" s="815"/>
      <c r="CV25" s="815"/>
      <c r="CW25" s="815"/>
      <c r="CX25" s="816"/>
      <c r="CY25" s="816"/>
      <c r="CZ25" s="816"/>
    </row>
    <row r="26" spans="1:108" ht="31.5">
      <c r="A26" s="773" t="s">
        <v>1359</v>
      </c>
      <c r="B26" s="759">
        <v>12389026021</v>
      </c>
      <c r="C26" s="774"/>
      <c r="D26" s="774"/>
      <c r="E26" s="774"/>
      <c r="F26" s="774"/>
      <c r="AE26" s="775"/>
      <c r="AF26" s="775"/>
      <c r="AG26" s="775"/>
      <c r="AH26" s="775"/>
      <c r="AI26" s="775"/>
      <c r="AJ26" s="775"/>
      <c r="AK26" s="775"/>
      <c r="AL26" s="775"/>
      <c r="AM26" s="775"/>
      <c r="AN26" s="775"/>
      <c r="AO26" s="775"/>
      <c r="AP26" s="775"/>
      <c r="AY26" s="775"/>
      <c r="AZ26" s="775"/>
      <c r="BA26" s="775"/>
      <c r="BB26" s="775"/>
      <c r="BC26" s="775"/>
      <c r="BD26" s="775"/>
      <c r="BE26" s="775"/>
      <c r="BF26" s="775"/>
      <c r="BG26" s="775"/>
      <c r="BH26" s="775"/>
      <c r="BI26" s="775"/>
      <c r="BJ26" s="775"/>
      <c r="BK26" s="775"/>
      <c r="BL26" s="775"/>
      <c r="BM26" s="775"/>
      <c r="BN26" s="775"/>
      <c r="BO26" s="775"/>
      <c r="BP26" s="775"/>
      <c r="BQ26" s="775"/>
      <c r="BR26" s="775"/>
      <c r="BS26" s="762">
        <v>12389026021</v>
      </c>
      <c r="BT26" s="762">
        <v>12387623241</v>
      </c>
      <c r="BU26" s="762">
        <v>5850550320</v>
      </c>
      <c r="BV26" s="762">
        <v>5828946879</v>
      </c>
      <c r="BW26" s="775"/>
      <c r="BX26" s="775"/>
      <c r="BY26" s="775"/>
      <c r="BZ26" s="775"/>
      <c r="CA26" s="775"/>
      <c r="CB26" s="775"/>
      <c r="CC26" s="775"/>
      <c r="CD26" s="775"/>
      <c r="CE26" s="775"/>
      <c r="CF26" s="775"/>
      <c r="CG26" s="775"/>
      <c r="CH26" s="775"/>
      <c r="CI26" s="775"/>
      <c r="CJ26" s="775"/>
      <c r="CK26" s="775"/>
      <c r="CL26" s="775"/>
      <c r="CM26" s="775"/>
      <c r="CN26" s="775"/>
      <c r="CO26" s="775"/>
      <c r="CP26" s="775"/>
      <c r="CQ26" s="763">
        <f t="shared" si="23"/>
        <v>12389026021</v>
      </c>
      <c r="CR26" s="763">
        <f t="shared" si="23"/>
        <v>12387623241</v>
      </c>
      <c r="CS26" s="763">
        <f t="shared" si="23"/>
        <v>5850550320</v>
      </c>
      <c r="CT26" s="808">
        <f t="shared" si="23"/>
        <v>5828946879</v>
      </c>
      <c r="CU26" s="815"/>
      <c r="CV26" s="815"/>
      <c r="CW26" s="815"/>
      <c r="CX26" s="816"/>
      <c r="CY26" s="816"/>
      <c r="CZ26" s="816"/>
      <c r="DA26" s="776"/>
      <c r="DB26" s="776"/>
      <c r="DC26" s="776"/>
      <c r="DD26" s="776"/>
    </row>
    <row r="27" spans="1:108" s="765" customFormat="1" ht="47.25">
      <c r="A27" s="772" t="s">
        <v>539</v>
      </c>
      <c r="B27" s="759">
        <v>500000000</v>
      </c>
      <c r="C27" s="764"/>
      <c r="D27" s="764"/>
      <c r="E27" s="764"/>
      <c r="F27" s="764"/>
      <c r="G27" s="764"/>
      <c r="H27" s="764"/>
      <c r="I27" s="764"/>
      <c r="J27" s="764"/>
      <c r="K27" s="764"/>
      <c r="L27" s="764"/>
      <c r="M27" s="764"/>
      <c r="N27" s="764"/>
      <c r="O27" s="764"/>
      <c r="P27" s="764"/>
      <c r="Q27" s="764"/>
      <c r="R27" s="764"/>
      <c r="S27" s="764"/>
      <c r="T27" s="764"/>
      <c r="U27" s="764"/>
      <c r="V27" s="764"/>
      <c r="W27" s="764"/>
      <c r="X27" s="764"/>
      <c r="Y27" s="764"/>
      <c r="Z27" s="764"/>
      <c r="AA27" s="764"/>
      <c r="AB27" s="764"/>
      <c r="AC27" s="764"/>
      <c r="AD27" s="764"/>
      <c r="AE27" s="764"/>
      <c r="AF27" s="764"/>
      <c r="AG27" s="764"/>
      <c r="AH27" s="764"/>
      <c r="AI27" s="764"/>
      <c r="AJ27" s="764"/>
      <c r="AK27" s="764"/>
      <c r="AL27" s="764"/>
      <c r="AM27" s="764"/>
      <c r="AN27" s="764"/>
      <c r="AO27" s="764"/>
      <c r="AP27" s="764"/>
      <c r="AQ27" s="764"/>
      <c r="AR27" s="764"/>
      <c r="AS27" s="764"/>
      <c r="AT27" s="764"/>
      <c r="AU27" s="764"/>
      <c r="AV27" s="764"/>
      <c r="AW27" s="764"/>
      <c r="AX27" s="764"/>
      <c r="AY27" s="764"/>
      <c r="AZ27" s="764"/>
      <c r="BA27" s="764"/>
      <c r="BB27" s="764"/>
      <c r="BC27" s="764"/>
      <c r="BD27" s="764"/>
      <c r="BE27" s="764"/>
      <c r="BF27" s="764"/>
      <c r="BG27" s="764"/>
      <c r="BH27" s="764"/>
      <c r="BI27" s="764"/>
      <c r="BJ27" s="764"/>
      <c r="BK27" s="764"/>
      <c r="BL27" s="764"/>
      <c r="BM27" s="764"/>
      <c r="BN27" s="764"/>
      <c r="BO27" s="764"/>
      <c r="BP27" s="764"/>
      <c r="BQ27" s="764"/>
      <c r="BR27" s="764"/>
      <c r="BS27" s="762"/>
      <c r="BT27" s="762"/>
      <c r="BU27" s="762"/>
      <c r="BV27" s="762"/>
      <c r="BW27" s="762">
        <v>500000000</v>
      </c>
      <c r="BX27" s="762">
        <v>475405273</v>
      </c>
      <c r="BY27" s="762">
        <v>441354832</v>
      </c>
      <c r="BZ27" s="762">
        <v>417780246</v>
      </c>
      <c r="CA27" s="764"/>
      <c r="CB27" s="764"/>
      <c r="CC27" s="764"/>
      <c r="CD27" s="764"/>
      <c r="CE27" s="764"/>
      <c r="CF27" s="764"/>
      <c r="CG27" s="764"/>
      <c r="CH27" s="764"/>
      <c r="CI27" s="764"/>
      <c r="CJ27" s="764"/>
      <c r="CK27" s="764"/>
      <c r="CL27" s="764"/>
      <c r="CM27" s="764"/>
      <c r="CN27" s="764"/>
      <c r="CO27" s="764"/>
      <c r="CP27" s="764"/>
      <c r="CQ27" s="763">
        <f t="shared" si="23"/>
        <v>500000000</v>
      </c>
      <c r="CR27" s="763">
        <f t="shared" si="23"/>
        <v>475405273</v>
      </c>
      <c r="CS27" s="763">
        <f t="shared" si="23"/>
        <v>441354832</v>
      </c>
      <c r="CT27" s="808">
        <f t="shared" si="23"/>
        <v>417780246</v>
      </c>
      <c r="CU27" s="815"/>
      <c r="CV27" s="815"/>
      <c r="CW27" s="815"/>
      <c r="CX27" s="816"/>
      <c r="CY27" s="816"/>
      <c r="CZ27" s="816"/>
      <c r="DA27" s="776"/>
      <c r="DB27" s="776"/>
      <c r="DC27" s="776"/>
    </row>
    <row r="28" spans="1:108" ht="31.5">
      <c r="A28" s="772" t="s">
        <v>541</v>
      </c>
      <c r="B28" s="759">
        <v>5601321786</v>
      </c>
      <c r="C28" s="777"/>
      <c r="D28" s="777"/>
      <c r="E28" s="777"/>
      <c r="F28" s="777"/>
      <c r="K28" s="759">
        <v>5601321786</v>
      </c>
      <c r="L28" s="759">
        <v>5601321786</v>
      </c>
      <c r="M28" s="759">
        <v>5601321786</v>
      </c>
      <c r="N28" s="759">
        <v>5601321786</v>
      </c>
      <c r="O28" s="760"/>
      <c r="P28" s="760"/>
      <c r="Q28" s="760"/>
      <c r="R28" s="760"/>
      <c r="CQ28" s="763">
        <f t="shared" si="23"/>
        <v>5601321786</v>
      </c>
      <c r="CR28" s="763">
        <f t="shared" si="23"/>
        <v>5601321786</v>
      </c>
      <c r="CS28" s="763">
        <f t="shared" si="23"/>
        <v>5601321786</v>
      </c>
      <c r="CT28" s="808">
        <f t="shared" si="23"/>
        <v>5601321786</v>
      </c>
      <c r="CU28" s="815"/>
      <c r="CV28" s="815"/>
      <c r="CW28" s="815"/>
      <c r="CX28" s="816"/>
      <c r="CY28" s="816"/>
      <c r="CZ28" s="816"/>
    </row>
    <row r="29" spans="1:108" s="765" customFormat="1" ht="47.25">
      <c r="A29" s="772" t="s">
        <v>542</v>
      </c>
      <c r="B29" s="759">
        <v>0</v>
      </c>
      <c r="C29" s="764"/>
      <c r="D29" s="764"/>
      <c r="E29" s="764"/>
      <c r="F29" s="764"/>
      <c r="G29" s="764"/>
      <c r="H29" s="764"/>
      <c r="I29" s="764"/>
      <c r="J29" s="764"/>
      <c r="K29" s="764"/>
      <c r="L29" s="764"/>
      <c r="M29" s="764"/>
      <c r="N29" s="764"/>
      <c r="O29" s="764"/>
      <c r="P29" s="764"/>
      <c r="Q29" s="764"/>
      <c r="R29" s="764"/>
      <c r="S29" s="764"/>
      <c r="T29" s="764"/>
      <c r="U29" s="764"/>
      <c r="V29" s="764"/>
      <c r="W29" s="764"/>
      <c r="X29" s="764"/>
      <c r="Y29" s="764"/>
      <c r="Z29" s="764"/>
      <c r="AA29" s="764"/>
      <c r="AB29" s="764"/>
      <c r="AC29" s="764"/>
      <c r="AD29" s="764"/>
      <c r="AE29" s="764"/>
      <c r="AF29" s="764"/>
      <c r="AG29" s="764"/>
      <c r="AH29" s="764"/>
      <c r="AI29" s="764"/>
      <c r="AJ29" s="764"/>
      <c r="AK29" s="764"/>
      <c r="AL29" s="764"/>
      <c r="AM29" s="764"/>
      <c r="AN29" s="764"/>
      <c r="AO29" s="764"/>
      <c r="AP29" s="764"/>
      <c r="AQ29" s="764"/>
      <c r="AR29" s="764"/>
      <c r="AS29" s="764"/>
      <c r="AT29" s="764"/>
      <c r="AU29" s="764"/>
      <c r="AV29" s="764"/>
      <c r="AW29" s="764"/>
      <c r="AX29" s="764"/>
      <c r="AY29" s="764"/>
      <c r="AZ29" s="764"/>
      <c r="BA29" s="764"/>
      <c r="BB29" s="764"/>
      <c r="BC29" s="764"/>
      <c r="BD29" s="764"/>
      <c r="BE29" s="764"/>
      <c r="BF29" s="764"/>
      <c r="BG29" s="764"/>
      <c r="BH29" s="764"/>
      <c r="BI29" s="764"/>
      <c r="BJ29" s="764"/>
      <c r="BK29" s="764"/>
      <c r="BL29" s="764"/>
      <c r="BM29" s="764"/>
      <c r="BN29" s="764"/>
      <c r="BO29" s="764"/>
      <c r="BP29" s="764"/>
      <c r="BQ29" s="764"/>
      <c r="BR29" s="764"/>
      <c r="BS29" s="764"/>
      <c r="BT29" s="764"/>
      <c r="BU29" s="764"/>
      <c r="BV29" s="764"/>
      <c r="BW29" s="764"/>
      <c r="BX29" s="764"/>
      <c r="BY29" s="764"/>
      <c r="BZ29" s="764"/>
      <c r="CA29" s="764"/>
      <c r="CB29" s="764"/>
      <c r="CC29" s="764"/>
      <c r="CD29" s="764"/>
      <c r="CE29" s="764"/>
      <c r="CF29" s="764"/>
      <c r="CG29" s="764"/>
      <c r="CH29" s="764"/>
      <c r="CI29" s="764"/>
      <c r="CJ29" s="764"/>
      <c r="CK29" s="764"/>
      <c r="CL29" s="764"/>
      <c r="CM29" s="764"/>
      <c r="CN29" s="764"/>
      <c r="CO29" s="764"/>
      <c r="CP29" s="764"/>
      <c r="CQ29" s="763">
        <f t="shared" si="23"/>
        <v>0</v>
      </c>
      <c r="CR29" s="763">
        <f t="shared" si="23"/>
        <v>0</v>
      </c>
      <c r="CS29" s="763">
        <f t="shared" si="23"/>
        <v>0</v>
      </c>
      <c r="CT29" s="808">
        <f t="shared" si="23"/>
        <v>0</v>
      </c>
      <c r="CU29" s="815"/>
      <c r="CV29" s="815"/>
      <c r="CW29" s="815"/>
      <c r="CX29" s="816"/>
      <c r="CY29" s="816"/>
      <c r="CZ29" s="816"/>
      <c r="DA29" s="750"/>
      <c r="DB29" s="750"/>
      <c r="DC29" s="750"/>
    </row>
    <row r="30" spans="1:108" ht="32.25" thickBot="1">
      <c r="A30" s="772" t="s">
        <v>1360</v>
      </c>
      <c r="B30" s="759">
        <v>31162946267</v>
      </c>
      <c r="C30" s="759">
        <v>10022113022.27</v>
      </c>
      <c r="D30" s="759">
        <v>10022113022.27</v>
      </c>
      <c r="E30" s="759">
        <v>10022113022.27</v>
      </c>
      <c r="F30" s="759">
        <f>+E30</f>
        <v>10022113022.27</v>
      </c>
      <c r="G30" s="777">
        <v>3813285725</v>
      </c>
      <c r="H30" s="777">
        <v>3813285725</v>
      </c>
      <c r="I30" s="777">
        <v>3813285725</v>
      </c>
      <c r="J30" s="777">
        <v>3813285725</v>
      </c>
      <c r="K30" s="777"/>
      <c r="L30" s="777"/>
      <c r="M30" s="777"/>
      <c r="N30" s="777"/>
      <c r="O30" s="777"/>
      <c r="P30" s="777"/>
      <c r="Q30" s="777"/>
      <c r="R30" s="777"/>
      <c r="S30" s="777"/>
      <c r="T30" s="777"/>
      <c r="U30" s="777"/>
      <c r="V30" s="777"/>
      <c r="W30" s="777"/>
      <c r="X30" s="777"/>
      <c r="Y30" s="777"/>
      <c r="Z30" s="777"/>
      <c r="AA30" s="777"/>
      <c r="AB30" s="777"/>
      <c r="AC30" s="777"/>
      <c r="AD30" s="777"/>
      <c r="BS30" s="759">
        <v>17327547519.73</v>
      </c>
      <c r="BT30" s="759">
        <v>17327547519.73</v>
      </c>
      <c r="BU30" s="759">
        <f>+BT30</f>
        <v>17327547519.73</v>
      </c>
      <c r="BV30" s="759">
        <f>+BU30</f>
        <v>17327547519.73</v>
      </c>
      <c r="CQ30" s="763">
        <f t="shared" si="23"/>
        <v>31162946267</v>
      </c>
      <c r="CR30" s="763">
        <f t="shared" si="23"/>
        <v>31162946267</v>
      </c>
      <c r="CS30" s="763">
        <f t="shared" si="23"/>
        <v>31162946267</v>
      </c>
      <c r="CT30" s="808">
        <f t="shared" si="23"/>
        <v>31162946267</v>
      </c>
      <c r="CU30" s="815"/>
      <c r="CV30" s="815"/>
      <c r="CW30" s="815"/>
      <c r="CX30" s="816"/>
      <c r="CY30" s="816"/>
      <c r="CZ30" s="816"/>
    </row>
    <row r="31" spans="1:108" s="765" customFormat="1" ht="47.25">
      <c r="A31" s="778" t="s">
        <v>1361</v>
      </c>
      <c r="B31" s="759">
        <v>400000000</v>
      </c>
      <c r="C31" s="764"/>
      <c r="D31" s="764"/>
      <c r="E31" s="764"/>
      <c r="F31" s="764"/>
      <c r="G31" s="764"/>
      <c r="H31" s="764"/>
      <c r="I31" s="764"/>
      <c r="J31" s="764"/>
      <c r="K31" s="764"/>
      <c r="L31" s="764"/>
      <c r="M31" s="764"/>
      <c r="N31" s="764"/>
      <c r="O31" s="764"/>
      <c r="P31" s="764"/>
      <c r="Q31" s="764"/>
      <c r="R31" s="764"/>
      <c r="S31" s="764"/>
      <c r="T31" s="764"/>
      <c r="U31" s="764"/>
      <c r="V31" s="764"/>
      <c r="W31" s="764"/>
      <c r="X31" s="764"/>
      <c r="Y31" s="764"/>
      <c r="Z31" s="764"/>
      <c r="AA31" s="764"/>
      <c r="AB31" s="764"/>
      <c r="AC31" s="764"/>
      <c r="AD31" s="764"/>
      <c r="AE31" s="764"/>
      <c r="AF31" s="764"/>
      <c r="AG31" s="764"/>
      <c r="AH31" s="764"/>
      <c r="AI31" s="764"/>
      <c r="AJ31" s="764"/>
      <c r="AK31" s="764"/>
      <c r="AL31" s="764"/>
      <c r="AM31" s="764"/>
      <c r="AN31" s="764"/>
      <c r="AO31" s="764"/>
      <c r="AP31" s="764"/>
      <c r="AQ31" s="764"/>
      <c r="AR31" s="764"/>
      <c r="AS31" s="764"/>
      <c r="AT31" s="764"/>
      <c r="AU31" s="764"/>
      <c r="AV31" s="764"/>
      <c r="AW31" s="764"/>
      <c r="AX31" s="764"/>
      <c r="AY31" s="764"/>
      <c r="AZ31" s="764"/>
      <c r="BA31" s="764"/>
      <c r="BB31" s="764"/>
      <c r="BC31" s="764"/>
      <c r="BD31" s="764"/>
      <c r="BE31" s="764"/>
      <c r="BF31" s="764"/>
      <c r="BG31" s="764"/>
      <c r="BH31" s="764"/>
      <c r="BI31" s="764"/>
      <c r="BJ31" s="764"/>
      <c r="BK31" s="764"/>
      <c r="BL31" s="764"/>
      <c r="BM31" s="764"/>
      <c r="BN31" s="764"/>
      <c r="BO31" s="764"/>
      <c r="BP31" s="764"/>
      <c r="BQ31" s="764"/>
      <c r="BR31" s="764"/>
      <c r="BS31" s="762">
        <f>+B31</f>
        <v>400000000</v>
      </c>
      <c r="BT31" s="762">
        <v>398607608</v>
      </c>
      <c r="BU31" s="762">
        <v>54267918</v>
      </c>
      <c r="BV31" s="762">
        <v>33349361</v>
      </c>
      <c r="BW31" s="764"/>
      <c r="BX31" s="764"/>
      <c r="BY31" s="764"/>
      <c r="BZ31" s="764"/>
      <c r="CA31" s="764"/>
      <c r="CB31" s="764"/>
      <c r="CC31" s="764"/>
      <c r="CD31" s="764"/>
      <c r="CE31" s="764"/>
      <c r="CF31" s="764"/>
      <c r="CG31" s="764"/>
      <c r="CH31" s="764"/>
      <c r="CI31" s="764"/>
      <c r="CJ31" s="764"/>
      <c r="CK31" s="764"/>
      <c r="CL31" s="764"/>
      <c r="CM31" s="764"/>
      <c r="CN31" s="764"/>
      <c r="CO31" s="764"/>
      <c r="CP31" s="764"/>
      <c r="CQ31" s="763">
        <f t="shared" si="23"/>
        <v>400000000</v>
      </c>
      <c r="CR31" s="763">
        <f t="shared" si="23"/>
        <v>398607608</v>
      </c>
      <c r="CS31" s="763">
        <f t="shared" si="23"/>
        <v>54267918</v>
      </c>
      <c r="CT31" s="808">
        <f t="shared" si="23"/>
        <v>33349361</v>
      </c>
      <c r="CU31" s="815"/>
      <c r="CV31" s="815"/>
      <c r="CW31" s="815"/>
      <c r="CX31" s="816"/>
      <c r="CY31" s="816"/>
      <c r="CZ31" s="816"/>
    </row>
    <row r="32" spans="1:108" s="765" customFormat="1" ht="47.25">
      <c r="A32" s="772" t="s">
        <v>1362</v>
      </c>
      <c r="B32" s="759">
        <v>250000000</v>
      </c>
      <c r="C32" s="764"/>
      <c r="D32" s="764"/>
      <c r="E32" s="764"/>
      <c r="F32" s="764"/>
      <c r="G32" s="764"/>
      <c r="H32" s="764"/>
      <c r="I32" s="764"/>
      <c r="J32" s="764"/>
      <c r="K32" s="764"/>
      <c r="L32" s="764"/>
      <c r="M32" s="764"/>
      <c r="N32" s="764"/>
      <c r="O32" s="764"/>
      <c r="P32" s="764"/>
      <c r="Q32" s="764"/>
      <c r="R32" s="764"/>
      <c r="S32" s="764"/>
      <c r="T32" s="764"/>
      <c r="U32" s="764"/>
      <c r="V32" s="764"/>
      <c r="W32" s="764"/>
      <c r="X32" s="764"/>
      <c r="Y32" s="764"/>
      <c r="Z32" s="764"/>
      <c r="AA32" s="764"/>
      <c r="AB32" s="764"/>
      <c r="AC32" s="764"/>
      <c r="AD32" s="764"/>
      <c r="AE32" s="764"/>
      <c r="AF32" s="764"/>
      <c r="AG32" s="764"/>
      <c r="AH32" s="764"/>
      <c r="AI32" s="764"/>
      <c r="AJ32" s="764"/>
      <c r="AK32" s="764"/>
      <c r="AL32" s="764"/>
      <c r="AM32" s="764"/>
      <c r="AN32" s="764"/>
      <c r="AO32" s="764"/>
      <c r="AP32" s="764"/>
      <c r="AQ32" s="764"/>
      <c r="AR32" s="764"/>
      <c r="AS32" s="764"/>
      <c r="AT32" s="764"/>
      <c r="AU32" s="764"/>
      <c r="AV32" s="764"/>
      <c r="AW32" s="764"/>
      <c r="AX32" s="764"/>
      <c r="AY32" s="764"/>
      <c r="AZ32" s="764"/>
      <c r="BA32" s="764"/>
      <c r="BB32" s="764"/>
      <c r="BC32" s="759">
        <v>167552412.09</v>
      </c>
      <c r="BD32" s="759">
        <v>166689497.06144705</v>
      </c>
      <c r="BE32" s="759">
        <v>162092808.56076917</v>
      </c>
      <c r="BF32" s="759">
        <v>150637906.28142163</v>
      </c>
      <c r="BG32" s="759">
        <v>42660880.789999999</v>
      </c>
      <c r="BH32" s="759">
        <v>42441172.1346258</v>
      </c>
      <c r="BI32" s="759">
        <v>41270799.36762052</v>
      </c>
      <c r="BJ32" s="759">
        <v>38354242.008017391</v>
      </c>
      <c r="BK32" s="764"/>
      <c r="BL32" s="764"/>
      <c r="BM32" s="764"/>
      <c r="BN32" s="764"/>
      <c r="BO32" s="764"/>
      <c r="BP32" s="764"/>
      <c r="BQ32" s="764"/>
      <c r="BR32" s="764"/>
      <c r="BS32" s="762">
        <v>39786707.119999997</v>
      </c>
      <c r="BT32" s="759">
        <v>39581800.803927138</v>
      </c>
      <c r="BU32" s="759">
        <v>38490279.071610294</v>
      </c>
      <c r="BV32" s="759">
        <v>35770217.710560977</v>
      </c>
      <c r="BW32" s="764"/>
      <c r="BX32" s="764"/>
      <c r="BY32" s="764"/>
      <c r="BZ32" s="764"/>
      <c r="CA32" s="764"/>
      <c r="CB32" s="764"/>
      <c r="CC32" s="764"/>
      <c r="CD32" s="764"/>
      <c r="CE32" s="764"/>
      <c r="CF32" s="764"/>
      <c r="CG32" s="764"/>
      <c r="CH32" s="764"/>
      <c r="CI32" s="764"/>
      <c r="CJ32" s="764"/>
      <c r="CK32" s="764"/>
      <c r="CL32" s="764"/>
      <c r="CM32" s="764"/>
      <c r="CN32" s="764"/>
      <c r="CO32" s="764"/>
      <c r="CP32" s="764"/>
      <c r="CQ32" s="763">
        <f t="shared" si="23"/>
        <v>250000000</v>
      </c>
      <c r="CR32" s="763">
        <f t="shared" si="23"/>
        <v>248712470</v>
      </c>
      <c r="CS32" s="763">
        <f t="shared" si="23"/>
        <v>241853887</v>
      </c>
      <c r="CT32" s="808">
        <f t="shared" si="23"/>
        <v>224762366</v>
      </c>
      <c r="CU32" s="815"/>
      <c r="CV32" s="815"/>
      <c r="CW32" s="815"/>
      <c r="CX32" s="816"/>
      <c r="CY32" s="816"/>
      <c r="CZ32" s="816"/>
    </row>
    <row r="33" spans="1:104" s="765" customFormat="1" ht="78.75">
      <c r="A33" s="772" t="s">
        <v>1363</v>
      </c>
      <c r="B33" s="759">
        <v>300000000</v>
      </c>
      <c r="C33" s="764"/>
      <c r="D33" s="764"/>
      <c r="E33" s="764"/>
      <c r="F33" s="764"/>
      <c r="G33" s="764"/>
      <c r="H33" s="764"/>
      <c r="I33" s="764"/>
      <c r="J33" s="764"/>
      <c r="K33" s="764"/>
      <c r="L33" s="764"/>
      <c r="M33" s="764"/>
      <c r="N33" s="764"/>
      <c r="O33" s="764"/>
      <c r="P33" s="764"/>
      <c r="Q33" s="764"/>
      <c r="R33" s="764"/>
      <c r="S33" s="764"/>
      <c r="T33" s="764"/>
      <c r="U33" s="764"/>
      <c r="V33" s="764"/>
      <c r="W33" s="764"/>
      <c r="X33" s="764"/>
      <c r="Y33" s="764"/>
      <c r="Z33" s="764"/>
      <c r="AA33" s="764"/>
      <c r="AB33" s="764"/>
      <c r="AC33" s="764"/>
      <c r="AD33" s="764"/>
      <c r="AE33" s="764"/>
      <c r="AF33" s="764"/>
      <c r="AG33" s="764"/>
      <c r="AH33" s="764"/>
      <c r="AI33" s="764"/>
      <c r="AJ33" s="764"/>
      <c r="AK33" s="764"/>
      <c r="AL33" s="764"/>
      <c r="AM33" s="764"/>
      <c r="AN33" s="764"/>
      <c r="AO33" s="764"/>
      <c r="AP33" s="764"/>
      <c r="AQ33" s="764"/>
      <c r="AR33" s="764"/>
      <c r="AS33" s="764"/>
      <c r="AT33" s="764"/>
      <c r="AU33" s="764"/>
      <c r="AV33" s="764"/>
      <c r="AW33" s="764"/>
      <c r="AX33" s="764"/>
      <c r="AY33" s="764"/>
      <c r="AZ33" s="764"/>
      <c r="BA33" s="764"/>
      <c r="BB33" s="764"/>
      <c r="BC33" s="764"/>
      <c r="BD33" s="764"/>
      <c r="BE33" s="764"/>
      <c r="BF33" s="764"/>
      <c r="BG33" s="764"/>
      <c r="BH33" s="764"/>
      <c r="BI33" s="764"/>
      <c r="BJ33" s="764"/>
      <c r="BK33" s="764"/>
      <c r="BL33" s="764"/>
      <c r="BM33" s="764"/>
      <c r="BN33" s="764"/>
      <c r="BO33" s="764"/>
      <c r="BP33" s="764"/>
      <c r="BQ33" s="764"/>
      <c r="BR33" s="764"/>
      <c r="BS33" s="762">
        <f t="shared" ref="BS33:BS58" si="26">+B33</f>
        <v>300000000</v>
      </c>
      <c r="BT33" s="762">
        <v>299667241</v>
      </c>
      <c r="BU33" s="762">
        <v>37257534</v>
      </c>
      <c r="BV33" s="762">
        <v>19104406</v>
      </c>
      <c r="BW33" s="764"/>
      <c r="BX33" s="764"/>
      <c r="BY33" s="764"/>
      <c r="BZ33" s="764"/>
      <c r="CA33" s="764"/>
      <c r="CB33" s="764"/>
      <c r="CC33" s="764"/>
      <c r="CD33" s="764"/>
      <c r="CE33" s="764"/>
      <c r="CF33" s="764"/>
      <c r="CG33" s="764"/>
      <c r="CH33" s="764"/>
      <c r="CI33" s="764"/>
      <c r="CJ33" s="764"/>
      <c r="CK33" s="764"/>
      <c r="CL33" s="764"/>
      <c r="CM33" s="764"/>
      <c r="CN33" s="764"/>
      <c r="CO33" s="764"/>
      <c r="CP33" s="764"/>
      <c r="CQ33" s="763">
        <f t="shared" si="23"/>
        <v>300000000</v>
      </c>
      <c r="CR33" s="763">
        <f t="shared" si="23"/>
        <v>299667241</v>
      </c>
      <c r="CS33" s="763">
        <f t="shared" si="23"/>
        <v>37257534</v>
      </c>
      <c r="CT33" s="808">
        <f t="shared" si="23"/>
        <v>19104406</v>
      </c>
      <c r="CU33" s="815"/>
      <c r="CV33" s="815"/>
      <c r="CW33" s="815"/>
      <c r="CX33" s="816"/>
      <c r="CY33" s="816"/>
      <c r="CZ33" s="816"/>
    </row>
    <row r="34" spans="1:104" ht="63">
      <c r="A34" s="772" t="s">
        <v>1364</v>
      </c>
      <c r="B34" s="759">
        <v>350000000</v>
      </c>
      <c r="C34" s="760"/>
      <c r="D34" s="760"/>
      <c r="E34" s="760"/>
      <c r="F34" s="760"/>
      <c r="BS34" s="762">
        <f t="shared" si="26"/>
        <v>350000000</v>
      </c>
      <c r="BT34" s="762">
        <v>349611974</v>
      </c>
      <c r="BU34" s="762">
        <v>221755948</v>
      </c>
      <c r="BV34" s="762">
        <v>212297455</v>
      </c>
      <c r="CQ34" s="763">
        <f t="shared" si="23"/>
        <v>350000000</v>
      </c>
      <c r="CR34" s="763">
        <f t="shared" si="23"/>
        <v>349611974</v>
      </c>
      <c r="CS34" s="763">
        <f t="shared" si="23"/>
        <v>221755948</v>
      </c>
      <c r="CT34" s="808">
        <f t="shared" si="23"/>
        <v>212297455</v>
      </c>
      <c r="CU34" s="815"/>
      <c r="CV34" s="815"/>
      <c r="CW34" s="815"/>
      <c r="CX34" s="816"/>
      <c r="CY34" s="816"/>
      <c r="CZ34" s="816"/>
    </row>
    <row r="35" spans="1:104" s="765" customFormat="1" ht="31.5">
      <c r="A35" s="772" t="s">
        <v>1365</v>
      </c>
      <c r="B35" s="759">
        <v>400000000</v>
      </c>
      <c r="C35" s="764"/>
      <c r="D35" s="764"/>
      <c r="E35" s="764"/>
      <c r="F35" s="764"/>
      <c r="G35" s="764"/>
      <c r="H35" s="764"/>
      <c r="I35" s="764"/>
      <c r="J35" s="764"/>
      <c r="K35" s="764"/>
      <c r="L35" s="764"/>
      <c r="M35" s="764"/>
      <c r="N35" s="764"/>
      <c r="O35" s="764"/>
      <c r="P35" s="764"/>
      <c r="Q35" s="764"/>
      <c r="R35" s="764"/>
      <c r="S35" s="764"/>
      <c r="T35" s="764"/>
      <c r="U35" s="764"/>
      <c r="V35" s="764"/>
      <c r="W35" s="764"/>
      <c r="X35" s="764"/>
      <c r="Y35" s="764"/>
      <c r="Z35" s="764"/>
      <c r="AA35" s="764"/>
      <c r="AB35" s="764"/>
      <c r="AC35" s="764"/>
      <c r="AD35" s="764"/>
      <c r="AE35" s="764"/>
      <c r="AF35" s="764"/>
      <c r="AG35" s="764"/>
      <c r="AH35" s="764"/>
      <c r="AI35" s="764"/>
      <c r="AJ35" s="764"/>
      <c r="AK35" s="764"/>
      <c r="AL35" s="764"/>
      <c r="AM35" s="764"/>
      <c r="AN35" s="764"/>
      <c r="AO35" s="764"/>
      <c r="AP35" s="764"/>
      <c r="AQ35" s="764"/>
      <c r="AR35" s="764"/>
      <c r="AS35" s="764"/>
      <c r="AT35" s="764"/>
      <c r="AU35" s="764"/>
      <c r="AV35" s="764"/>
      <c r="AW35" s="764"/>
      <c r="AX35" s="764"/>
      <c r="AY35" s="764"/>
      <c r="AZ35" s="764"/>
      <c r="BA35" s="764"/>
      <c r="BB35" s="764"/>
      <c r="BC35" s="764"/>
      <c r="BD35" s="764"/>
      <c r="BE35" s="764"/>
      <c r="BF35" s="764"/>
      <c r="BG35" s="764"/>
      <c r="BH35" s="764"/>
      <c r="BI35" s="764"/>
      <c r="BJ35" s="764"/>
      <c r="BK35" s="764"/>
      <c r="BL35" s="764"/>
      <c r="BM35" s="764"/>
      <c r="BN35" s="764"/>
      <c r="BO35" s="764"/>
      <c r="BP35" s="764"/>
      <c r="BQ35" s="764"/>
      <c r="BR35" s="764"/>
      <c r="BS35" s="762">
        <f t="shared" si="26"/>
        <v>400000000</v>
      </c>
      <c r="BT35" s="762">
        <v>399655326</v>
      </c>
      <c r="BU35" s="762">
        <v>78915599</v>
      </c>
      <c r="BV35" s="762">
        <v>66912171</v>
      </c>
      <c r="BW35" s="764"/>
      <c r="BX35" s="764"/>
      <c r="BY35" s="764"/>
      <c r="BZ35" s="764"/>
      <c r="CA35" s="764"/>
      <c r="CB35" s="764"/>
      <c r="CC35" s="764"/>
      <c r="CD35" s="764"/>
      <c r="CE35" s="764"/>
      <c r="CF35" s="764"/>
      <c r="CG35" s="764"/>
      <c r="CH35" s="764"/>
      <c r="CI35" s="764"/>
      <c r="CJ35" s="764"/>
      <c r="CK35" s="764"/>
      <c r="CL35" s="764"/>
      <c r="CM35" s="764"/>
      <c r="CN35" s="764"/>
      <c r="CO35" s="764"/>
      <c r="CP35" s="764"/>
      <c r="CQ35" s="763">
        <f t="shared" si="23"/>
        <v>400000000</v>
      </c>
      <c r="CR35" s="763">
        <f t="shared" si="23"/>
        <v>399655326</v>
      </c>
      <c r="CS35" s="763">
        <f t="shared" si="23"/>
        <v>78915599</v>
      </c>
      <c r="CT35" s="808">
        <f t="shared" si="23"/>
        <v>66912171</v>
      </c>
      <c r="CU35" s="815"/>
      <c r="CV35" s="815"/>
      <c r="CW35" s="815"/>
      <c r="CX35" s="816"/>
      <c r="CY35" s="816"/>
      <c r="CZ35" s="816"/>
    </row>
    <row r="36" spans="1:104" s="765" customFormat="1" ht="31.5">
      <c r="A36" s="772" t="s">
        <v>550</v>
      </c>
      <c r="B36" s="759">
        <v>300000000</v>
      </c>
      <c r="C36" s="764"/>
      <c r="D36" s="764"/>
      <c r="E36" s="764"/>
      <c r="F36" s="764"/>
      <c r="G36" s="764"/>
      <c r="H36" s="764"/>
      <c r="I36" s="764"/>
      <c r="J36" s="764"/>
      <c r="K36" s="764"/>
      <c r="L36" s="764"/>
      <c r="M36" s="764"/>
      <c r="N36" s="764"/>
      <c r="O36" s="764"/>
      <c r="P36" s="764"/>
      <c r="Q36" s="764"/>
      <c r="R36" s="764"/>
      <c r="S36" s="764"/>
      <c r="T36" s="764"/>
      <c r="U36" s="764"/>
      <c r="V36" s="764"/>
      <c r="W36" s="764"/>
      <c r="X36" s="764"/>
      <c r="Y36" s="764"/>
      <c r="Z36" s="764"/>
      <c r="AA36" s="764"/>
      <c r="AB36" s="764"/>
      <c r="AC36" s="764"/>
      <c r="AD36" s="764"/>
      <c r="AE36" s="764"/>
      <c r="AF36" s="764"/>
      <c r="AG36" s="764"/>
      <c r="AH36" s="764"/>
      <c r="AI36" s="764"/>
      <c r="AJ36" s="764"/>
      <c r="AK36" s="764"/>
      <c r="AL36" s="764"/>
      <c r="AM36" s="764"/>
      <c r="AN36" s="764"/>
      <c r="AO36" s="764"/>
      <c r="AP36" s="764"/>
      <c r="AQ36" s="764"/>
      <c r="AR36" s="764"/>
      <c r="AS36" s="764"/>
      <c r="AT36" s="764"/>
      <c r="AU36" s="764"/>
      <c r="AV36" s="764"/>
      <c r="AW36" s="764"/>
      <c r="AX36" s="764"/>
      <c r="AY36" s="764"/>
      <c r="AZ36" s="764"/>
      <c r="BA36" s="764"/>
      <c r="BB36" s="764"/>
      <c r="BC36" s="764"/>
      <c r="BD36" s="764"/>
      <c r="BE36" s="764"/>
      <c r="BF36" s="764"/>
      <c r="BG36" s="764"/>
      <c r="BH36" s="764"/>
      <c r="BI36" s="764"/>
      <c r="BJ36" s="764"/>
      <c r="BK36" s="764"/>
      <c r="BL36" s="764"/>
      <c r="BM36" s="764"/>
      <c r="BN36" s="764"/>
      <c r="BO36" s="764"/>
      <c r="BP36" s="764"/>
      <c r="BQ36" s="764"/>
      <c r="BR36" s="764"/>
      <c r="BS36" s="779">
        <f t="shared" si="26"/>
        <v>300000000</v>
      </c>
      <c r="BT36" s="779">
        <v>299667241</v>
      </c>
      <c r="BU36" s="779">
        <v>298357533</v>
      </c>
      <c r="BV36" s="779">
        <v>52104405</v>
      </c>
      <c r="BW36" s="764"/>
      <c r="BX36" s="764"/>
      <c r="BY36" s="764"/>
      <c r="BZ36" s="764"/>
      <c r="CA36" s="764"/>
      <c r="CB36" s="764"/>
      <c r="CC36" s="764"/>
      <c r="CD36" s="764"/>
      <c r="CE36" s="764"/>
      <c r="CF36" s="764"/>
      <c r="CG36" s="764"/>
      <c r="CH36" s="764"/>
      <c r="CI36" s="764"/>
      <c r="CJ36" s="764"/>
      <c r="CK36" s="764"/>
      <c r="CL36" s="764"/>
      <c r="CM36" s="764"/>
      <c r="CN36" s="764"/>
      <c r="CO36" s="764"/>
      <c r="CP36" s="764"/>
      <c r="CQ36" s="763">
        <f t="shared" si="23"/>
        <v>300000000</v>
      </c>
      <c r="CR36" s="763">
        <f t="shared" si="23"/>
        <v>299667241</v>
      </c>
      <c r="CS36" s="763">
        <f t="shared" si="23"/>
        <v>298357533</v>
      </c>
      <c r="CT36" s="808">
        <f t="shared" si="23"/>
        <v>52104405</v>
      </c>
      <c r="CU36" s="815"/>
      <c r="CV36" s="815"/>
      <c r="CW36" s="815"/>
      <c r="CX36" s="816"/>
      <c r="CY36" s="816"/>
      <c r="CZ36" s="816"/>
    </row>
    <row r="37" spans="1:104" ht="47.25">
      <c r="A37" s="772" t="s">
        <v>1366</v>
      </c>
      <c r="B37" s="759">
        <v>220000000</v>
      </c>
      <c r="C37" s="760"/>
      <c r="D37" s="760"/>
      <c r="E37" s="760"/>
      <c r="F37" s="760"/>
      <c r="BS37" s="779">
        <f t="shared" si="26"/>
        <v>220000000</v>
      </c>
      <c r="BT37" s="779">
        <v>219755901</v>
      </c>
      <c r="BU37" s="779">
        <v>218254661</v>
      </c>
      <c r="BV37" s="779">
        <v>14014304</v>
      </c>
      <c r="CQ37" s="763">
        <f t="shared" si="23"/>
        <v>220000000</v>
      </c>
      <c r="CR37" s="763">
        <f t="shared" si="23"/>
        <v>219755901</v>
      </c>
      <c r="CS37" s="763">
        <f t="shared" si="23"/>
        <v>218254661</v>
      </c>
      <c r="CT37" s="808">
        <f t="shared" si="23"/>
        <v>14014304</v>
      </c>
      <c r="CU37" s="815"/>
      <c r="CV37" s="815"/>
      <c r="CW37" s="815"/>
      <c r="CX37" s="816"/>
      <c r="CY37" s="816"/>
      <c r="CZ37" s="816"/>
    </row>
    <row r="38" spans="1:104" ht="31.5">
      <c r="A38" s="772" t="s">
        <v>1367</v>
      </c>
      <c r="B38" s="759">
        <v>400000000</v>
      </c>
      <c r="C38" s="760"/>
      <c r="D38" s="760"/>
      <c r="E38" s="760"/>
      <c r="F38" s="760"/>
      <c r="G38" s="777"/>
      <c r="H38" s="777"/>
      <c r="I38" s="777"/>
      <c r="J38" s="777"/>
      <c r="K38" s="777"/>
      <c r="L38" s="777"/>
      <c r="M38" s="777"/>
      <c r="N38" s="777"/>
      <c r="O38" s="777"/>
      <c r="P38" s="777"/>
      <c r="Q38" s="777"/>
      <c r="R38" s="777"/>
      <c r="S38" s="777"/>
      <c r="T38" s="777"/>
      <c r="U38" s="777"/>
      <c r="V38" s="777"/>
      <c r="BS38" s="779">
        <f t="shared" si="26"/>
        <v>400000000</v>
      </c>
      <c r="BT38" s="779">
        <v>399556707</v>
      </c>
      <c r="BU38" s="779">
        <v>397014364</v>
      </c>
      <c r="BV38" s="779">
        <v>316326884</v>
      </c>
      <c r="CQ38" s="763">
        <f t="shared" si="23"/>
        <v>400000000</v>
      </c>
      <c r="CR38" s="763">
        <f t="shared" si="23"/>
        <v>399556707</v>
      </c>
      <c r="CS38" s="763">
        <f t="shared" si="23"/>
        <v>397014364</v>
      </c>
      <c r="CT38" s="808">
        <f t="shared" si="23"/>
        <v>316326884</v>
      </c>
      <c r="CU38" s="815"/>
      <c r="CV38" s="815"/>
      <c r="CW38" s="815"/>
      <c r="CX38" s="816"/>
      <c r="CY38" s="816"/>
      <c r="CZ38" s="816"/>
    </row>
    <row r="39" spans="1:104" s="765" customFormat="1" ht="31.5">
      <c r="A39" s="772" t="s">
        <v>958</v>
      </c>
      <c r="B39" s="759">
        <v>150000000</v>
      </c>
      <c r="C39" s="764"/>
      <c r="D39" s="764"/>
      <c r="E39" s="764"/>
      <c r="F39" s="764"/>
      <c r="G39" s="764"/>
      <c r="H39" s="764"/>
      <c r="I39" s="764"/>
      <c r="J39" s="764"/>
      <c r="K39" s="764"/>
      <c r="L39" s="764"/>
      <c r="M39" s="764"/>
      <c r="N39" s="764"/>
      <c r="O39" s="764"/>
      <c r="P39" s="764"/>
      <c r="Q39" s="764"/>
      <c r="R39" s="764"/>
      <c r="S39" s="764"/>
      <c r="T39" s="764"/>
      <c r="U39" s="764"/>
      <c r="V39" s="764"/>
      <c r="W39" s="764"/>
      <c r="X39" s="764"/>
      <c r="Y39" s="764"/>
      <c r="Z39" s="764"/>
      <c r="AA39" s="764"/>
      <c r="AB39" s="764"/>
      <c r="AC39" s="764"/>
      <c r="AD39" s="764"/>
      <c r="AE39" s="764"/>
      <c r="AF39" s="764"/>
      <c r="AG39" s="764"/>
      <c r="AH39" s="764"/>
      <c r="AI39" s="764"/>
      <c r="AJ39" s="764"/>
      <c r="AK39" s="764"/>
      <c r="AL39" s="764"/>
      <c r="AM39" s="764"/>
      <c r="AN39" s="764"/>
      <c r="AO39" s="764"/>
      <c r="AP39" s="764"/>
      <c r="AQ39" s="764"/>
      <c r="AR39" s="764"/>
      <c r="AS39" s="764"/>
      <c r="AT39" s="764"/>
      <c r="AU39" s="764"/>
      <c r="AV39" s="764"/>
      <c r="AW39" s="764"/>
      <c r="AX39" s="764"/>
      <c r="AY39" s="764"/>
      <c r="AZ39" s="764"/>
      <c r="BA39" s="764"/>
      <c r="BB39" s="764"/>
      <c r="BC39" s="764"/>
      <c r="BD39" s="764"/>
      <c r="BE39" s="764"/>
      <c r="BF39" s="764"/>
      <c r="BG39" s="764"/>
      <c r="BH39" s="764"/>
      <c r="BI39" s="764"/>
      <c r="BJ39" s="764"/>
      <c r="BK39" s="764"/>
      <c r="BL39" s="764"/>
      <c r="BM39" s="764"/>
      <c r="BN39" s="764"/>
      <c r="BO39" s="764"/>
      <c r="BP39" s="764"/>
      <c r="BQ39" s="764"/>
      <c r="BR39" s="764"/>
      <c r="BS39" s="779">
        <f t="shared" si="26"/>
        <v>150000000</v>
      </c>
      <c r="BT39" s="779">
        <v>133603254</v>
      </c>
      <c r="BU39" s="779">
        <v>126914145</v>
      </c>
      <c r="BV39" s="779">
        <v>117181580</v>
      </c>
      <c r="BW39" s="764"/>
      <c r="BX39" s="764"/>
      <c r="BY39" s="764"/>
      <c r="BZ39" s="764"/>
      <c r="CA39" s="764"/>
      <c r="CB39" s="764"/>
      <c r="CC39" s="764"/>
      <c r="CD39" s="764"/>
      <c r="CE39" s="764"/>
      <c r="CF39" s="764"/>
      <c r="CG39" s="764"/>
      <c r="CH39" s="764"/>
      <c r="CI39" s="764"/>
      <c r="CJ39" s="764"/>
      <c r="CK39" s="764"/>
      <c r="CL39" s="764"/>
      <c r="CM39" s="764"/>
      <c r="CN39" s="764"/>
      <c r="CO39" s="764"/>
      <c r="CP39" s="764"/>
      <c r="CQ39" s="763">
        <f t="shared" si="23"/>
        <v>150000000</v>
      </c>
      <c r="CR39" s="763">
        <f t="shared" si="23"/>
        <v>133603254</v>
      </c>
      <c r="CS39" s="763">
        <f t="shared" si="23"/>
        <v>126914145</v>
      </c>
      <c r="CT39" s="808">
        <f t="shared" si="23"/>
        <v>117181580</v>
      </c>
      <c r="CU39" s="815"/>
      <c r="CV39" s="815"/>
      <c r="CW39" s="815"/>
      <c r="CX39" s="816"/>
      <c r="CY39" s="816"/>
      <c r="CZ39" s="816"/>
    </row>
    <row r="40" spans="1:104" s="765" customFormat="1" ht="31.5">
      <c r="A40" s="772" t="s">
        <v>1368</v>
      </c>
      <c r="B40" s="759">
        <v>400000000</v>
      </c>
      <c r="C40" s="764"/>
      <c r="D40" s="764"/>
      <c r="E40" s="764"/>
      <c r="F40" s="764"/>
      <c r="G40" s="764"/>
      <c r="H40" s="764"/>
      <c r="I40" s="764"/>
      <c r="J40" s="764"/>
      <c r="K40" s="764"/>
      <c r="L40" s="764"/>
      <c r="M40" s="764"/>
      <c r="N40" s="764"/>
      <c r="O40" s="764"/>
      <c r="P40" s="764"/>
      <c r="Q40" s="764"/>
      <c r="R40" s="764"/>
      <c r="S40" s="764"/>
      <c r="T40" s="764"/>
      <c r="U40" s="764"/>
      <c r="V40" s="764"/>
      <c r="W40" s="764"/>
      <c r="X40" s="764"/>
      <c r="Y40" s="764"/>
      <c r="Z40" s="764"/>
      <c r="AA40" s="764"/>
      <c r="AB40" s="764"/>
      <c r="AC40" s="764"/>
      <c r="AD40" s="764"/>
      <c r="AE40" s="764"/>
      <c r="AF40" s="764"/>
      <c r="AG40" s="764"/>
      <c r="AH40" s="764"/>
      <c r="AI40" s="764"/>
      <c r="AJ40" s="764"/>
      <c r="AK40" s="764"/>
      <c r="AL40" s="764"/>
      <c r="AM40" s="764"/>
      <c r="AN40" s="764"/>
      <c r="AO40" s="764"/>
      <c r="AP40" s="764"/>
      <c r="AQ40" s="764"/>
      <c r="AR40" s="764"/>
      <c r="AS40" s="764"/>
      <c r="AT40" s="764"/>
      <c r="AU40" s="764"/>
      <c r="AV40" s="764"/>
      <c r="AW40" s="764"/>
      <c r="AX40" s="764"/>
      <c r="AY40" s="764"/>
      <c r="AZ40" s="764"/>
      <c r="BA40" s="764"/>
      <c r="BB40" s="764"/>
      <c r="BC40" s="764"/>
      <c r="BD40" s="764"/>
      <c r="BE40" s="764"/>
      <c r="BF40" s="764"/>
      <c r="BG40" s="764"/>
      <c r="BH40" s="764"/>
      <c r="BI40" s="764"/>
      <c r="BJ40" s="764"/>
      <c r="BK40" s="764"/>
      <c r="BL40" s="764"/>
      <c r="BM40" s="764"/>
      <c r="BN40" s="764"/>
      <c r="BO40" s="764"/>
      <c r="BP40" s="764"/>
      <c r="BQ40" s="764"/>
      <c r="BR40" s="764"/>
      <c r="BS40" s="779">
        <f t="shared" si="26"/>
        <v>400000000</v>
      </c>
      <c r="BT40" s="779">
        <v>399556712</v>
      </c>
      <c r="BU40" s="779">
        <v>397014419</v>
      </c>
      <c r="BV40" s="779">
        <v>200128744</v>
      </c>
      <c r="BW40" s="764"/>
      <c r="BX40" s="764"/>
      <c r="BY40" s="764"/>
      <c r="BZ40" s="764"/>
      <c r="CA40" s="764"/>
      <c r="CB40" s="764"/>
      <c r="CC40" s="764"/>
      <c r="CD40" s="764"/>
      <c r="CE40" s="764"/>
      <c r="CF40" s="764"/>
      <c r="CG40" s="764"/>
      <c r="CH40" s="764"/>
      <c r="CI40" s="764"/>
      <c r="CJ40" s="764"/>
      <c r="CK40" s="764"/>
      <c r="CL40" s="764"/>
      <c r="CM40" s="764"/>
      <c r="CN40" s="764"/>
      <c r="CO40" s="764"/>
      <c r="CP40" s="764"/>
      <c r="CQ40" s="763">
        <f t="shared" si="23"/>
        <v>400000000</v>
      </c>
      <c r="CR40" s="763">
        <f t="shared" si="23"/>
        <v>399556712</v>
      </c>
      <c r="CS40" s="763">
        <f t="shared" si="23"/>
        <v>397014419</v>
      </c>
      <c r="CT40" s="808">
        <f t="shared" si="23"/>
        <v>200128744</v>
      </c>
      <c r="CU40" s="815"/>
      <c r="CV40" s="815"/>
      <c r="CW40" s="815"/>
      <c r="CX40" s="816"/>
      <c r="CY40" s="816"/>
      <c r="CZ40" s="816"/>
    </row>
    <row r="41" spans="1:104" s="765" customFormat="1" ht="31.5">
      <c r="A41" s="772" t="s">
        <v>556</v>
      </c>
      <c r="B41" s="759">
        <v>650000000</v>
      </c>
      <c r="C41" s="764"/>
      <c r="D41" s="764"/>
      <c r="E41" s="764"/>
      <c r="F41" s="764"/>
      <c r="G41" s="764"/>
      <c r="H41" s="764"/>
      <c r="I41" s="764"/>
      <c r="J41" s="764"/>
      <c r="K41" s="764"/>
      <c r="L41" s="764"/>
      <c r="M41" s="764"/>
      <c r="N41" s="764"/>
      <c r="O41" s="764"/>
      <c r="P41" s="764"/>
      <c r="Q41" s="764"/>
      <c r="R41" s="764"/>
      <c r="S41" s="764"/>
      <c r="T41" s="764"/>
      <c r="U41" s="764"/>
      <c r="V41" s="764"/>
      <c r="W41" s="764"/>
      <c r="X41" s="764"/>
      <c r="Y41" s="764"/>
      <c r="Z41" s="764"/>
      <c r="AA41" s="764"/>
      <c r="AB41" s="764"/>
      <c r="AC41" s="764"/>
      <c r="AD41" s="764"/>
      <c r="AE41" s="764"/>
      <c r="AF41" s="764"/>
      <c r="AG41" s="764"/>
      <c r="AH41" s="764"/>
      <c r="AI41" s="764"/>
      <c r="AJ41" s="764"/>
      <c r="AK41" s="764"/>
      <c r="AL41" s="764"/>
      <c r="AM41" s="764"/>
      <c r="AN41" s="764"/>
      <c r="AO41" s="764"/>
      <c r="AP41" s="764"/>
      <c r="AQ41" s="764"/>
      <c r="AR41" s="764"/>
      <c r="AS41" s="764"/>
      <c r="AT41" s="764"/>
      <c r="AU41" s="764"/>
      <c r="AV41" s="764"/>
      <c r="AW41" s="764"/>
      <c r="AX41" s="764"/>
      <c r="AY41" s="764"/>
      <c r="AZ41" s="764"/>
      <c r="BA41" s="764"/>
      <c r="BB41" s="764"/>
      <c r="BC41" s="764"/>
      <c r="BD41" s="764"/>
      <c r="BE41" s="764"/>
      <c r="BF41" s="764"/>
      <c r="BG41" s="764"/>
      <c r="BH41" s="764"/>
      <c r="BI41" s="764"/>
      <c r="BJ41" s="764"/>
      <c r="BK41" s="764"/>
      <c r="BL41" s="764"/>
      <c r="BM41" s="764"/>
      <c r="BN41" s="764"/>
      <c r="BO41" s="764"/>
      <c r="BP41" s="764"/>
      <c r="BQ41" s="764"/>
      <c r="BR41" s="764"/>
      <c r="BS41" s="779">
        <f t="shared" si="26"/>
        <v>650000000</v>
      </c>
      <c r="BT41" s="779">
        <v>649663517</v>
      </c>
      <c r="BU41" s="779">
        <v>648648936</v>
      </c>
      <c r="BV41" s="779">
        <v>622575794</v>
      </c>
      <c r="BW41" s="764"/>
      <c r="BX41" s="764"/>
      <c r="BY41" s="764"/>
      <c r="BZ41" s="764"/>
      <c r="CA41" s="764"/>
      <c r="CB41" s="764"/>
      <c r="CC41" s="764"/>
      <c r="CD41" s="764"/>
      <c r="CE41" s="764"/>
      <c r="CF41" s="764"/>
      <c r="CG41" s="764"/>
      <c r="CH41" s="764"/>
      <c r="CI41" s="764"/>
      <c r="CJ41" s="764"/>
      <c r="CK41" s="764"/>
      <c r="CL41" s="764"/>
      <c r="CM41" s="764"/>
      <c r="CN41" s="764"/>
      <c r="CO41" s="764"/>
      <c r="CP41" s="764"/>
      <c r="CQ41" s="763">
        <f t="shared" si="23"/>
        <v>650000000</v>
      </c>
      <c r="CR41" s="763">
        <f t="shared" si="23"/>
        <v>649663517</v>
      </c>
      <c r="CS41" s="763">
        <f t="shared" si="23"/>
        <v>648648936</v>
      </c>
      <c r="CT41" s="808">
        <f t="shared" si="23"/>
        <v>622575794</v>
      </c>
      <c r="CU41" s="815"/>
      <c r="CV41" s="815"/>
      <c r="CW41" s="815"/>
      <c r="CX41" s="816"/>
      <c r="CY41" s="816"/>
      <c r="CZ41" s="816"/>
    </row>
    <row r="42" spans="1:104" ht="31.5">
      <c r="A42" s="772" t="s">
        <v>959</v>
      </c>
      <c r="B42" s="759">
        <v>100000000</v>
      </c>
      <c r="C42" s="760"/>
      <c r="D42" s="760"/>
      <c r="E42" s="760"/>
      <c r="F42" s="760"/>
      <c r="G42" s="760"/>
      <c r="H42" s="760"/>
      <c r="I42" s="760"/>
      <c r="J42" s="760"/>
      <c r="K42" s="760"/>
      <c r="L42" s="760"/>
      <c r="M42" s="760"/>
      <c r="N42" s="760"/>
      <c r="O42" s="760"/>
      <c r="P42" s="760"/>
      <c r="Q42" s="760"/>
      <c r="R42" s="760"/>
      <c r="S42" s="760"/>
      <c r="T42" s="760"/>
      <c r="U42" s="760"/>
      <c r="V42" s="760"/>
      <c r="BS42" s="779">
        <f t="shared" si="26"/>
        <v>100000000</v>
      </c>
      <c r="BT42" s="779">
        <v>99611316</v>
      </c>
      <c r="BU42" s="779">
        <v>97397324</v>
      </c>
      <c r="BV42" s="779">
        <v>95204970</v>
      </c>
      <c r="CQ42" s="763">
        <f t="shared" si="23"/>
        <v>100000000</v>
      </c>
      <c r="CR42" s="763">
        <f t="shared" si="23"/>
        <v>99611316</v>
      </c>
      <c r="CS42" s="763">
        <f t="shared" si="23"/>
        <v>97397324</v>
      </c>
      <c r="CT42" s="808">
        <f t="shared" si="23"/>
        <v>95204970</v>
      </c>
      <c r="CU42" s="815"/>
      <c r="CV42" s="815"/>
      <c r="CW42" s="815"/>
      <c r="CX42" s="816"/>
      <c r="CY42" s="816"/>
      <c r="CZ42" s="816"/>
    </row>
    <row r="43" spans="1:104" s="765" customFormat="1" ht="31.5">
      <c r="A43" s="772" t="s">
        <v>1369</v>
      </c>
      <c r="B43" s="759">
        <v>350000000</v>
      </c>
      <c r="C43" s="764"/>
      <c r="D43" s="764"/>
      <c r="E43" s="764"/>
      <c r="F43" s="764"/>
      <c r="G43" s="764"/>
      <c r="H43" s="764"/>
      <c r="I43" s="764"/>
      <c r="J43" s="764"/>
      <c r="K43" s="764"/>
      <c r="L43" s="764"/>
      <c r="M43" s="764"/>
      <c r="N43" s="764"/>
      <c r="O43" s="764"/>
      <c r="P43" s="764"/>
      <c r="Q43" s="764"/>
      <c r="R43" s="764"/>
      <c r="S43" s="764"/>
      <c r="T43" s="764"/>
      <c r="U43" s="764"/>
      <c r="V43" s="764"/>
      <c r="W43" s="764"/>
      <c r="X43" s="764"/>
      <c r="Y43" s="764"/>
      <c r="Z43" s="764"/>
      <c r="AA43" s="764"/>
      <c r="AB43" s="764"/>
      <c r="AC43" s="764"/>
      <c r="AD43" s="764"/>
      <c r="AE43" s="764"/>
      <c r="AF43" s="764"/>
      <c r="AG43" s="764"/>
      <c r="AH43" s="764"/>
      <c r="AI43" s="764"/>
      <c r="AJ43" s="764"/>
      <c r="AK43" s="764"/>
      <c r="AL43" s="764"/>
      <c r="AM43" s="764"/>
      <c r="AN43" s="764"/>
      <c r="AO43" s="764"/>
      <c r="AP43" s="764"/>
      <c r="AQ43" s="764"/>
      <c r="AR43" s="764"/>
      <c r="AS43" s="764"/>
      <c r="AT43" s="764"/>
      <c r="AU43" s="764"/>
      <c r="AV43" s="764"/>
      <c r="AW43" s="764"/>
      <c r="AX43" s="764"/>
      <c r="AY43" s="764"/>
      <c r="AZ43" s="764"/>
      <c r="BA43" s="764"/>
      <c r="BB43" s="764"/>
      <c r="BC43" s="764"/>
      <c r="BD43" s="764"/>
      <c r="BE43" s="764"/>
      <c r="BF43" s="764"/>
      <c r="BG43" s="764"/>
      <c r="BH43" s="764"/>
      <c r="BI43" s="764"/>
      <c r="BJ43" s="764"/>
      <c r="BK43" s="764"/>
      <c r="BL43" s="764"/>
      <c r="BM43" s="764"/>
      <c r="BN43" s="764"/>
      <c r="BO43" s="764"/>
      <c r="BP43" s="764"/>
      <c r="BQ43" s="764"/>
      <c r="BR43" s="764"/>
      <c r="BS43" s="779">
        <f t="shared" si="26"/>
        <v>350000000</v>
      </c>
      <c r="BT43" s="779">
        <v>349413380</v>
      </c>
      <c r="BU43" s="779">
        <v>346183084</v>
      </c>
      <c r="BV43" s="779">
        <v>336252934</v>
      </c>
      <c r="BW43" s="764"/>
      <c r="BX43" s="764"/>
      <c r="BY43" s="764"/>
      <c r="BZ43" s="764"/>
      <c r="CA43" s="764"/>
      <c r="CB43" s="764"/>
      <c r="CC43" s="764"/>
      <c r="CD43" s="764"/>
      <c r="CE43" s="764"/>
      <c r="CF43" s="764"/>
      <c r="CG43" s="764"/>
      <c r="CH43" s="764"/>
      <c r="CI43" s="764"/>
      <c r="CJ43" s="764"/>
      <c r="CK43" s="764"/>
      <c r="CL43" s="764"/>
      <c r="CM43" s="764"/>
      <c r="CN43" s="764"/>
      <c r="CO43" s="764"/>
      <c r="CP43" s="764"/>
      <c r="CQ43" s="763">
        <f t="shared" si="23"/>
        <v>350000000</v>
      </c>
      <c r="CR43" s="763">
        <f t="shared" si="23"/>
        <v>349413380</v>
      </c>
      <c r="CS43" s="763">
        <f t="shared" si="23"/>
        <v>346183084</v>
      </c>
      <c r="CT43" s="808">
        <f t="shared" si="23"/>
        <v>336252934</v>
      </c>
      <c r="CU43" s="815"/>
      <c r="CV43" s="815"/>
      <c r="CW43" s="815"/>
      <c r="CX43" s="816"/>
      <c r="CY43" s="816"/>
      <c r="CZ43" s="816"/>
    </row>
    <row r="44" spans="1:104" ht="31.5">
      <c r="A44" s="772" t="s">
        <v>1370</v>
      </c>
      <c r="B44" s="759">
        <v>428000000</v>
      </c>
      <c r="C44" s="760"/>
      <c r="D44" s="760"/>
      <c r="E44" s="760"/>
      <c r="F44" s="760"/>
      <c r="G44" s="760"/>
      <c r="H44" s="760"/>
      <c r="I44" s="760"/>
      <c r="J44" s="760"/>
      <c r="K44" s="760"/>
      <c r="L44" s="760"/>
      <c r="M44" s="760"/>
      <c r="N44" s="760"/>
      <c r="O44" s="760"/>
      <c r="P44" s="760"/>
      <c r="Q44" s="760"/>
      <c r="R44" s="760"/>
      <c r="S44" s="760"/>
      <c r="T44" s="760"/>
      <c r="U44" s="760"/>
      <c r="V44" s="760"/>
      <c r="BS44" s="779">
        <v>428000000</v>
      </c>
      <c r="BT44" s="779">
        <v>425207843</v>
      </c>
      <c r="BU44" s="779">
        <v>422120093</v>
      </c>
      <c r="BV44" s="779">
        <v>95299023</v>
      </c>
      <c r="CQ44" s="763">
        <f t="shared" si="23"/>
        <v>428000000</v>
      </c>
      <c r="CR44" s="763">
        <f t="shared" si="23"/>
        <v>425207843</v>
      </c>
      <c r="CS44" s="763">
        <f t="shared" si="23"/>
        <v>422120093</v>
      </c>
      <c r="CT44" s="808">
        <f t="shared" si="23"/>
        <v>95299023</v>
      </c>
      <c r="CU44" s="815"/>
      <c r="CV44" s="815"/>
      <c r="CW44" s="815"/>
      <c r="CX44" s="816"/>
      <c r="CY44" s="816"/>
      <c r="CZ44" s="816"/>
    </row>
    <row r="45" spans="1:104" s="765" customFormat="1" ht="31.5">
      <c r="A45" s="772" t="s">
        <v>1371</v>
      </c>
      <c r="B45" s="767">
        <v>67300000</v>
      </c>
      <c r="C45" s="764"/>
      <c r="D45" s="764"/>
      <c r="E45" s="764"/>
      <c r="F45" s="764"/>
      <c r="G45" s="764"/>
      <c r="H45" s="764"/>
      <c r="I45" s="764"/>
      <c r="J45" s="764"/>
      <c r="K45" s="764"/>
      <c r="L45" s="764"/>
      <c r="M45" s="764"/>
      <c r="N45" s="764"/>
      <c r="O45" s="764"/>
      <c r="P45" s="764"/>
      <c r="Q45" s="764"/>
      <c r="R45" s="764"/>
      <c r="S45" s="764"/>
      <c r="T45" s="764"/>
      <c r="U45" s="764"/>
      <c r="V45" s="764"/>
      <c r="W45" s="764"/>
      <c r="X45" s="764"/>
      <c r="Y45" s="764"/>
      <c r="Z45" s="764"/>
      <c r="AA45" s="764"/>
      <c r="AB45" s="764"/>
      <c r="AC45" s="764"/>
      <c r="AD45" s="764"/>
      <c r="AE45" s="764"/>
      <c r="AF45" s="764"/>
      <c r="AG45" s="764"/>
      <c r="AH45" s="764"/>
      <c r="AI45" s="764"/>
      <c r="AJ45" s="764"/>
      <c r="AK45" s="764"/>
      <c r="AL45" s="764"/>
      <c r="AM45" s="764"/>
      <c r="AN45" s="764"/>
      <c r="AO45" s="764"/>
      <c r="AP45" s="764"/>
      <c r="AQ45" s="764"/>
      <c r="AR45" s="764"/>
      <c r="AS45" s="764"/>
      <c r="AT45" s="764"/>
      <c r="AU45" s="764"/>
      <c r="AV45" s="764"/>
      <c r="AW45" s="764"/>
      <c r="AX45" s="764"/>
      <c r="AY45" s="764"/>
      <c r="AZ45" s="764"/>
      <c r="BA45" s="764"/>
      <c r="BB45" s="764"/>
      <c r="BC45" s="764"/>
      <c r="BD45" s="764"/>
      <c r="BE45" s="764"/>
      <c r="BF45" s="764"/>
      <c r="BG45" s="764"/>
      <c r="BH45" s="764"/>
      <c r="BI45" s="764"/>
      <c r="BJ45" s="764"/>
      <c r="BK45" s="764"/>
      <c r="BL45" s="764"/>
      <c r="BM45" s="764"/>
      <c r="BN45" s="764"/>
      <c r="BO45" s="764"/>
      <c r="BP45" s="764"/>
      <c r="BQ45" s="764"/>
      <c r="BR45" s="764"/>
      <c r="BS45" s="780">
        <f t="shared" si="26"/>
        <v>67300000</v>
      </c>
      <c r="BT45" s="781">
        <v>66525102</v>
      </c>
      <c r="BU45" s="781">
        <v>63484848</v>
      </c>
      <c r="BV45" s="781">
        <v>42614548</v>
      </c>
      <c r="BW45" s="764"/>
      <c r="BX45" s="764"/>
      <c r="BY45" s="764"/>
      <c r="BZ45" s="764"/>
      <c r="CA45" s="764"/>
      <c r="CB45" s="764"/>
      <c r="CC45" s="764"/>
      <c r="CD45" s="764"/>
      <c r="CE45" s="764"/>
      <c r="CF45" s="764"/>
      <c r="CG45" s="764"/>
      <c r="CH45" s="764"/>
      <c r="CI45" s="764"/>
      <c r="CJ45" s="764"/>
      <c r="CK45" s="764"/>
      <c r="CL45" s="764"/>
      <c r="CM45" s="764"/>
      <c r="CN45" s="764"/>
      <c r="CO45" s="764"/>
      <c r="CP45" s="764"/>
      <c r="CQ45" s="763">
        <f t="shared" si="23"/>
        <v>67300000</v>
      </c>
      <c r="CR45" s="763">
        <f t="shared" si="23"/>
        <v>66525102</v>
      </c>
      <c r="CS45" s="763">
        <f t="shared" si="23"/>
        <v>63484848</v>
      </c>
      <c r="CT45" s="808">
        <f t="shared" si="23"/>
        <v>42614548</v>
      </c>
      <c r="CU45" s="815"/>
      <c r="CV45" s="815"/>
      <c r="CW45" s="815"/>
      <c r="CX45" s="816"/>
      <c r="CY45" s="816"/>
      <c r="CZ45" s="816"/>
    </row>
    <row r="46" spans="1:104" s="765" customFormat="1" ht="31.5">
      <c r="A46" s="772" t="s">
        <v>563</v>
      </c>
      <c r="B46" s="759">
        <v>350000000</v>
      </c>
      <c r="C46" s="764"/>
      <c r="D46" s="764"/>
      <c r="E46" s="764"/>
      <c r="F46" s="764"/>
      <c r="G46" s="764"/>
      <c r="H46" s="764"/>
      <c r="I46" s="764"/>
      <c r="J46" s="764"/>
      <c r="K46" s="764"/>
      <c r="L46" s="764"/>
      <c r="M46" s="764"/>
      <c r="N46" s="764"/>
      <c r="O46" s="764"/>
      <c r="P46" s="764"/>
      <c r="Q46" s="764"/>
      <c r="R46" s="764"/>
      <c r="S46" s="764"/>
      <c r="T46" s="764"/>
      <c r="U46" s="764"/>
      <c r="V46" s="764"/>
      <c r="W46" s="764"/>
      <c r="X46" s="764"/>
      <c r="Y46" s="764"/>
      <c r="Z46" s="764"/>
      <c r="AA46" s="764"/>
      <c r="AB46" s="764"/>
      <c r="AC46" s="764"/>
      <c r="AD46" s="764"/>
      <c r="AE46" s="764"/>
      <c r="AF46" s="764"/>
      <c r="AG46" s="764"/>
      <c r="AH46" s="764"/>
      <c r="AI46" s="764"/>
      <c r="AJ46" s="764"/>
      <c r="AK46" s="764"/>
      <c r="AL46" s="764"/>
      <c r="AM46" s="764"/>
      <c r="AN46" s="764"/>
      <c r="AO46" s="764"/>
      <c r="AP46" s="764"/>
      <c r="AQ46" s="764"/>
      <c r="AR46" s="764"/>
      <c r="AS46" s="764"/>
      <c r="AT46" s="764"/>
      <c r="AU46" s="764"/>
      <c r="AV46" s="764"/>
      <c r="AW46" s="764"/>
      <c r="AX46" s="764"/>
      <c r="AY46" s="764"/>
      <c r="AZ46" s="764"/>
      <c r="BA46" s="764"/>
      <c r="BB46" s="764"/>
      <c r="BC46" s="764"/>
      <c r="BD46" s="764"/>
      <c r="BE46" s="764"/>
      <c r="BF46" s="764"/>
      <c r="BG46" s="764"/>
      <c r="BH46" s="764"/>
      <c r="BI46" s="764"/>
      <c r="BJ46" s="764"/>
      <c r="BK46" s="764"/>
      <c r="BL46" s="764"/>
      <c r="BM46" s="764"/>
      <c r="BN46" s="764"/>
      <c r="BO46" s="764"/>
      <c r="BP46" s="764"/>
      <c r="BQ46" s="764"/>
      <c r="BR46" s="764"/>
      <c r="BS46" s="779">
        <f t="shared" si="26"/>
        <v>350000000</v>
      </c>
      <c r="BT46" s="779">
        <v>349613127</v>
      </c>
      <c r="BU46" s="779">
        <v>347348899</v>
      </c>
      <c r="BV46" s="779">
        <v>330975397</v>
      </c>
      <c r="BW46" s="764"/>
      <c r="BX46" s="764"/>
      <c r="BY46" s="764"/>
      <c r="BZ46" s="764"/>
      <c r="CA46" s="764"/>
      <c r="CB46" s="764"/>
      <c r="CC46" s="764"/>
      <c r="CD46" s="764"/>
      <c r="CE46" s="764"/>
      <c r="CF46" s="764"/>
      <c r="CG46" s="764"/>
      <c r="CH46" s="764"/>
      <c r="CI46" s="764"/>
      <c r="CJ46" s="764"/>
      <c r="CK46" s="764"/>
      <c r="CL46" s="764"/>
      <c r="CM46" s="764"/>
      <c r="CN46" s="764"/>
      <c r="CO46" s="764"/>
      <c r="CP46" s="764"/>
      <c r="CQ46" s="763">
        <f t="shared" si="23"/>
        <v>350000000</v>
      </c>
      <c r="CR46" s="763">
        <f t="shared" si="23"/>
        <v>349613127</v>
      </c>
      <c r="CS46" s="763">
        <f t="shared" si="23"/>
        <v>347348899</v>
      </c>
      <c r="CT46" s="808">
        <f t="shared" si="23"/>
        <v>330975397</v>
      </c>
      <c r="CU46" s="815"/>
      <c r="CV46" s="815"/>
      <c r="CW46" s="815"/>
      <c r="CX46" s="816"/>
      <c r="CY46" s="816"/>
      <c r="CZ46" s="816"/>
    </row>
    <row r="47" spans="1:104" s="765" customFormat="1" ht="63">
      <c r="A47" s="772" t="s">
        <v>1372</v>
      </c>
      <c r="B47" s="759">
        <v>350000000</v>
      </c>
      <c r="C47" s="764"/>
      <c r="D47" s="764"/>
      <c r="E47" s="764"/>
      <c r="F47" s="764"/>
      <c r="G47" s="764"/>
      <c r="H47" s="764"/>
      <c r="I47" s="764"/>
      <c r="J47" s="764"/>
      <c r="K47" s="764"/>
      <c r="L47" s="764"/>
      <c r="M47" s="764"/>
      <c r="N47" s="764"/>
      <c r="O47" s="764"/>
      <c r="P47" s="764"/>
      <c r="Q47" s="764"/>
      <c r="R47" s="764"/>
      <c r="S47" s="764"/>
      <c r="T47" s="764"/>
      <c r="U47" s="764"/>
      <c r="V47" s="764"/>
      <c r="W47" s="764"/>
      <c r="X47" s="764"/>
      <c r="Y47" s="764"/>
      <c r="Z47" s="764"/>
      <c r="AA47" s="764"/>
      <c r="AB47" s="764"/>
      <c r="AC47" s="764"/>
      <c r="AD47" s="764"/>
      <c r="AE47" s="764"/>
      <c r="AF47" s="764"/>
      <c r="AG47" s="764"/>
      <c r="AH47" s="764"/>
      <c r="AI47" s="764"/>
      <c r="AJ47" s="764"/>
      <c r="AK47" s="764"/>
      <c r="AL47" s="764"/>
      <c r="AM47" s="764"/>
      <c r="AN47" s="764"/>
      <c r="AO47" s="764"/>
      <c r="AP47" s="764"/>
      <c r="AQ47" s="764"/>
      <c r="AR47" s="764"/>
      <c r="AS47" s="764"/>
      <c r="AT47" s="764"/>
      <c r="AU47" s="764"/>
      <c r="AV47" s="764"/>
      <c r="AW47" s="764"/>
      <c r="AX47" s="764"/>
      <c r="AY47" s="764"/>
      <c r="AZ47" s="764"/>
      <c r="BA47" s="764"/>
      <c r="BB47" s="764"/>
      <c r="BC47" s="764"/>
      <c r="BD47" s="764"/>
      <c r="BE47" s="764"/>
      <c r="BF47" s="764"/>
      <c r="BG47" s="764"/>
      <c r="BH47" s="764"/>
      <c r="BI47" s="764"/>
      <c r="BJ47" s="764"/>
      <c r="BK47" s="764"/>
      <c r="BL47" s="764"/>
      <c r="BM47" s="764"/>
      <c r="BN47" s="764"/>
      <c r="BO47" s="764"/>
      <c r="BP47" s="764"/>
      <c r="BQ47" s="764"/>
      <c r="BR47" s="764"/>
      <c r="BS47" s="779">
        <f t="shared" si="26"/>
        <v>350000000</v>
      </c>
      <c r="BT47" s="779">
        <v>349613127</v>
      </c>
      <c r="BU47" s="779">
        <v>347050299</v>
      </c>
      <c r="BV47" s="779">
        <v>337376797</v>
      </c>
      <c r="BW47" s="764"/>
      <c r="BX47" s="764"/>
      <c r="BY47" s="764"/>
      <c r="BZ47" s="764"/>
      <c r="CA47" s="764"/>
      <c r="CB47" s="764"/>
      <c r="CC47" s="764"/>
      <c r="CD47" s="764"/>
      <c r="CE47" s="764"/>
      <c r="CF47" s="764"/>
      <c r="CG47" s="764"/>
      <c r="CH47" s="764"/>
      <c r="CI47" s="764"/>
      <c r="CJ47" s="764"/>
      <c r="CK47" s="764"/>
      <c r="CL47" s="764"/>
      <c r="CM47" s="764"/>
      <c r="CN47" s="764"/>
      <c r="CO47" s="764"/>
      <c r="CP47" s="764"/>
      <c r="CQ47" s="763">
        <f t="shared" si="23"/>
        <v>350000000</v>
      </c>
      <c r="CR47" s="763">
        <f t="shared" si="23"/>
        <v>349613127</v>
      </c>
      <c r="CS47" s="763">
        <f t="shared" si="23"/>
        <v>347050299</v>
      </c>
      <c r="CT47" s="808">
        <f t="shared" si="23"/>
        <v>337376797</v>
      </c>
      <c r="CU47" s="815"/>
      <c r="CV47" s="815"/>
      <c r="CW47" s="815"/>
      <c r="CX47" s="816"/>
      <c r="CY47" s="816"/>
      <c r="CZ47" s="816"/>
    </row>
    <row r="48" spans="1:104" s="765" customFormat="1" ht="63">
      <c r="A48" s="772" t="s">
        <v>1373</v>
      </c>
      <c r="B48" s="759">
        <v>300000000</v>
      </c>
      <c r="C48" s="764"/>
      <c r="D48" s="764"/>
      <c r="E48" s="764"/>
      <c r="F48" s="764"/>
      <c r="G48" s="764"/>
      <c r="H48" s="764"/>
      <c r="I48" s="764"/>
      <c r="J48" s="764"/>
      <c r="K48" s="764"/>
      <c r="L48" s="764"/>
      <c r="M48" s="764"/>
      <c r="N48" s="764"/>
      <c r="O48" s="764"/>
      <c r="P48" s="764"/>
      <c r="Q48" s="764"/>
      <c r="R48" s="764"/>
      <c r="S48" s="764"/>
      <c r="T48" s="764"/>
      <c r="U48" s="764"/>
      <c r="V48" s="764"/>
      <c r="W48" s="764"/>
      <c r="X48" s="764"/>
      <c r="Y48" s="764"/>
      <c r="Z48" s="764"/>
      <c r="AA48" s="764"/>
      <c r="AB48" s="764"/>
      <c r="AC48" s="764"/>
      <c r="AD48" s="764"/>
      <c r="AE48" s="764"/>
      <c r="AF48" s="764"/>
      <c r="AG48" s="764"/>
      <c r="AH48" s="764"/>
      <c r="AI48" s="764"/>
      <c r="AJ48" s="764"/>
      <c r="AK48" s="764"/>
      <c r="AL48" s="764"/>
      <c r="AM48" s="764"/>
      <c r="AN48" s="764"/>
      <c r="AO48" s="764"/>
      <c r="AP48" s="764"/>
      <c r="AQ48" s="764"/>
      <c r="AR48" s="764"/>
      <c r="AS48" s="764"/>
      <c r="AT48" s="764"/>
      <c r="AU48" s="764"/>
      <c r="AV48" s="764"/>
      <c r="AW48" s="764"/>
      <c r="AX48" s="764"/>
      <c r="AY48" s="764"/>
      <c r="AZ48" s="764"/>
      <c r="BA48" s="764"/>
      <c r="BB48" s="764"/>
      <c r="BC48" s="764"/>
      <c r="BD48" s="764"/>
      <c r="BE48" s="764"/>
      <c r="BF48" s="764"/>
      <c r="BG48" s="764"/>
      <c r="BH48" s="764"/>
      <c r="BI48" s="764"/>
      <c r="BJ48" s="764"/>
      <c r="BK48" s="764"/>
      <c r="BL48" s="764"/>
      <c r="BM48" s="764"/>
      <c r="BN48" s="764"/>
      <c r="BO48" s="764"/>
      <c r="BP48" s="764"/>
      <c r="BQ48" s="764"/>
      <c r="BR48" s="764"/>
      <c r="BS48" s="779">
        <f t="shared" si="26"/>
        <v>300000000</v>
      </c>
      <c r="BT48" s="779">
        <v>299660398</v>
      </c>
      <c r="BU48" s="779">
        <v>297396474</v>
      </c>
      <c r="BV48" s="779">
        <v>289061745</v>
      </c>
      <c r="BW48" s="764"/>
      <c r="BX48" s="764"/>
      <c r="BY48" s="764"/>
      <c r="BZ48" s="764"/>
      <c r="CA48" s="764"/>
      <c r="CB48" s="764"/>
      <c r="CC48" s="764"/>
      <c r="CD48" s="764"/>
      <c r="CE48" s="764"/>
      <c r="CF48" s="764"/>
      <c r="CG48" s="764"/>
      <c r="CH48" s="764"/>
      <c r="CI48" s="764"/>
      <c r="CJ48" s="764"/>
      <c r="CK48" s="764"/>
      <c r="CL48" s="764"/>
      <c r="CM48" s="764"/>
      <c r="CN48" s="764"/>
      <c r="CO48" s="764"/>
      <c r="CP48" s="764"/>
      <c r="CQ48" s="763">
        <f t="shared" si="23"/>
        <v>300000000</v>
      </c>
      <c r="CR48" s="763">
        <f t="shared" si="23"/>
        <v>299660398</v>
      </c>
      <c r="CS48" s="763">
        <f t="shared" si="23"/>
        <v>297396474</v>
      </c>
      <c r="CT48" s="808">
        <f t="shared" si="23"/>
        <v>289061745</v>
      </c>
      <c r="CU48" s="815"/>
      <c r="CV48" s="815"/>
      <c r="CW48" s="815"/>
      <c r="CX48" s="816"/>
      <c r="CY48" s="816"/>
      <c r="CZ48" s="816"/>
    </row>
    <row r="49" spans="1:104" s="765" customFormat="1" ht="63">
      <c r="A49" s="772" t="s">
        <v>1374</v>
      </c>
      <c r="B49" s="759">
        <v>700000000</v>
      </c>
      <c r="C49" s="764"/>
      <c r="D49" s="764"/>
      <c r="E49" s="764"/>
      <c r="F49" s="764"/>
      <c r="G49" s="764"/>
      <c r="H49" s="764"/>
      <c r="I49" s="764"/>
      <c r="J49" s="764"/>
      <c r="K49" s="764"/>
      <c r="L49" s="764"/>
      <c r="M49" s="764"/>
      <c r="N49" s="764"/>
      <c r="O49" s="764"/>
      <c r="P49" s="764"/>
      <c r="Q49" s="764"/>
      <c r="R49" s="764"/>
      <c r="S49" s="764"/>
      <c r="T49" s="764"/>
      <c r="U49" s="764"/>
      <c r="V49" s="764"/>
      <c r="W49" s="764"/>
      <c r="X49" s="764"/>
      <c r="Y49" s="764"/>
      <c r="Z49" s="764"/>
      <c r="AA49" s="764"/>
      <c r="AB49" s="764"/>
      <c r="AC49" s="764"/>
      <c r="AD49" s="764"/>
      <c r="AE49" s="764"/>
      <c r="AF49" s="764"/>
      <c r="AG49" s="764"/>
      <c r="AH49" s="764"/>
      <c r="AI49" s="764"/>
      <c r="AJ49" s="764"/>
      <c r="AK49" s="764"/>
      <c r="AL49" s="764"/>
      <c r="AM49" s="764"/>
      <c r="AN49" s="764"/>
      <c r="AO49" s="764"/>
      <c r="AP49" s="764"/>
      <c r="AQ49" s="764"/>
      <c r="AR49" s="764"/>
      <c r="AS49" s="764"/>
      <c r="AT49" s="764"/>
      <c r="AU49" s="764"/>
      <c r="AV49" s="764"/>
      <c r="AW49" s="764"/>
      <c r="AX49" s="764"/>
      <c r="AY49" s="764"/>
      <c r="AZ49" s="764"/>
      <c r="BA49" s="764"/>
      <c r="BB49" s="764"/>
      <c r="BC49" s="764"/>
      <c r="BD49" s="764"/>
      <c r="BE49" s="764"/>
      <c r="BF49" s="764"/>
      <c r="BG49" s="764"/>
      <c r="BH49" s="764"/>
      <c r="BI49" s="764"/>
      <c r="BJ49" s="764"/>
      <c r="BK49" s="764"/>
      <c r="BL49" s="764"/>
      <c r="BM49" s="764"/>
      <c r="BN49" s="764"/>
      <c r="BO49" s="764"/>
      <c r="BP49" s="764"/>
      <c r="BQ49" s="764"/>
      <c r="BR49" s="764"/>
      <c r="BS49" s="779">
        <f t="shared" si="26"/>
        <v>700000000</v>
      </c>
      <c r="BT49" s="779">
        <v>699225102</v>
      </c>
      <c r="BU49" s="779">
        <v>665935670</v>
      </c>
      <c r="BV49" s="779">
        <v>561359246</v>
      </c>
      <c r="BW49" s="764"/>
      <c r="BX49" s="764"/>
      <c r="BY49" s="764"/>
      <c r="BZ49" s="764"/>
      <c r="CA49" s="764"/>
      <c r="CB49" s="764"/>
      <c r="CC49" s="764"/>
      <c r="CD49" s="764"/>
      <c r="CE49" s="764"/>
      <c r="CF49" s="764"/>
      <c r="CG49" s="764"/>
      <c r="CH49" s="764"/>
      <c r="CI49" s="764"/>
      <c r="CJ49" s="764"/>
      <c r="CK49" s="764"/>
      <c r="CL49" s="764"/>
      <c r="CM49" s="764"/>
      <c r="CN49" s="764"/>
      <c r="CO49" s="764"/>
      <c r="CP49" s="764"/>
      <c r="CQ49" s="763">
        <f t="shared" si="23"/>
        <v>700000000</v>
      </c>
      <c r="CR49" s="763">
        <f t="shared" si="23"/>
        <v>699225102</v>
      </c>
      <c r="CS49" s="763">
        <f t="shared" si="23"/>
        <v>665935670</v>
      </c>
      <c r="CT49" s="808">
        <f t="shared" si="23"/>
        <v>561359246</v>
      </c>
      <c r="CU49" s="815"/>
      <c r="CV49" s="815"/>
      <c r="CW49" s="815"/>
      <c r="CX49" s="816"/>
      <c r="CY49" s="816"/>
      <c r="CZ49" s="816"/>
    </row>
    <row r="50" spans="1:104" s="765" customFormat="1" ht="31.5">
      <c r="A50" s="772" t="s">
        <v>569</v>
      </c>
      <c r="B50" s="759">
        <v>175000000</v>
      </c>
      <c r="C50" s="764"/>
      <c r="D50" s="764"/>
      <c r="E50" s="764"/>
      <c r="F50" s="764"/>
      <c r="G50" s="764"/>
      <c r="H50" s="764"/>
      <c r="I50" s="764"/>
      <c r="J50" s="764"/>
      <c r="K50" s="764"/>
      <c r="L50" s="764"/>
      <c r="M50" s="764"/>
      <c r="N50" s="764"/>
      <c r="O50" s="764"/>
      <c r="P50" s="764"/>
      <c r="Q50" s="764"/>
      <c r="R50" s="764"/>
      <c r="S50" s="764"/>
      <c r="T50" s="764"/>
      <c r="U50" s="764"/>
      <c r="V50" s="764"/>
      <c r="W50" s="764"/>
      <c r="X50" s="764"/>
      <c r="Y50" s="764"/>
      <c r="Z50" s="764"/>
      <c r="AA50" s="764"/>
      <c r="AB50" s="764"/>
      <c r="AC50" s="764"/>
      <c r="AD50" s="764"/>
      <c r="AE50" s="764"/>
      <c r="AF50" s="764"/>
      <c r="AG50" s="764"/>
      <c r="AH50" s="764"/>
      <c r="AI50" s="764"/>
      <c r="AJ50" s="764"/>
      <c r="AK50" s="764"/>
      <c r="AL50" s="764"/>
      <c r="AM50" s="764"/>
      <c r="AN50" s="764"/>
      <c r="AO50" s="764"/>
      <c r="AP50" s="764"/>
      <c r="AQ50" s="764"/>
      <c r="AR50" s="764"/>
      <c r="AS50" s="764"/>
      <c r="AT50" s="764"/>
      <c r="AU50" s="764"/>
      <c r="AV50" s="764"/>
      <c r="AW50" s="764"/>
      <c r="AX50" s="764"/>
      <c r="AY50" s="764"/>
      <c r="AZ50" s="764"/>
      <c r="BA50" s="764"/>
      <c r="BB50" s="764"/>
      <c r="BC50" s="764"/>
      <c r="BD50" s="764"/>
      <c r="BE50" s="764"/>
      <c r="BF50" s="764"/>
      <c r="BG50" s="764"/>
      <c r="BH50" s="764"/>
      <c r="BI50" s="764"/>
      <c r="BJ50" s="764"/>
      <c r="BK50" s="764"/>
      <c r="BL50" s="764"/>
      <c r="BM50" s="764"/>
      <c r="BN50" s="764"/>
      <c r="BO50" s="764"/>
      <c r="BP50" s="764"/>
      <c r="BQ50" s="764"/>
      <c r="BR50" s="764"/>
      <c r="BS50" s="779">
        <f t="shared" si="26"/>
        <v>175000000</v>
      </c>
      <c r="BT50" s="779">
        <v>174806563</v>
      </c>
      <c r="BU50" s="779">
        <v>113799978</v>
      </c>
      <c r="BV50" s="779">
        <v>109070242</v>
      </c>
      <c r="BW50" s="764"/>
      <c r="BX50" s="764"/>
      <c r="BY50" s="764"/>
      <c r="BZ50" s="764"/>
      <c r="CA50" s="764"/>
      <c r="CB50" s="764"/>
      <c r="CC50" s="764"/>
      <c r="CD50" s="764"/>
      <c r="CE50" s="764"/>
      <c r="CF50" s="764"/>
      <c r="CG50" s="764"/>
      <c r="CH50" s="764"/>
      <c r="CI50" s="764"/>
      <c r="CJ50" s="764"/>
      <c r="CK50" s="764"/>
      <c r="CL50" s="764"/>
      <c r="CM50" s="764"/>
      <c r="CN50" s="764"/>
      <c r="CO50" s="764"/>
      <c r="CP50" s="764"/>
      <c r="CQ50" s="763">
        <f t="shared" si="23"/>
        <v>175000000</v>
      </c>
      <c r="CR50" s="763">
        <f t="shared" si="23"/>
        <v>174806563</v>
      </c>
      <c r="CS50" s="763">
        <f t="shared" si="23"/>
        <v>113799978</v>
      </c>
      <c r="CT50" s="808">
        <f t="shared" si="23"/>
        <v>109070242</v>
      </c>
      <c r="CU50" s="815"/>
      <c r="CV50" s="815"/>
      <c r="CW50" s="815"/>
      <c r="CX50" s="816"/>
      <c r="CY50" s="816"/>
      <c r="CZ50" s="816"/>
    </row>
    <row r="51" spans="1:104" s="765" customFormat="1" ht="31.5">
      <c r="A51" s="772" t="s">
        <v>960</v>
      </c>
      <c r="B51" s="767">
        <v>310000000</v>
      </c>
      <c r="C51" s="764"/>
      <c r="D51" s="764"/>
      <c r="E51" s="764"/>
      <c r="F51" s="764"/>
      <c r="G51" s="764"/>
      <c r="H51" s="764"/>
      <c r="I51" s="764"/>
      <c r="J51" s="764"/>
      <c r="K51" s="764"/>
      <c r="L51" s="764"/>
      <c r="M51" s="764"/>
      <c r="N51" s="764"/>
      <c r="O51" s="764"/>
      <c r="P51" s="764"/>
      <c r="Q51" s="764"/>
      <c r="R51" s="764"/>
      <c r="S51" s="764"/>
      <c r="T51" s="764"/>
      <c r="U51" s="764"/>
      <c r="V51" s="764"/>
      <c r="W51" s="764"/>
      <c r="X51" s="764"/>
      <c r="Y51" s="764"/>
      <c r="Z51" s="764"/>
      <c r="AA51" s="764"/>
      <c r="AB51" s="764"/>
      <c r="AC51" s="764"/>
      <c r="AD51" s="764"/>
      <c r="AE51" s="764"/>
      <c r="AF51" s="764"/>
      <c r="AG51" s="764"/>
      <c r="AH51" s="764"/>
      <c r="AI51" s="764"/>
      <c r="AJ51" s="764"/>
      <c r="AK51" s="764"/>
      <c r="AL51" s="764"/>
      <c r="AM51" s="764"/>
      <c r="AN51" s="764"/>
      <c r="AO51" s="764"/>
      <c r="AP51" s="764"/>
      <c r="AQ51" s="764"/>
      <c r="AR51" s="764"/>
      <c r="AS51" s="764"/>
      <c r="AT51" s="764"/>
      <c r="AU51" s="764"/>
      <c r="AV51" s="764"/>
      <c r="AW51" s="764"/>
      <c r="AX51" s="764"/>
      <c r="AY51" s="764"/>
      <c r="AZ51" s="764"/>
      <c r="BA51" s="764"/>
      <c r="BB51" s="764"/>
      <c r="BC51" s="764"/>
      <c r="BD51" s="764"/>
      <c r="BE51" s="764"/>
      <c r="BF51" s="764"/>
      <c r="BG51" s="764"/>
      <c r="BH51" s="764"/>
      <c r="BI51" s="764"/>
      <c r="BJ51" s="764"/>
      <c r="BK51" s="764"/>
      <c r="BL51" s="764"/>
      <c r="BM51" s="764"/>
      <c r="BN51" s="764"/>
      <c r="BO51" s="764"/>
      <c r="BP51" s="764"/>
      <c r="BQ51" s="764"/>
      <c r="BR51" s="764"/>
      <c r="BS51" s="779">
        <v>310000000</v>
      </c>
      <c r="BT51" s="779">
        <v>309778927</v>
      </c>
      <c r="BU51" s="779">
        <v>308203832</v>
      </c>
      <c r="BV51" s="779">
        <v>294912984</v>
      </c>
      <c r="BW51" s="764"/>
      <c r="BX51" s="764"/>
      <c r="BY51" s="764"/>
      <c r="BZ51" s="764"/>
      <c r="CA51" s="764"/>
      <c r="CB51" s="764"/>
      <c r="CC51" s="764"/>
      <c r="CD51" s="764"/>
      <c r="CE51" s="764"/>
      <c r="CF51" s="764"/>
      <c r="CG51" s="764"/>
      <c r="CH51" s="764"/>
      <c r="CI51" s="764"/>
      <c r="CJ51" s="764"/>
      <c r="CK51" s="764"/>
      <c r="CL51" s="764"/>
      <c r="CM51" s="764"/>
      <c r="CN51" s="764"/>
      <c r="CO51" s="764"/>
      <c r="CP51" s="764"/>
      <c r="CQ51" s="763">
        <f t="shared" si="23"/>
        <v>310000000</v>
      </c>
      <c r="CR51" s="763">
        <f t="shared" si="23"/>
        <v>309778927</v>
      </c>
      <c r="CS51" s="763">
        <f t="shared" si="23"/>
        <v>308203832</v>
      </c>
      <c r="CT51" s="808">
        <f t="shared" si="23"/>
        <v>294912984</v>
      </c>
      <c r="CU51" s="815"/>
      <c r="CV51" s="815"/>
      <c r="CW51" s="815"/>
      <c r="CX51" s="816"/>
      <c r="CY51" s="816"/>
      <c r="CZ51" s="816"/>
    </row>
    <row r="52" spans="1:104" s="765" customFormat="1" ht="63">
      <c r="A52" s="772" t="s">
        <v>961</v>
      </c>
      <c r="B52" s="767">
        <v>15000000</v>
      </c>
      <c r="C52" s="764"/>
      <c r="D52" s="764"/>
      <c r="E52" s="764"/>
      <c r="F52" s="764"/>
      <c r="G52" s="764"/>
      <c r="H52" s="764"/>
      <c r="I52" s="764"/>
      <c r="J52" s="764"/>
      <c r="K52" s="764"/>
      <c r="L52" s="764"/>
      <c r="M52" s="764"/>
      <c r="N52" s="764"/>
      <c r="O52" s="764"/>
      <c r="P52" s="764"/>
      <c r="Q52" s="764"/>
      <c r="R52" s="764"/>
      <c r="S52" s="764"/>
      <c r="T52" s="764"/>
      <c r="U52" s="764"/>
      <c r="V52" s="764"/>
      <c r="W52" s="764"/>
      <c r="X52" s="764"/>
      <c r="Y52" s="764"/>
      <c r="Z52" s="764"/>
      <c r="AA52" s="764"/>
      <c r="AB52" s="764"/>
      <c r="AC52" s="764"/>
      <c r="AD52" s="764"/>
      <c r="AE52" s="764"/>
      <c r="AF52" s="764"/>
      <c r="AG52" s="764"/>
      <c r="AH52" s="764"/>
      <c r="AI52" s="764"/>
      <c r="AJ52" s="764"/>
      <c r="AK52" s="764"/>
      <c r="AL52" s="764"/>
      <c r="AM52" s="764"/>
      <c r="AN52" s="764"/>
      <c r="AO52" s="764"/>
      <c r="AP52" s="764"/>
      <c r="AQ52" s="764"/>
      <c r="AR52" s="764"/>
      <c r="AS52" s="764"/>
      <c r="AT52" s="764"/>
      <c r="AU52" s="764"/>
      <c r="AV52" s="764"/>
      <c r="AW52" s="764"/>
      <c r="AX52" s="764"/>
      <c r="AY52" s="764"/>
      <c r="AZ52" s="764"/>
      <c r="BA52" s="764"/>
      <c r="BB52" s="764"/>
      <c r="BC52" s="764"/>
      <c r="BD52" s="764"/>
      <c r="BE52" s="764"/>
      <c r="BF52" s="764"/>
      <c r="BG52" s="764"/>
      <c r="BH52" s="764"/>
      <c r="BI52" s="764"/>
      <c r="BJ52" s="764"/>
      <c r="BK52" s="764"/>
      <c r="BL52" s="764"/>
      <c r="BM52" s="764"/>
      <c r="BN52" s="764"/>
      <c r="BO52" s="764"/>
      <c r="BP52" s="764"/>
      <c r="BQ52" s="764"/>
      <c r="BR52" s="764"/>
      <c r="BS52" s="779">
        <v>15000000</v>
      </c>
      <c r="BT52" s="779">
        <v>14935395</v>
      </c>
      <c r="BU52" s="779">
        <v>12546021</v>
      </c>
      <c r="BV52" s="779">
        <v>7542553</v>
      </c>
      <c r="BW52" s="764"/>
      <c r="BX52" s="764"/>
      <c r="BY52" s="764"/>
      <c r="BZ52" s="764"/>
      <c r="CA52" s="764"/>
      <c r="CB52" s="764"/>
      <c r="CC52" s="764"/>
      <c r="CD52" s="764"/>
      <c r="CE52" s="764"/>
      <c r="CF52" s="764"/>
      <c r="CG52" s="764"/>
      <c r="CH52" s="764"/>
      <c r="CI52" s="764"/>
      <c r="CJ52" s="764"/>
      <c r="CK52" s="764"/>
      <c r="CL52" s="764"/>
      <c r="CM52" s="764"/>
      <c r="CN52" s="764"/>
      <c r="CO52" s="764"/>
      <c r="CP52" s="764"/>
      <c r="CQ52" s="763">
        <f t="shared" si="23"/>
        <v>15000000</v>
      </c>
      <c r="CR52" s="763">
        <f t="shared" si="23"/>
        <v>14935395</v>
      </c>
      <c r="CS52" s="763">
        <f t="shared" si="23"/>
        <v>12546021</v>
      </c>
      <c r="CT52" s="808">
        <f t="shared" si="23"/>
        <v>7542553</v>
      </c>
      <c r="CU52" s="815"/>
      <c r="CV52" s="815"/>
      <c r="CW52" s="815"/>
      <c r="CX52" s="816"/>
      <c r="CY52" s="816"/>
      <c r="CZ52" s="816"/>
    </row>
    <row r="53" spans="1:104" ht="63">
      <c r="A53" s="782" t="s">
        <v>574</v>
      </c>
      <c r="B53" s="759">
        <v>100000000</v>
      </c>
      <c r="C53" s="760"/>
      <c r="D53" s="760"/>
      <c r="E53" s="760"/>
      <c r="F53" s="760"/>
      <c r="G53" s="760"/>
      <c r="H53" s="760"/>
      <c r="I53" s="760"/>
      <c r="J53" s="760"/>
      <c r="K53" s="760"/>
      <c r="L53" s="760"/>
      <c r="M53" s="760"/>
      <c r="N53" s="760"/>
      <c r="O53" s="760"/>
      <c r="P53" s="760"/>
      <c r="Q53" s="760"/>
      <c r="R53" s="760"/>
      <c r="S53" s="760"/>
      <c r="T53" s="760"/>
      <c r="U53" s="760"/>
      <c r="V53" s="760"/>
      <c r="BS53" s="779">
        <f t="shared" si="26"/>
        <v>100000000</v>
      </c>
      <c r="BT53" s="779">
        <v>99948316</v>
      </c>
      <c r="BU53" s="779">
        <v>98385673</v>
      </c>
      <c r="BV53" s="779">
        <v>96193319</v>
      </c>
      <c r="CQ53" s="763">
        <f t="shared" si="23"/>
        <v>100000000</v>
      </c>
      <c r="CR53" s="763">
        <f t="shared" si="23"/>
        <v>99948316</v>
      </c>
      <c r="CS53" s="763">
        <f t="shared" si="23"/>
        <v>98385673</v>
      </c>
      <c r="CT53" s="808">
        <f t="shared" si="23"/>
        <v>96193319</v>
      </c>
      <c r="CU53" s="815"/>
      <c r="CV53" s="815"/>
      <c r="CW53" s="815"/>
      <c r="CX53" s="816"/>
      <c r="CY53" s="816"/>
      <c r="CZ53" s="816"/>
    </row>
    <row r="54" spans="1:104" s="765" customFormat="1" ht="31.5">
      <c r="A54" s="772" t="s">
        <v>1375</v>
      </c>
      <c r="B54" s="759">
        <v>200000000</v>
      </c>
      <c r="C54" s="764"/>
      <c r="D54" s="764"/>
      <c r="E54" s="764"/>
      <c r="F54" s="764"/>
      <c r="G54" s="764"/>
      <c r="H54" s="764"/>
      <c r="I54" s="764"/>
      <c r="J54" s="764"/>
      <c r="K54" s="764"/>
      <c r="L54" s="764"/>
      <c r="M54" s="764"/>
      <c r="N54" s="764"/>
      <c r="O54" s="764"/>
      <c r="P54" s="764"/>
      <c r="Q54" s="764"/>
      <c r="R54" s="764"/>
      <c r="S54" s="764"/>
      <c r="T54" s="764"/>
      <c r="U54" s="764"/>
      <c r="V54" s="764"/>
      <c r="W54" s="764"/>
      <c r="X54" s="764"/>
      <c r="Y54" s="764"/>
      <c r="Z54" s="764"/>
      <c r="AA54" s="764"/>
      <c r="AB54" s="764"/>
      <c r="AC54" s="764"/>
      <c r="AD54" s="764"/>
      <c r="AE54" s="764"/>
      <c r="AF54" s="764"/>
      <c r="AG54" s="764"/>
      <c r="AH54" s="764"/>
      <c r="AI54" s="764"/>
      <c r="AJ54" s="764"/>
      <c r="AK54" s="764"/>
      <c r="AL54" s="764"/>
      <c r="AM54" s="764"/>
      <c r="AN54" s="764"/>
      <c r="AO54" s="764"/>
      <c r="AP54" s="764"/>
      <c r="AQ54" s="764"/>
      <c r="AR54" s="764"/>
      <c r="AS54" s="764"/>
      <c r="AT54" s="764"/>
      <c r="AU54" s="764"/>
      <c r="AV54" s="764"/>
      <c r="AW54" s="764"/>
      <c r="AX54" s="764"/>
      <c r="AY54" s="764"/>
      <c r="AZ54" s="764"/>
      <c r="BA54" s="764"/>
      <c r="BB54" s="764"/>
      <c r="BC54" s="764"/>
      <c r="BD54" s="764"/>
      <c r="BE54" s="764"/>
      <c r="BF54" s="764"/>
      <c r="BG54" s="764"/>
      <c r="BH54" s="764"/>
      <c r="BI54" s="764"/>
      <c r="BJ54" s="764"/>
      <c r="BK54" s="764"/>
      <c r="BL54" s="764"/>
      <c r="BM54" s="764"/>
      <c r="BN54" s="764"/>
      <c r="BO54" s="764"/>
      <c r="BP54" s="764"/>
      <c r="BQ54" s="764"/>
      <c r="BR54" s="764"/>
      <c r="BS54" s="779">
        <f t="shared" si="26"/>
        <v>200000000</v>
      </c>
      <c r="BT54" s="779">
        <v>196077931</v>
      </c>
      <c r="BU54" s="779">
        <v>167648610</v>
      </c>
      <c r="BV54" s="779">
        <v>162067207</v>
      </c>
      <c r="BW54" s="764"/>
      <c r="BX54" s="764"/>
      <c r="BY54" s="764"/>
      <c r="BZ54" s="764"/>
      <c r="CA54" s="764"/>
      <c r="CB54" s="764"/>
      <c r="CC54" s="764"/>
      <c r="CD54" s="764"/>
      <c r="CE54" s="764"/>
      <c r="CF54" s="764"/>
      <c r="CG54" s="764"/>
      <c r="CH54" s="764"/>
      <c r="CI54" s="764"/>
      <c r="CJ54" s="764"/>
      <c r="CK54" s="764"/>
      <c r="CL54" s="764"/>
      <c r="CM54" s="764"/>
      <c r="CN54" s="764"/>
      <c r="CO54" s="764"/>
      <c r="CP54" s="764"/>
      <c r="CQ54" s="763">
        <f t="shared" si="23"/>
        <v>200000000</v>
      </c>
      <c r="CR54" s="763">
        <f t="shared" si="23"/>
        <v>196077931</v>
      </c>
      <c r="CS54" s="763">
        <f t="shared" si="23"/>
        <v>167648610</v>
      </c>
      <c r="CT54" s="808">
        <f t="shared" si="23"/>
        <v>162067207</v>
      </c>
      <c r="CU54" s="815"/>
      <c r="CV54" s="815"/>
      <c r="CW54" s="815"/>
      <c r="CX54" s="816"/>
      <c r="CY54" s="816"/>
      <c r="CZ54" s="816"/>
    </row>
    <row r="55" spans="1:104" ht="31.5">
      <c r="A55" s="772" t="s">
        <v>1376</v>
      </c>
      <c r="B55" s="759">
        <v>150000000</v>
      </c>
      <c r="C55" s="760"/>
      <c r="D55" s="760"/>
      <c r="E55" s="760"/>
      <c r="F55" s="760"/>
      <c r="G55" s="760"/>
      <c r="H55" s="760"/>
      <c r="I55" s="760"/>
      <c r="J55" s="760"/>
      <c r="K55" s="760"/>
      <c r="L55" s="760"/>
      <c r="M55" s="760"/>
      <c r="N55" s="760"/>
      <c r="O55" s="760"/>
      <c r="P55" s="760"/>
      <c r="Q55" s="760"/>
      <c r="R55" s="760"/>
      <c r="S55" s="760"/>
      <c r="T55" s="760"/>
      <c r="U55" s="760"/>
      <c r="V55" s="760"/>
      <c r="BS55" s="779">
        <f t="shared" si="26"/>
        <v>150000000</v>
      </c>
      <c r="BT55" s="779">
        <v>149769921</v>
      </c>
      <c r="BU55" s="779">
        <v>106044941</v>
      </c>
      <c r="BV55" s="779">
        <v>98596914</v>
      </c>
      <c r="CQ55" s="763">
        <f t="shared" si="23"/>
        <v>150000000</v>
      </c>
      <c r="CR55" s="763">
        <f t="shared" si="23"/>
        <v>149769921</v>
      </c>
      <c r="CS55" s="763">
        <f t="shared" si="23"/>
        <v>106044941</v>
      </c>
      <c r="CT55" s="808">
        <f t="shared" si="23"/>
        <v>98596914</v>
      </c>
      <c r="CU55" s="815"/>
      <c r="CV55" s="815"/>
      <c r="CW55" s="815"/>
      <c r="CX55" s="816"/>
      <c r="CY55" s="816"/>
      <c r="CZ55" s="816"/>
    </row>
    <row r="56" spans="1:104" ht="31.5">
      <c r="A56" s="772" t="s">
        <v>1377</v>
      </c>
      <c r="B56" s="759">
        <v>350000000</v>
      </c>
      <c r="C56" s="760"/>
      <c r="D56" s="760"/>
      <c r="E56" s="760"/>
      <c r="F56" s="760"/>
      <c r="G56" s="760"/>
      <c r="H56" s="760"/>
      <c r="I56" s="760"/>
      <c r="J56" s="760"/>
      <c r="K56" s="760"/>
      <c r="L56" s="760"/>
      <c r="M56" s="760"/>
      <c r="N56" s="760"/>
      <c r="O56" s="760"/>
      <c r="P56" s="760"/>
      <c r="Q56" s="760"/>
      <c r="R56" s="760"/>
      <c r="S56" s="760"/>
      <c r="T56" s="760"/>
      <c r="U56" s="760"/>
      <c r="V56" s="760"/>
      <c r="BS56" s="779">
        <f t="shared" si="26"/>
        <v>350000000</v>
      </c>
      <c r="BT56" s="779">
        <v>347997852</v>
      </c>
      <c r="BU56" s="779">
        <v>335939372</v>
      </c>
      <c r="BV56" s="779">
        <v>310435943</v>
      </c>
      <c r="CQ56" s="763">
        <f t="shared" si="23"/>
        <v>350000000</v>
      </c>
      <c r="CR56" s="763">
        <f t="shared" si="23"/>
        <v>347997852</v>
      </c>
      <c r="CS56" s="763">
        <f t="shared" si="23"/>
        <v>335939372</v>
      </c>
      <c r="CT56" s="808">
        <f t="shared" si="23"/>
        <v>310435943</v>
      </c>
      <c r="CU56" s="815"/>
      <c r="CV56" s="815"/>
      <c r="CW56" s="815"/>
      <c r="CX56" s="816"/>
      <c r="CY56" s="816"/>
      <c r="CZ56" s="816"/>
    </row>
    <row r="57" spans="1:104" ht="47.25">
      <c r="A57" s="772" t="s">
        <v>1378</v>
      </c>
      <c r="B57" s="759">
        <v>150000000</v>
      </c>
      <c r="C57" s="760"/>
      <c r="D57" s="760"/>
      <c r="E57" s="760"/>
      <c r="F57" s="760"/>
      <c r="G57" s="760"/>
      <c r="H57" s="760"/>
      <c r="I57" s="760"/>
      <c r="J57" s="760"/>
      <c r="K57" s="760"/>
      <c r="L57" s="760"/>
      <c r="M57" s="760"/>
      <c r="N57" s="760"/>
      <c r="O57" s="760"/>
      <c r="P57" s="760"/>
      <c r="Q57" s="760"/>
      <c r="R57" s="760"/>
      <c r="S57" s="760"/>
      <c r="T57" s="760"/>
      <c r="U57" s="760"/>
      <c r="V57" s="760"/>
      <c r="BS57" s="779">
        <f t="shared" si="26"/>
        <v>150000000</v>
      </c>
      <c r="BT57" s="779">
        <v>149833045</v>
      </c>
      <c r="BU57" s="779">
        <v>140063341</v>
      </c>
      <c r="BV57" s="779">
        <v>26467914</v>
      </c>
      <c r="CQ57" s="763">
        <f t="shared" si="23"/>
        <v>150000000</v>
      </c>
      <c r="CR57" s="763">
        <f t="shared" si="23"/>
        <v>149833045</v>
      </c>
      <c r="CS57" s="763">
        <f t="shared" si="23"/>
        <v>140063341</v>
      </c>
      <c r="CT57" s="808">
        <f t="shared" si="23"/>
        <v>26467914</v>
      </c>
      <c r="CU57" s="815"/>
      <c r="CV57" s="815"/>
      <c r="CW57" s="815"/>
      <c r="CX57" s="816"/>
      <c r="CY57" s="816"/>
      <c r="CZ57" s="816"/>
    </row>
    <row r="58" spans="1:104" ht="47.25">
      <c r="A58" s="772" t="s">
        <v>1379</v>
      </c>
      <c r="B58" s="759">
        <v>100000000</v>
      </c>
      <c r="C58" s="760"/>
      <c r="D58" s="760"/>
      <c r="E58" s="760"/>
      <c r="F58" s="760"/>
      <c r="G58" s="760"/>
      <c r="H58" s="760"/>
      <c r="I58" s="760"/>
      <c r="J58" s="760"/>
      <c r="K58" s="760"/>
      <c r="L58" s="760"/>
      <c r="M58" s="760"/>
      <c r="N58" s="760"/>
      <c r="O58" s="760"/>
      <c r="P58" s="760"/>
      <c r="Q58" s="760"/>
      <c r="R58" s="760"/>
      <c r="S58" s="760"/>
      <c r="T58" s="760"/>
      <c r="U58" s="760"/>
      <c r="V58" s="760"/>
      <c r="BS58" s="779">
        <f t="shared" si="26"/>
        <v>100000000</v>
      </c>
      <c r="BT58" s="779">
        <v>99948316</v>
      </c>
      <c r="BU58" s="779">
        <v>61823593</v>
      </c>
      <c r="BV58" s="779">
        <v>5659082</v>
      </c>
      <c r="CQ58" s="763">
        <f t="shared" si="23"/>
        <v>100000000</v>
      </c>
      <c r="CR58" s="763">
        <f t="shared" si="23"/>
        <v>99948316</v>
      </c>
      <c r="CS58" s="763">
        <f t="shared" si="23"/>
        <v>61823593</v>
      </c>
      <c r="CT58" s="808">
        <f t="shared" si="23"/>
        <v>5659082</v>
      </c>
      <c r="CU58" s="815"/>
      <c r="CV58" s="815"/>
      <c r="CW58" s="815"/>
      <c r="CX58" s="816"/>
      <c r="CY58" s="816"/>
      <c r="CZ58" s="816"/>
    </row>
    <row r="59" spans="1:104" s="765" customFormat="1" ht="47.25">
      <c r="A59" s="783" t="s">
        <v>1380</v>
      </c>
      <c r="B59" s="759">
        <v>120000000</v>
      </c>
      <c r="C59" s="764"/>
      <c r="D59" s="764"/>
      <c r="E59" s="764"/>
      <c r="F59" s="764"/>
      <c r="G59" s="764"/>
      <c r="H59" s="764"/>
      <c r="I59" s="764"/>
      <c r="J59" s="764"/>
      <c r="K59" s="764"/>
      <c r="L59" s="764"/>
      <c r="M59" s="764"/>
      <c r="N59" s="764"/>
      <c r="O59" s="764"/>
      <c r="P59" s="764"/>
      <c r="Q59" s="764"/>
      <c r="R59" s="764"/>
      <c r="S59" s="764"/>
      <c r="T59" s="764"/>
      <c r="U59" s="764"/>
      <c r="V59" s="764"/>
      <c r="W59" s="764"/>
      <c r="X59" s="764"/>
      <c r="Y59" s="764"/>
      <c r="Z59" s="764"/>
      <c r="AA59" s="764"/>
      <c r="AB59" s="764"/>
      <c r="AC59" s="764"/>
      <c r="AD59" s="764"/>
      <c r="AE59" s="764"/>
      <c r="AF59" s="764"/>
      <c r="AG59" s="764"/>
      <c r="AH59" s="764"/>
      <c r="AI59" s="764"/>
      <c r="AJ59" s="764"/>
      <c r="AK59" s="764"/>
      <c r="AL59" s="764"/>
      <c r="AM59" s="764"/>
      <c r="AN59" s="764"/>
      <c r="AO59" s="764"/>
      <c r="AP59" s="764"/>
      <c r="AQ59" s="764"/>
      <c r="AR59" s="764"/>
      <c r="AS59" s="764"/>
      <c r="AT59" s="764"/>
      <c r="AU59" s="764"/>
      <c r="AV59" s="764"/>
      <c r="AW59" s="764"/>
      <c r="AX59" s="764"/>
      <c r="AY59" s="764"/>
      <c r="AZ59" s="764"/>
      <c r="BA59" s="764"/>
      <c r="BB59" s="764"/>
      <c r="BC59" s="764"/>
      <c r="BD59" s="764"/>
      <c r="BE59" s="764"/>
      <c r="BF59" s="764"/>
      <c r="BG59" s="764"/>
      <c r="BH59" s="764"/>
      <c r="BI59" s="764"/>
      <c r="BJ59" s="764"/>
      <c r="BK59" s="764"/>
      <c r="BL59" s="764"/>
      <c r="BM59" s="764"/>
      <c r="BN59" s="764"/>
      <c r="BO59" s="764"/>
      <c r="BP59" s="764"/>
      <c r="BQ59" s="764"/>
      <c r="BR59" s="764"/>
      <c r="BS59" s="764"/>
      <c r="BT59" s="764"/>
      <c r="BU59" s="764"/>
      <c r="BV59" s="764"/>
      <c r="BW59" s="917">
        <v>120000000</v>
      </c>
      <c r="BX59" s="917">
        <v>119867588</v>
      </c>
      <c r="BY59" s="917">
        <v>18325235</v>
      </c>
      <c r="BZ59" s="917">
        <v>6973689</v>
      </c>
      <c r="CA59" s="764"/>
      <c r="CB59" s="764"/>
      <c r="CC59" s="764"/>
      <c r="CD59" s="764"/>
      <c r="CE59" s="764"/>
      <c r="CF59" s="764"/>
      <c r="CG59" s="764"/>
      <c r="CH59" s="764"/>
      <c r="CI59" s="764"/>
      <c r="CJ59" s="764"/>
      <c r="CK59" s="764"/>
      <c r="CL59" s="764"/>
      <c r="CM59" s="764"/>
      <c r="CN59" s="764"/>
      <c r="CO59" s="764"/>
      <c r="CP59" s="764"/>
      <c r="CQ59" s="763">
        <f t="shared" si="23"/>
        <v>120000000</v>
      </c>
      <c r="CR59" s="763">
        <f t="shared" si="23"/>
        <v>119867588</v>
      </c>
      <c r="CS59" s="763">
        <f t="shared" si="23"/>
        <v>18325235</v>
      </c>
      <c r="CT59" s="808">
        <f t="shared" si="23"/>
        <v>6973689</v>
      </c>
      <c r="CU59" s="815"/>
      <c r="CV59" s="815"/>
      <c r="CW59" s="815"/>
      <c r="CX59" s="816"/>
      <c r="CY59" s="816"/>
      <c r="CZ59" s="816"/>
    </row>
    <row r="60" spans="1:104" ht="47.25">
      <c r="A60" s="772" t="s">
        <v>583</v>
      </c>
      <c r="B60" s="759">
        <v>520000000</v>
      </c>
      <c r="C60" s="760"/>
      <c r="D60" s="760"/>
      <c r="E60" s="760"/>
      <c r="F60" s="760"/>
      <c r="G60" s="760"/>
      <c r="H60" s="760"/>
      <c r="I60" s="760"/>
      <c r="J60" s="760"/>
      <c r="K60" s="760"/>
      <c r="L60" s="760"/>
      <c r="M60" s="760"/>
      <c r="N60" s="760"/>
      <c r="O60" s="760"/>
      <c r="P60" s="760"/>
      <c r="Q60" s="760"/>
      <c r="R60" s="760"/>
      <c r="S60" s="760"/>
      <c r="T60" s="760"/>
      <c r="U60" s="760"/>
      <c r="V60" s="760"/>
      <c r="BS60" s="781">
        <f t="shared" ref="BS60:BS66" si="27">+B60</f>
        <v>520000000</v>
      </c>
      <c r="BT60" s="781">
        <v>519424295</v>
      </c>
      <c r="BU60" s="781">
        <v>305890412</v>
      </c>
      <c r="BV60" s="781">
        <v>280492388</v>
      </c>
      <c r="CQ60" s="763">
        <f t="shared" si="23"/>
        <v>520000000</v>
      </c>
      <c r="CR60" s="763">
        <f t="shared" si="23"/>
        <v>519424295</v>
      </c>
      <c r="CS60" s="763">
        <f t="shared" si="23"/>
        <v>305890412</v>
      </c>
      <c r="CT60" s="808">
        <f t="shared" si="23"/>
        <v>280492388</v>
      </c>
      <c r="CU60" s="815"/>
      <c r="CV60" s="815"/>
      <c r="CW60" s="815"/>
      <c r="CX60" s="816"/>
      <c r="CY60" s="816"/>
      <c r="CZ60" s="816"/>
    </row>
    <row r="61" spans="1:104" s="765" customFormat="1" ht="31.5">
      <c r="A61" s="784" t="s">
        <v>1381</v>
      </c>
      <c r="B61" s="759">
        <v>350000000</v>
      </c>
      <c r="C61" s="764"/>
      <c r="D61" s="764"/>
      <c r="E61" s="764"/>
      <c r="F61" s="764"/>
      <c r="G61" s="764"/>
      <c r="H61" s="764"/>
      <c r="I61" s="764"/>
      <c r="J61" s="764"/>
      <c r="K61" s="764"/>
      <c r="L61" s="764"/>
      <c r="M61" s="764"/>
      <c r="N61" s="764"/>
      <c r="O61" s="764"/>
      <c r="P61" s="764"/>
      <c r="Q61" s="764"/>
      <c r="R61" s="764"/>
      <c r="S61" s="764"/>
      <c r="T61" s="764"/>
      <c r="U61" s="764"/>
      <c r="V61" s="764"/>
      <c r="W61" s="764"/>
      <c r="X61" s="764"/>
      <c r="Y61" s="764"/>
      <c r="Z61" s="764"/>
      <c r="AA61" s="764"/>
      <c r="AB61" s="764"/>
      <c r="AC61" s="764"/>
      <c r="AD61" s="764"/>
      <c r="AE61" s="764"/>
      <c r="AF61" s="764"/>
      <c r="AG61" s="764"/>
      <c r="AH61" s="764"/>
      <c r="AI61" s="764"/>
      <c r="AJ61" s="764"/>
      <c r="AK61" s="764"/>
      <c r="AL61" s="764"/>
      <c r="AM61" s="764"/>
      <c r="AN61" s="764"/>
      <c r="AO61" s="764"/>
      <c r="AP61" s="764"/>
      <c r="AQ61" s="764"/>
      <c r="AR61" s="764"/>
      <c r="AS61" s="764"/>
      <c r="AT61" s="764"/>
      <c r="AU61" s="764"/>
      <c r="AV61" s="764"/>
      <c r="AW61" s="764"/>
      <c r="AX61" s="764"/>
      <c r="AY61" s="764"/>
      <c r="AZ61" s="764"/>
      <c r="BA61" s="764"/>
      <c r="BB61" s="764"/>
      <c r="BC61" s="764"/>
      <c r="BD61" s="764"/>
      <c r="BE61" s="764"/>
      <c r="BF61" s="764"/>
      <c r="BG61" s="764"/>
      <c r="BH61" s="764"/>
      <c r="BI61" s="764"/>
      <c r="BJ61" s="764"/>
      <c r="BK61" s="764"/>
      <c r="BL61" s="764"/>
      <c r="BM61" s="764"/>
      <c r="BN61" s="764"/>
      <c r="BO61" s="764"/>
      <c r="BP61" s="764"/>
      <c r="BQ61" s="764"/>
      <c r="BR61" s="764"/>
      <c r="BS61" s="762">
        <f t="shared" si="27"/>
        <v>350000000</v>
      </c>
      <c r="BT61" s="762">
        <v>349611977</v>
      </c>
      <c r="BU61" s="762">
        <v>339791922</v>
      </c>
      <c r="BV61" s="762">
        <v>319497941</v>
      </c>
      <c r="BW61" s="764"/>
      <c r="BX61" s="764"/>
      <c r="BY61" s="764"/>
      <c r="BZ61" s="764"/>
      <c r="CA61" s="764"/>
      <c r="CB61" s="764"/>
      <c r="CC61" s="764"/>
      <c r="CD61" s="764"/>
      <c r="CE61" s="764"/>
      <c r="CF61" s="764"/>
      <c r="CG61" s="764"/>
      <c r="CH61" s="764"/>
      <c r="CI61" s="764"/>
      <c r="CJ61" s="764"/>
      <c r="CK61" s="764"/>
      <c r="CL61" s="764"/>
      <c r="CM61" s="764"/>
      <c r="CN61" s="764"/>
      <c r="CO61" s="764"/>
      <c r="CP61" s="764"/>
      <c r="CQ61" s="763">
        <f t="shared" si="23"/>
        <v>350000000</v>
      </c>
      <c r="CR61" s="763">
        <f t="shared" si="23"/>
        <v>349611977</v>
      </c>
      <c r="CS61" s="763">
        <f t="shared" si="23"/>
        <v>339791922</v>
      </c>
      <c r="CT61" s="808">
        <f t="shared" si="23"/>
        <v>319497941</v>
      </c>
      <c r="CU61" s="815"/>
      <c r="CV61" s="815"/>
      <c r="CW61" s="815"/>
      <c r="CX61" s="816"/>
      <c r="CY61" s="816"/>
      <c r="CZ61" s="816"/>
    </row>
    <row r="62" spans="1:104" ht="47.25">
      <c r="A62" s="772" t="s">
        <v>1382</v>
      </c>
      <c r="B62" s="759">
        <v>260000000</v>
      </c>
      <c r="C62" s="760"/>
      <c r="D62" s="760"/>
      <c r="E62" s="760"/>
      <c r="F62" s="760"/>
      <c r="G62" s="760"/>
      <c r="H62" s="760"/>
      <c r="I62" s="760"/>
      <c r="J62" s="760"/>
      <c r="K62" s="760"/>
      <c r="L62" s="760"/>
      <c r="M62" s="760"/>
      <c r="N62" s="760"/>
      <c r="O62" s="760"/>
      <c r="P62" s="760"/>
      <c r="Q62" s="760"/>
      <c r="R62" s="760"/>
      <c r="S62" s="760"/>
      <c r="T62" s="760"/>
      <c r="U62" s="760"/>
      <c r="V62" s="760"/>
      <c r="BS62" s="770">
        <f t="shared" si="27"/>
        <v>260000000</v>
      </c>
      <c r="BT62" s="770">
        <v>259688348</v>
      </c>
      <c r="BU62" s="770">
        <v>256207032</v>
      </c>
      <c r="BV62" s="770">
        <v>235828983</v>
      </c>
      <c r="CQ62" s="763">
        <f t="shared" si="23"/>
        <v>260000000</v>
      </c>
      <c r="CR62" s="763">
        <f t="shared" si="23"/>
        <v>259688348</v>
      </c>
      <c r="CS62" s="763">
        <f t="shared" si="23"/>
        <v>256207032</v>
      </c>
      <c r="CT62" s="808">
        <f t="shared" si="23"/>
        <v>235828983</v>
      </c>
      <c r="CU62" s="815"/>
      <c r="CV62" s="815"/>
      <c r="CW62" s="815"/>
      <c r="CX62" s="816"/>
      <c r="CY62" s="816"/>
      <c r="CZ62" s="816"/>
    </row>
    <row r="63" spans="1:104" ht="31.5">
      <c r="A63" s="772" t="s">
        <v>1383</v>
      </c>
      <c r="B63" s="759">
        <v>400000000</v>
      </c>
      <c r="C63" s="760"/>
      <c r="D63" s="760"/>
      <c r="E63" s="760"/>
      <c r="F63" s="760"/>
      <c r="G63" s="760"/>
      <c r="H63" s="760"/>
      <c r="I63" s="760"/>
      <c r="J63" s="760"/>
      <c r="K63" s="760"/>
      <c r="L63" s="760"/>
      <c r="M63" s="760"/>
      <c r="N63" s="760"/>
      <c r="O63" s="760"/>
      <c r="P63" s="760"/>
      <c r="Q63" s="760"/>
      <c r="R63" s="760"/>
      <c r="S63" s="760"/>
      <c r="T63" s="760"/>
      <c r="U63" s="760"/>
      <c r="V63" s="760"/>
      <c r="BS63" s="770">
        <f t="shared" si="27"/>
        <v>400000000</v>
      </c>
      <c r="BT63" s="770">
        <v>399556707</v>
      </c>
      <c r="BU63" s="770">
        <v>108765679</v>
      </c>
      <c r="BV63" s="770">
        <v>82527223</v>
      </c>
      <c r="CQ63" s="763">
        <f t="shared" si="23"/>
        <v>400000000</v>
      </c>
      <c r="CR63" s="763">
        <f t="shared" si="23"/>
        <v>399556707</v>
      </c>
      <c r="CS63" s="763">
        <f t="shared" si="23"/>
        <v>108765679</v>
      </c>
      <c r="CT63" s="808">
        <f t="shared" si="23"/>
        <v>82527223</v>
      </c>
      <c r="CU63" s="815"/>
      <c r="CV63" s="815"/>
      <c r="CW63" s="815"/>
      <c r="CX63" s="816"/>
      <c r="CY63" s="816"/>
      <c r="CZ63" s="816"/>
    </row>
    <row r="64" spans="1:104" ht="94.5">
      <c r="A64" s="772" t="s">
        <v>1384</v>
      </c>
      <c r="B64" s="759">
        <v>300000000</v>
      </c>
      <c r="C64" s="760"/>
      <c r="D64" s="760"/>
      <c r="E64" s="760"/>
      <c r="F64" s="760"/>
      <c r="G64" s="760"/>
      <c r="H64" s="760"/>
      <c r="I64" s="760"/>
      <c r="J64" s="760"/>
      <c r="K64" s="760"/>
      <c r="L64" s="760"/>
      <c r="M64" s="760"/>
      <c r="N64" s="760"/>
      <c r="O64" s="760"/>
      <c r="P64" s="760"/>
      <c r="Q64" s="760"/>
      <c r="R64" s="760"/>
      <c r="S64" s="760"/>
      <c r="T64" s="760"/>
      <c r="U64" s="760"/>
      <c r="V64" s="760"/>
      <c r="BS64" s="770">
        <f t="shared" si="27"/>
        <v>300000000</v>
      </c>
      <c r="BT64" s="770">
        <v>299668395</v>
      </c>
      <c r="BU64" s="770">
        <v>262704021</v>
      </c>
      <c r="BV64" s="770">
        <v>251657185</v>
      </c>
      <c r="CQ64" s="763">
        <f t="shared" si="23"/>
        <v>300000000</v>
      </c>
      <c r="CR64" s="763">
        <f t="shared" si="23"/>
        <v>299668395</v>
      </c>
      <c r="CS64" s="763">
        <f t="shared" si="23"/>
        <v>262704021</v>
      </c>
      <c r="CT64" s="808">
        <f t="shared" si="23"/>
        <v>251657185</v>
      </c>
      <c r="CU64" s="815"/>
      <c r="CV64" s="815"/>
      <c r="CW64" s="815"/>
      <c r="CX64" s="816"/>
      <c r="CY64" s="816"/>
      <c r="CZ64" s="816"/>
    </row>
    <row r="65" spans="1:104" s="765" customFormat="1" ht="47.25">
      <c r="A65" s="784" t="s">
        <v>588</v>
      </c>
      <c r="B65" s="759">
        <v>350000000</v>
      </c>
      <c r="C65" s="764"/>
      <c r="D65" s="764"/>
      <c r="E65" s="764"/>
      <c r="F65" s="764"/>
      <c r="G65" s="764"/>
      <c r="H65" s="764"/>
      <c r="I65" s="764"/>
      <c r="J65" s="764"/>
      <c r="K65" s="764"/>
      <c r="L65" s="764"/>
      <c r="M65" s="764"/>
      <c r="N65" s="764"/>
      <c r="O65" s="764"/>
      <c r="P65" s="764"/>
      <c r="Q65" s="764"/>
      <c r="R65" s="764"/>
      <c r="S65" s="764"/>
      <c r="T65" s="764"/>
      <c r="U65" s="764"/>
      <c r="V65" s="764"/>
      <c r="W65" s="764"/>
      <c r="X65" s="764"/>
      <c r="Y65" s="764"/>
      <c r="Z65" s="764"/>
      <c r="AA65" s="764"/>
      <c r="AB65" s="764"/>
      <c r="AC65" s="764"/>
      <c r="AD65" s="764"/>
      <c r="AE65" s="764"/>
      <c r="AF65" s="764"/>
      <c r="AG65" s="764"/>
      <c r="AH65" s="764"/>
      <c r="AI65" s="764"/>
      <c r="AJ65" s="764"/>
      <c r="AK65" s="764"/>
      <c r="AL65" s="764"/>
      <c r="AM65" s="764"/>
      <c r="AN65" s="764"/>
      <c r="AO65" s="764"/>
      <c r="AP65" s="764"/>
      <c r="AQ65" s="764"/>
      <c r="AR65" s="764"/>
      <c r="AS65" s="764"/>
      <c r="AT65" s="764"/>
      <c r="AU65" s="764"/>
      <c r="AV65" s="764"/>
      <c r="AW65" s="764"/>
      <c r="AX65" s="764"/>
      <c r="AY65" s="764"/>
      <c r="AZ65" s="764"/>
      <c r="BA65" s="764"/>
      <c r="BB65" s="764"/>
      <c r="BC65" s="764"/>
      <c r="BD65" s="764"/>
      <c r="BE65" s="764"/>
      <c r="BF65" s="764"/>
      <c r="BG65" s="764"/>
      <c r="BH65" s="764"/>
      <c r="BI65" s="764"/>
      <c r="BJ65" s="764"/>
      <c r="BK65" s="764"/>
      <c r="BL65" s="764"/>
      <c r="BM65" s="764"/>
      <c r="BN65" s="764"/>
      <c r="BO65" s="764"/>
      <c r="BP65" s="764"/>
      <c r="BQ65" s="764"/>
      <c r="BR65" s="764"/>
      <c r="BS65" s="762">
        <f t="shared" si="27"/>
        <v>350000000</v>
      </c>
      <c r="BT65" s="762">
        <v>349613127</v>
      </c>
      <c r="BU65" s="762">
        <v>151871358</v>
      </c>
      <c r="BV65" s="762">
        <v>138987092</v>
      </c>
      <c r="BW65" s="764"/>
      <c r="BX65" s="764"/>
      <c r="BY65" s="764"/>
      <c r="BZ65" s="764"/>
      <c r="CA65" s="764"/>
      <c r="CB65" s="764"/>
      <c r="CC65" s="764"/>
      <c r="CD65" s="764"/>
      <c r="CE65" s="764"/>
      <c r="CF65" s="764"/>
      <c r="CG65" s="764"/>
      <c r="CH65" s="764"/>
      <c r="CI65" s="764"/>
      <c r="CJ65" s="764"/>
      <c r="CK65" s="764"/>
      <c r="CL65" s="764"/>
      <c r="CM65" s="764"/>
      <c r="CN65" s="764"/>
      <c r="CO65" s="764"/>
      <c r="CP65" s="764"/>
      <c r="CQ65" s="763">
        <f t="shared" si="23"/>
        <v>350000000</v>
      </c>
      <c r="CR65" s="763">
        <f t="shared" si="23"/>
        <v>349613127</v>
      </c>
      <c r="CS65" s="763">
        <f t="shared" si="23"/>
        <v>151871358</v>
      </c>
      <c r="CT65" s="808">
        <f t="shared" si="23"/>
        <v>138987092</v>
      </c>
      <c r="CU65" s="815"/>
      <c r="CV65" s="815"/>
      <c r="CW65" s="815"/>
      <c r="CX65" s="816"/>
      <c r="CY65" s="816"/>
      <c r="CZ65" s="816"/>
    </row>
    <row r="66" spans="1:104" ht="47.25">
      <c r="A66" s="783" t="s">
        <v>1385</v>
      </c>
      <c r="B66" s="759">
        <v>460000000</v>
      </c>
      <c r="C66" s="760"/>
      <c r="D66" s="760"/>
      <c r="E66" s="760"/>
      <c r="F66" s="760"/>
      <c r="G66" s="760"/>
      <c r="H66" s="760"/>
      <c r="I66" s="760"/>
      <c r="J66" s="760"/>
      <c r="K66" s="760"/>
      <c r="L66" s="760"/>
      <c r="M66" s="760"/>
      <c r="N66" s="760"/>
      <c r="O66" s="760"/>
      <c r="P66" s="760"/>
      <c r="Q66" s="760"/>
      <c r="R66" s="760"/>
      <c r="S66" s="760"/>
      <c r="T66" s="760"/>
      <c r="U66" s="760"/>
      <c r="V66" s="760"/>
      <c r="BS66" s="781">
        <f t="shared" si="27"/>
        <v>460000000</v>
      </c>
      <c r="BT66" s="781">
        <v>453053830</v>
      </c>
      <c r="BU66" s="781">
        <v>425232234</v>
      </c>
      <c r="BV66" s="781">
        <v>393078748</v>
      </c>
      <c r="CQ66" s="763">
        <f t="shared" si="23"/>
        <v>460000000</v>
      </c>
      <c r="CR66" s="763">
        <f t="shared" si="23"/>
        <v>453053830</v>
      </c>
      <c r="CS66" s="763">
        <f t="shared" si="23"/>
        <v>425232234</v>
      </c>
      <c r="CT66" s="808">
        <f t="shared" si="23"/>
        <v>393078748</v>
      </c>
      <c r="CU66" s="815"/>
      <c r="CV66" s="815"/>
      <c r="CW66" s="815"/>
      <c r="CX66" s="816"/>
      <c r="CY66" s="816"/>
      <c r="CZ66" s="816"/>
    </row>
    <row r="67" spans="1:104" ht="31.5">
      <c r="A67" s="772" t="s">
        <v>1386</v>
      </c>
      <c r="B67" s="759">
        <v>170000000</v>
      </c>
      <c r="C67" s="760"/>
      <c r="D67" s="760"/>
      <c r="E67" s="760"/>
      <c r="F67" s="760"/>
      <c r="G67" s="760"/>
      <c r="H67" s="760"/>
      <c r="I67" s="760"/>
      <c r="J67" s="760"/>
      <c r="K67" s="760"/>
      <c r="L67" s="760"/>
      <c r="M67" s="760"/>
      <c r="N67" s="760"/>
      <c r="O67" s="760"/>
      <c r="P67" s="760"/>
      <c r="Q67" s="760"/>
      <c r="R67" s="760"/>
      <c r="S67" s="760"/>
      <c r="T67" s="760"/>
      <c r="U67" s="760"/>
      <c r="V67" s="760"/>
      <c r="BS67" s="770">
        <f>+B67</f>
        <v>170000000</v>
      </c>
      <c r="BT67" s="770">
        <v>169812317</v>
      </c>
      <c r="BU67" s="770">
        <v>22859255</v>
      </c>
      <c r="BV67" s="770">
        <v>6371988</v>
      </c>
      <c r="CQ67" s="763">
        <f t="shared" si="23"/>
        <v>170000000</v>
      </c>
      <c r="CR67" s="763">
        <f t="shared" si="23"/>
        <v>169812317</v>
      </c>
      <c r="CS67" s="763">
        <f t="shared" si="23"/>
        <v>22859255</v>
      </c>
      <c r="CT67" s="808">
        <f t="shared" si="23"/>
        <v>6371988</v>
      </c>
      <c r="CU67" s="815"/>
      <c r="CV67" s="815"/>
      <c r="CW67" s="815"/>
      <c r="CX67" s="816"/>
      <c r="CY67" s="816"/>
      <c r="CZ67" s="816"/>
    </row>
    <row r="68" spans="1:104" ht="47.25">
      <c r="A68" s="785" t="s">
        <v>1387</v>
      </c>
      <c r="B68" s="759">
        <v>50000000</v>
      </c>
      <c r="C68" s="760"/>
      <c r="D68" s="760"/>
      <c r="E68" s="760"/>
      <c r="F68" s="760"/>
      <c r="G68" s="760"/>
      <c r="H68" s="760"/>
      <c r="I68" s="760"/>
      <c r="J68" s="760"/>
      <c r="K68" s="760"/>
      <c r="L68" s="760"/>
      <c r="M68" s="760"/>
      <c r="N68" s="760"/>
      <c r="O68" s="760"/>
      <c r="P68" s="760"/>
      <c r="Q68" s="760"/>
      <c r="R68" s="760"/>
      <c r="S68" s="760"/>
      <c r="T68" s="760"/>
      <c r="U68" s="760"/>
      <c r="V68" s="760"/>
      <c r="BS68" s="770">
        <f>+B68</f>
        <v>50000000</v>
      </c>
      <c r="BT68" s="770">
        <v>49974158</v>
      </c>
      <c r="BU68" s="770">
        <v>46022601</v>
      </c>
      <c r="BV68" s="770">
        <v>36844567.5</v>
      </c>
      <c r="CQ68" s="763">
        <f t="shared" si="23"/>
        <v>50000000</v>
      </c>
      <c r="CR68" s="763">
        <f t="shared" si="23"/>
        <v>49974158</v>
      </c>
      <c r="CS68" s="763">
        <f t="shared" si="23"/>
        <v>46022601</v>
      </c>
      <c r="CT68" s="808">
        <f t="shared" si="23"/>
        <v>36844567.5</v>
      </c>
      <c r="CU68" s="815"/>
      <c r="CV68" s="815"/>
      <c r="CW68" s="815"/>
      <c r="CX68" s="816"/>
      <c r="CY68" s="816"/>
      <c r="CZ68" s="816"/>
    </row>
    <row r="69" spans="1:104" ht="47.25">
      <c r="A69" s="785" t="s">
        <v>1388</v>
      </c>
      <c r="B69" s="759">
        <v>50000000</v>
      </c>
      <c r="C69" s="760"/>
      <c r="D69" s="760"/>
      <c r="E69" s="760"/>
      <c r="F69" s="760"/>
      <c r="G69" s="760"/>
      <c r="H69" s="760"/>
      <c r="I69" s="760"/>
      <c r="J69" s="760"/>
      <c r="K69" s="760"/>
      <c r="L69" s="760"/>
      <c r="M69" s="760"/>
      <c r="N69" s="760"/>
      <c r="O69" s="760"/>
      <c r="P69" s="760"/>
      <c r="Q69" s="760"/>
      <c r="R69" s="760"/>
      <c r="S69" s="760"/>
      <c r="T69" s="760"/>
      <c r="U69" s="760"/>
      <c r="V69" s="760"/>
      <c r="BS69" s="770">
        <f>+B69</f>
        <v>50000000</v>
      </c>
      <c r="BT69" s="770">
        <v>49974158</v>
      </c>
      <c r="BU69" s="770">
        <v>46022601</v>
      </c>
      <c r="BV69" s="770">
        <v>36844567.5</v>
      </c>
      <c r="CQ69" s="763">
        <f t="shared" ref="CQ69:CT132" si="28">+C69+G69+K69+O69+S69+W69+AA69+AE69+AI69+AM69+AQ69+AU69+AY69+BC69+BG69+BK69+BO69+BS69+BW69+CA69+CE69+CI69+CM69</f>
        <v>50000000</v>
      </c>
      <c r="CR69" s="763">
        <f t="shared" si="28"/>
        <v>49974158</v>
      </c>
      <c r="CS69" s="763">
        <f t="shared" si="28"/>
        <v>46022601</v>
      </c>
      <c r="CT69" s="808">
        <f t="shared" si="28"/>
        <v>36844567.5</v>
      </c>
      <c r="CU69" s="815"/>
      <c r="CV69" s="815"/>
      <c r="CW69" s="815"/>
      <c r="CX69" s="816"/>
      <c r="CY69" s="816"/>
      <c r="CZ69" s="816"/>
    </row>
    <row r="70" spans="1:104" s="765" customFormat="1" ht="63">
      <c r="A70" s="784" t="s">
        <v>1389</v>
      </c>
      <c r="B70" s="759">
        <v>80000000</v>
      </c>
      <c r="C70" s="764"/>
      <c r="D70" s="764"/>
      <c r="E70" s="764"/>
      <c r="F70" s="764"/>
      <c r="G70" s="764"/>
      <c r="H70" s="764"/>
      <c r="I70" s="764"/>
      <c r="J70" s="764"/>
      <c r="K70" s="764"/>
      <c r="L70" s="764"/>
      <c r="M70" s="764"/>
      <c r="N70" s="764"/>
      <c r="O70" s="764"/>
      <c r="P70" s="764"/>
      <c r="Q70" s="764"/>
      <c r="R70" s="764"/>
      <c r="S70" s="764"/>
      <c r="T70" s="764"/>
      <c r="U70" s="764"/>
      <c r="V70" s="764"/>
      <c r="W70" s="764"/>
      <c r="X70" s="764"/>
      <c r="Y70" s="764"/>
      <c r="Z70" s="764"/>
      <c r="AA70" s="764"/>
      <c r="AB70" s="764"/>
      <c r="AC70" s="764"/>
      <c r="AD70" s="764"/>
      <c r="AE70" s="764"/>
      <c r="AF70" s="764"/>
      <c r="AG70" s="764"/>
      <c r="AH70" s="764"/>
      <c r="AI70" s="764"/>
      <c r="AJ70" s="764"/>
      <c r="AK70" s="764"/>
      <c r="AL70" s="764"/>
      <c r="AM70" s="764"/>
      <c r="AN70" s="764"/>
      <c r="AO70" s="764"/>
      <c r="AP70" s="764"/>
      <c r="AQ70" s="764"/>
      <c r="AR70" s="764"/>
      <c r="AS70" s="764"/>
      <c r="AT70" s="764"/>
      <c r="AU70" s="764"/>
      <c r="AV70" s="764"/>
      <c r="AW70" s="764"/>
      <c r="AX70" s="764"/>
      <c r="AY70" s="764"/>
      <c r="AZ70" s="764"/>
      <c r="BA70" s="764"/>
      <c r="BB70" s="764"/>
      <c r="BC70" s="764"/>
      <c r="BD70" s="764"/>
      <c r="BE70" s="764"/>
      <c r="BF70" s="764"/>
      <c r="BG70" s="764"/>
      <c r="BH70" s="764"/>
      <c r="BI70" s="764"/>
      <c r="BJ70" s="764"/>
      <c r="BK70" s="764"/>
      <c r="BL70" s="764"/>
      <c r="BM70" s="764"/>
      <c r="BN70" s="764"/>
      <c r="BO70" s="764"/>
      <c r="BP70" s="764"/>
      <c r="BQ70" s="764"/>
      <c r="BR70" s="764"/>
      <c r="BS70" s="770">
        <f>+B70</f>
        <v>80000000</v>
      </c>
      <c r="BT70" s="770">
        <v>71208584</v>
      </c>
      <c r="BU70" s="770">
        <v>65623970</v>
      </c>
      <c r="BV70" s="770">
        <v>44140398</v>
      </c>
      <c r="BW70" s="764"/>
      <c r="BX70" s="764"/>
      <c r="BY70" s="764"/>
      <c r="BZ70" s="764"/>
      <c r="CA70" s="764"/>
      <c r="CB70" s="764"/>
      <c r="CC70" s="764"/>
      <c r="CD70" s="764"/>
      <c r="CE70" s="764"/>
      <c r="CF70" s="764"/>
      <c r="CG70" s="764"/>
      <c r="CH70" s="764"/>
      <c r="CI70" s="764"/>
      <c r="CJ70" s="764"/>
      <c r="CK70" s="764"/>
      <c r="CL70" s="764"/>
      <c r="CM70" s="764"/>
      <c r="CN70" s="764"/>
      <c r="CO70" s="764"/>
      <c r="CP70" s="764"/>
      <c r="CQ70" s="763">
        <f t="shared" si="28"/>
        <v>80000000</v>
      </c>
      <c r="CR70" s="763">
        <f t="shared" si="28"/>
        <v>71208584</v>
      </c>
      <c r="CS70" s="763">
        <f t="shared" si="28"/>
        <v>65623970</v>
      </c>
      <c r="CT70" s="808">
        <f t="shared" si="28"/>
        <v>44140398</v>
      </c>
      <c r="CU70" s="815"/>
      <c r="CV70" s="815"/>
      <c r="CW70" s="815"/>
      <c r="CX70" s="816"/>
      <c r="CY70" s="816"/>
      <c r="CZ70" s="816"/>
    </row>
    <row r="71" spans="1:104" ht="63">
      <c r="A71" s="772" t="s">
        <v>1390</v>
      </c>
      <c r="B71" s="759">
        <v>80000000</v>
      </c>
      <c r="C71" s="760"/>
      <c r="D71" s="760"/>
      <c r="E71" s="760"/>
      <c r="F71" s="760"/>
      <c r="G71" s="760"/>
      <c r="H71" s="760"/>
      <c r="I71" s="760"/>
      <c r="J71" s="760"/>
      <c r="K71" s="760"/>
      <c r="L71" s="760"/>
      <c r="M71" s="760"/>
      <c r="N71" s="760"/>
      <c r="O71" s="760"/>
      <c r="P71" s="760"/>
      <c r="Q71" s="760"/>
      <c r="R71" s="760"/>
      <c r="S71" s="760"/>
      <c r="T71" s="760"/>
      <c r="U71" s="760"/>
      <c r="V71" s="760"/>
      <c r="BS71" s="770">
        <v>80000000</v>
      </c>
      <c r="BT71" s="770">
        <v>79123194.159999996</v>
      </c>
      <c r="BU71" s="770">
        <v>35908271</v>
      </c>
      <c r="BV71" s="770">
        <v>22797549</v>
      </c>
      <c r="CQ71" s="763">
        <f t="shared" si="28"/>
        <v>80000000</v>
      </c>
      <c r="CR71" s="763">
        <f t="shared" si="28"/>
        <v>79123194.159999996</v>
      </c>
      <c r="CS71" s="763">
        <f t="shared" si="28"/>
        <v>35908271</v>
      </c>
      <c r="CT71" s="808">
        <f t="shared" si="28"/>
        <v>22797549</v>
      </c>
      <c r="CU71" s="815"/>
      <c r="CV71" s="815"/>
      <c r="CW71" s="815"/>
      <c r="CX71" s="816"/>
      <c r="CY71" s="816"/>
      <c r="CZ71" s="816"/>
    </row>
    <row r="72" spans="1:104" s="765" customFormat="1" ht="47.25">
      <c r="A72" s="783" t="s">
        <v>1391</v>
      </c>
      <c r="B72" s="759">
        <v>50000000</v>
      </c>
      <c r="C72" s="764"/>
      <c r="D72" s="764"/>
      <c r="E72" s="764"/>
      <c r="F72" s="764"/>
      <c r="G72" s="764"/>
      <c r="H72" s="764"/>
      <c r="I72" s="764"/>
      <c r="J72" s="764"/>
      <c r="K72" s="764"/>
      <c r="L72" s="764"/>
      <c r="M72" s="764"/>
      <c r="N72" s="764"/>
      <c r="O72" s="764"/>
      <c r="P72" s="764"/>
      <c r="Q72" s="764"/>
      <c r="R72" s="764"/>
      <c r="S72" s="764"/>
      <c r="T72" s="764"/>
      <c r="U72" s="764"/>
      <c r="V72" s="764"/>
      <c r="W72" s="764"/>
      <c r="X72" s="764"/>
      <c r="Y72" s="764"/>
      <c r="Z72" s="764"/>
      <c r="AA72" s="764"/>
      <c r="AB72" s="764"/>
      <c r="AC72" s="764"/>
      <c r="AD72" s="764"/>
      <c r="AE72" s="764"/>
      <c r="AF72" s="764"/>
      <c r="AG72" s="764"/>
      <c r="AH72" s="764"/>
      <c r="AI72" s="764"/>
      <c r="AJ72" s="764"/>
      <c r="AK72" s="764"/>
      <c r="AL72" s="764"/>
      <c r="AM72" s="764"/>
      <c r="AN72" s="764"/>
      <c r="AO72" s="764"/>
      <c r="AP72" s="764"/>
      <c r="AQ72" s="764"/>
      <c r="AR72" s="764"/>
      <c r="AS72" s="764"/>
      <c r="AT72" s="764"/>
      <c r="AU72" s="764"/>
      <c r="AV72" s="764"/>
      <c r="AW72" s="764"/>
      <c r="AX72" s="764"/>
      <c r="AY72" s="764"/>
      <c r="AZ72" s="764"/>
      <c r="BA72" s="764"/>
      <c r="BB72" s="764"/>
      <c r="BC72" s="764"/>
      <c r="BD72" s="764"/>
      <c r="BE72" s="764"/>
      <c r="BF72" s="764"/>
      <c r="BG72" s="764"/>
      <c r="BH72" s="764"/>
      <c r="BI72" s="764"/>
      <c r="BJ72" s="764"/>
      <c r="BK72" s="764"/>
      <c r="BL72" s="764"/>
      <c r="BM72" s="764"/>
      <c r="BN72" s="764"/>
      <c r="BO72" s="764"/>
      <c r="BP72" s="764"/>
      <c r="BQ72" s="764"/>
      <c r="BR72" s="764"/>
      <c r="BS72" s="779">
        <v>50000000</v>
      </c>
      <c r="BT72" s="779">
        <v>49984926</v>
      </c>
      <c r="BU72" s="779">
        <v>49449449</v>
      </c>
      <c r="BV72" s="779">
        <v>48530132</v>
      </c>
      <c r="BW72" s="764"/>
      <c r="BX72" s="764"/>
      <c r="BY72" s="764"/>
      <c r="BZ72" s="764"/>
      <c r="CA72" s="764"/>
      <c r="CB72" s="764"/>
      <c r="CC72" s="764"/>
      <c r="CD72" s="764"/>
      <c r="CE72" s="764"/>
      <c r="CF72" s="764"/>
      <c r="CG72" s="764"/>
      <c r="CH72" s="764"/>
      <c r="CI72" s="764"/>
      <c r="CJ72" s="764"/>
      <c r="CK72" s="764"/>
      <c r="CL72" s="764"/>
      <c r="CM72" s="764"/>
      <c r="CN72" s="764"/>
      <c r="CO72" s="764"/>
      <c r="CP72" s="764"/>
      <c r="CQ72" s="763">
        <f t="shared" si="28"/>
        <v>50000000</v>
      </c>
      <c r="CR72" s="763">
        <f t="shared" si="28"/>
        <v>49984926</v>
      </c>
      <c r="CS72" s="763">
        <f t="shared" si="28"/>
        <v>49449449</v>
      </c>
      <c r="CT72" s="808">
        <f t="shared" si="28"/>
        <v>48530132</v>
      </c>
      <c r="CU72" s="815"/>
      <c r="CV72" s="815"/>
      <c r="CW72" s="815"/>
      <c r="CX72" s="816"/>
      <c r="CY72" s="816"/>
      <c r="CZ72" s="816"/>
    </row>
    <row r="73" spans="1:104" ht="47.25">
      <c r="A73" s="772" t="s">
        <v>1392</v>
      </c>
      <c r="B73" s="759">
        <v>100000000</v>
      </c>
      <c r="C73" s="760"/>
      <c r="D73" s="760"/>
      <c r="E73" s="760"/>
      <c r="F73" s="760"/>
      <c r="G73" s="760"/>
      <c r="H73" s="760"/>
      <c r="I73" s="760"/>
      <c r="J73" s="760"/>
      <c r="K73" s="760"/>
      <c r="L73" s="760"/>
      <c r="M73" s="760"/>
      <c r="N73" s="760"/>
      <c r="O73" s="760"/>
      <c r="P73" s="760"/>
      <c r="Q73" s="760"/>
      <c r="R73" s="760"/>
      <c r="S73" s="760"/>
      <c r="T73" s="760"/>
      <c r="U73" s="760"/>
      <c r="V73" s="760"/>
      <c r="BS73" s="781">
        <f t="shared" ref="BS73:BS91" si="29">+B73</f>
        <v>100000000</v>
      </c>
      <c r="BT73" s="781">
        <v>99889401</v>
      </c>
      <c r="BU73" s="781">
        <v>6957167</v>
      </c>
      <c r="BV73" s="781">
        <v>3610571</v>
      </c>
      <c r="CQ73" s="763">
        <f t="shared" si="28"/>
        <v>100000000</v>
      </c>
      <c r="CR73" s="763">
        <f t="shared" si="28"/>
        <v>99889401</v>
      </c>
      <c r="CS73" s="763">
        <f t="shared" si="28"/>
        <v>6957167</v>
      </c>
      <c r="CT73" s="808">
        <f t="shared" si="28"/>
        <v>3610571</v>
      </c>
      <c r="CU73" s="815"/>
      <c r="CV73" s="815"/>
      <c r="CW73" s="815"/>
      <c r="CX73" s="816"/>
      <c r="CY73" s="816"/>
      <c r="CZ73" s="816"/>
    </row>
    <row r="74" spans="1:104" ht="63">
      <c r="A74" s="772" t="s">
        <v>1393</v>
      </c>
      <c r="B74" s="759">
        <v>150000000</v>
      </c>
      <c r="C74" s="760"/>
      <c r="D74" s="760"/>
      <c r="E74" s="760"/>
      <c r="F74" s="760"/>
      <c r="G74" s="760"/>
      <c r="H74" s="760"/>
      <c r="I74" s="760"/>
      <c r="J74" s="760"/>
      <c r="K74" s="760"/>
      <c r="L74" s="760"/>
      <c r="M74" s="760"/>
      <c r="N74" s="760"/>
      <c r="O74" s="760"/>
      <c r="P74" s="760"/>
      <c r="Q74" s="760"/>
      <c r="R74" s="760"/>
      <c r="S74" s="760"/>
      <c r="T74" s="760"/>
      <c r="U74" s="760"/>
      <c r="V74" s="760"/>
      <c r="BS74" s="779">
        <f t="shared" si="29"/>
        <v>150000000</v>
      </c>
      <c r="BT74" s="779">
        <v>149833109</v>
      </c>
      <c r="BU74" s="779">
        <v>141900353</v>
      </c>
      <c r="BV74" s="779">
        <v>136833451</v>
      </c>
      <c r="CQ74" s="763">
        <f t="shared" si="28"/>
        <v>150000000</v>
      </c>
      <c r="CR74" s="763">
        <f t="shared" si="28"/>
        <v>149833109</v>
      </c>
      <c r="CS74" s="763">
        <f t="shared" si="28"/>
        <v>141900353</v>
      </c>
      <c r="CT74" s="808">
        <f t="shared" si="28"/>
        <v>136833451</v>
      </c>
      <c r="CU74" s="815"/>
      <c r="CV74" s="815"/>
      <c r="CW74" s="815"/>
      <c r="CX74" s="816"/>
      <c r="CY74" s="816"/>
      <c r="CZ74" s="816"/>
    </row>
    <row r="75" spans="1:104" ht="47.25">
      <c r="A75" s="772" t="s">
        <v>1394</v>
      </c>
      <c r="B75" s="759">
        <v>150000000</v>
      </c>
      <c r="C75" s="760"/>
      <c r="D75" s="760"/>
      <c r="E75" s="760"/>
      <c r="F75" s="760"/>
      <c r="G75" s="760"/>
      <c r="H75" s="760"/>
      <c r="I75" s="760"/>
      <c r="J75" s="760"/>
      <c r="K75" s="760"/>
      <c r="L75" s="760"/>
      <c r="M75" s="760"/>
      <c r="N75" s="760"/>
      <c r="O75" s="760"/>
      <c r="P75" s="760"/>
      <c r="Q75" s="760"/>
      <c r="R75" s="760"/>
      <c r="S75" s="760"/>
      <c r="T75" s="760"/>
      <c r="U75" s="760"/>
      <c r="V75" s="760"/>
      <c r="BS75" s="779">
        <f t="shared" si="29"/>
        <v>150000000</v>
      </c>
      <c r="BT75" s="779">
        <v>149833045</v>
      </c>
      <c r="BU75" s="779">
        <v>39998551</v>
      </c>
      <c r="BV75" s="779">
        <v>34936488</v>
      </c>
      <c r="CQ75" s="763">
        <f t="shared" si="28"/>
        <v>150000000</v>
      </c>
      <c r="CR75" s="763">
        <f t="shared" si="28"/>
        <v>149833045</v>
      </c>
      <c r="CS75" s="763">
        <f t="shared" si="28"/>
        <v>39998551</v>
      </c>
      <c r="CT75" s="808">
        <f t="shared" si="28"/>
        <v>34936488</v>
      </c>
      <c r="CU75" s="815"/>
      <c r="CV75" s="815"/>
      <c r="CW75" s="815"/>
      <c r="CX75" s="816"/>
      <c r="CY75" s="816"/>
      <c r="CZ75" s="816"/>
    </row>
    <row r="76" spans="1:104" ht="63">
      <c r="A76" s="772" t="s">
        <v>1395</v>
      </c>
      <c r="B76" s="759">
        <v>150000000</v>
      </c>
      <c r="C76" s="760"/>
      <c r="D76" s="760"/>
      <c r="E76" s="760"/>
      <c r="F76" s="760"/>
      <c r="G76" s="760"/>
      <c r="H76" s="760"/>
      <c r="I76" s="760"/>
      <c r="J76" s="760"/>
      <c r="K76" s="760"/>
      <c r="L76" s="760"/>
      <c r="M76" s="760"/>
      <c r="N76" s="760"/>
      <c r="O76" s="760"/>
      <c r="P76" s="760"/>
      <c r="Q76" s="760"/>
      <c r="R76" s="760"/>
      <c r="S76" s="760"/>
      <c r="T76" s="760"/>
      <c r="U76" s="760"/>
      <c r="V76" s="760"/>
      <c r="BS76" s="779">
        <f t="shared" si="29"/>
        <v>150000000</v>
      </c>
      <c r="BT76" s="779">
        <v>149833045</v>
      </c>
      <c r="BU76" s="779">
        <v>141898551</v>
      </c>
      <c r="BV76" s="779">
        <v>136836488</v>
      </c>
      <c r="CQ76" s="763">
        <f t="shared" si="28"/>
        <v>150000000</v>
      </c>
      <c r="CR76" s="763">
        <f t="shared" si="28"/>
        <v>149833045</v>
      </c>
      <c r="CS76" s="763">
        <f t="shared" si="28"/>
        <v>141898551</v>
      </c>
      <c r="CT76" s="808">
        <f t="shared" si="28"/>
        <v>136836488</v>
      </c>
      <c r="CU76" s="815"/>
      <c r="CV76" s="815"/>
      <c r="CW76" s="815"/>
      <c r="CX76" s="816"/>
      <c r="CY76" s="816"/>
      <c r="CZ76" s="816"/>
    </row>
    <row r="77" spans="1:104" ht="47.25">
      <c r="A77" s="772" t="s">
        <v>1396</v>
      </c>
      <c r="B77" s="759">
        <v>150000000</v>
      </c>
      <c r="C77" s="760"/>
      <c r="D77" s="760"/>
      <c r="E77" s="760"/>
      <c r="F77" s="760"/>
      <c r="G77" s="760"/>
      <c r="H77" s="760"/>
      <c r="I77" s="760"/>
      <c r="J77" s="760"/>
      <c r="K77" s="760"/>
      <c r="L77" s="760"/>
      <c r="M77" s="760"/>
      <c r="N77" s="760"/>
      <c r="O77" s="760"/>
      <c r="P77" s="760"/>
      <c r="Q77" s="760"/>
      <c r="R77" s="760"/>
      <c r="S77" s="760"/>
      <c r="T77" s="760"/>
      <c r="U77" s="760"/>
      <c r="V77" s="760"/>
      <c r="BS77" s="779">
        <f t="shared" si="29"/>
        <v>150000000</v>
      </c>
      <c r="BT77" s="779">
        <v>149833045</v>
      </c>
      <c r="BU77" s="779">
        <v>39998551</v>
      </c>
      <c r="BV77" s="779">
        <v>34936488</v>
      </c>
      <c r="CQ77" s="763">
        <f t="shared" si="28"/>
        <v>150000000</v>
      </c>
      <c r="CR77" s="763">
        <f t="shared" si="28"/>
        <v>149833045</v>
      </c>
      <c r="CS77" s="763">
        <f t="shared" si="28"/>
        <v>39998551</v>
      </c>
      <c r="CT77" s="808">
        <f t="shared" si="28"/>
        <v>34936488</v>
      </c>
      <c r="CU77" s="815"/>
      <c r="CV77" s="815"/>
      <c r="CW77" s="815"/>
      <c r="CX77" s="816"/>
      <c r="CY77" s="816"/>
      <c r="CZ77" s="816"/>
    </row>
    <row r="78" spans="1:104" s="765" customFormat="1" ht="31.5">
      <c r="A78" s="785" t="s">
        <v>1397</v>
      </c>
      <c r="B78" s="759">
        <v>1010000000</v>
      </c>
      <c r="C78" s="764"/>
      <c r="D78" s="764"/>
      <c r="E78" s="764"/>
      <c r="F78" s="764"/>
      <c r="G78" s="764"/>
      <c r="H78" s="764"/>
      <c r="I78" s="764"/>
      <c r="J78" s="764"/>
      <c r="K78" s="764"/>
      <c r="L78" s="764"/>
      <c r="M78" s="764"/>
      <c r="N78" s="764"/>
      <c r="O78" s="764"/>
      <c r="P78" s="764"/>
      <c r="Q78" s="764"/>
      <c r="R78" s="764"/>
      <c r="S78" s="764"/>
      <c r="T78" s="764"/>
      <c r="U78" s="764"/>
      <c r="V78" s="764"/>
      <c r="W78" s="764"/>
      <c r="X78" s="764"/>
      <c r="Y78" s="764"/>
      <c r="Z78" s="764"/>
      <c r="AA78" s="764"/>
      <c r="AB78" s="764"/>
      <c r="AC78" s="764"/>
      <c r="AD78" s="764"/>
      <c r="AE78" s="764"/>
      <c r="AF78" s="764"/>
      <c r="AG78" s="764"/>
      <c r="AH78" s="764"/>
      <c r="AI78" s="764"/>
      <c r="AJ78" s="764"/>
      <c r="AK78" s="764"/>
      <c r="AL78" s="764"/>
      <c r="AM78" s="764"/>
      <c r="AN78" s="764"/>
      <c r="AO78" s="764"/>
      <c r="AP78" s="764"/>
      <c r="AQ78" s="764"/>
      <c r="AR78" s="764"/>
      <c r="AS78" s="764"/>
      <c r="AT78" s="764"/>
      <c r="AU78" s="764"/>
      <c r="AV78" s="764"/>
      <c r="AW78" s="764"/>
      <c r="AX78" s="764"/>
      <c r="AY78" s="764"/>
      <c r="AZ78" s="764"/>
      <c r="BA78" s="764"/>
      <c r="BB78" s="764"/>
      <c r="BC78" s="764"/>
      <c r="BD78" s="764"/>
      <c r="BE78" s="764"/>
      <c r="BF78" s="764"/>
      <c r="BG78" s="764"/>
      <c r="BH78" s="764"/>
      <c r="BI78" s="764"/>
      <c r="BJ78" s="764"/>
      <c r="BK78" s="764"/>
      <c r="BL78" s="764"/>
      <c r="BM78" s="764"/>
      <c r="BN78" s="764"/>
      <c r="BO78" s="764"/>
      <c r="BP78" s="764"/>
      <c r="BQ78" s="764"/>
      <c r="BR78" s="764"/>
      <c r="BS78" s="779">
        <f t="shared" si="29"/>
        <v>1010000000</v>
      </c>
      <c r="BT78" s="779">
        <v>1008941098</v>
      </c>
      <c r="BU78" s="779">
        <v>541679251</v>
      </c>
      <c r="BV78" s="779">
        <v>516056084</v>
      </c>
      <c r="BW78" s="764"/>
      <c r="BX78" s="764"/>
      <c r="BY78" s="764"/>
      <c r="BZ78" s="764"/>
      <c r="CA78" s="764"/>
      <c r="CB78" s="764"/>
      <c r="CC78" s="764"/>
      <c r="CD78" s="764"/>
      <c r="CE78" s="764"/>
      <c r="CF78" s="764"/>
      <c r="CG78" s="764"/>
      <c r="CH78" s="764"/>
      <c r="CI78" s="764"/>
      <c r="CJ78" s="764"/>
      <c r="CK78" s="764"/>
      <c r="CL78" s="764"/>
      <c r="CM78" s="764"/>
      <c r="CN78" s="764"/>
      <c r="CO78" s="764"/>
      <c r="CP78" s="764"/>
      <c r="CQ78" s="763">
        <f t="shared" si="28"/>
        <v>1010000000</v>
      </c>
      <c r="CR78" s="763">
        <f t="shared" si="28"/>
        <v>1008941098</v>
      </c>
      <c r="CS78" s="763">
        <f t="shared" si="28"/>
        <v>541679251</v>
      </c>
      <c r="CT78" s="808">
        <f t="shared" si="28"/>
        <v>516056084</v>
      </c>
      <c r="CU78" s="815"/>
      <c r="CV78" s="815"/>
      <c r="CW78" s="815"/>
      <c r="CX78" s="816"/>
      <c r="CY78" s="816"/>
      <c r="CZ78" s="816"/>
    </row>
    <row r="79" spans="1:104" ht="48" thickBot="1">
      <c r="A79" s="782" t="s">
        <v>1398</v>
      </c>
      <c r="B79" s="759">
        <v>125000000</v>
      </c>
      <c r="C79" s="760"/>
      <c r="D79" s="760"/>
      <c r="E79" s="760"/>
      <c r="F79" s="760"/>
      <c r="G79" s="760"/>
      <c r="H79" s="760"/>
      <c r="I79" s="760"/>
      <c r="J79" s="760"/>
      <c r="K79" s="760"/>
      <c r="L79" s="760"/>
      <c r="M79" s="760"/>
      <c r="N79" s="760"/>
      <c r="O79" s="760"/>
      <c r="P79" s="760"/>
      <c r="Q79" s="760"/>
      <c r="R79" s="760"/>
      <c r="S79" s="760"/>
      <c r="T79" s="760"/>
      <c r="U79" s="760"/>
      <c r="V79" s="760"/>
      <c r="BS79" s="779">
        <f t="shared" si="29"/>
        <v>125000000</v>
      </c>
      <c r="BT79" s="779">
        <v>124935396</v>
      </c>
      <c r="BU79" s="779">
        <v>122102289</v>
      </c>
      <c r="BV79" s="779">
        <v>120413666</v>
      </c>
      <c r="CQ79" s="763">
        <f t="shared" si="28"/>
        <v>125000000</v>
      </c>
      <c r="CR79" s="763">
        <f t="shared" si="28"/>
        <v>124935396</v>
      </c>
      <c r="CS79" s="763">
        <f t="shared" si="28"/>
        <v>122102289</v>
      </c>
      <c r="CT79" s="808">
        <f t="shared" si="28"/>
        <v>120413666</v>
      </c>
      <c r="CU79" s="815"/>
      <c r="CV79" s="815"/>
      <c r="CW79" s="815"/>
      <c r="CX79" s="816"/>
      <c r="CY79" s="816"/>
      <c r="CZ79" s="816"/>
    </row>
    <row r="80" spans="1:104" s="765" customFormat="1" ht="31.5">
      <c r="A80" s="778" t="s">
        <v>1399</v>
      </c>
      <c r="B80" s="759">
        <v>175000000</v>
      </c>
      <c r="C80" s="764"/>
      <c r="D80" s="764"/>
      <c r="E80" s="764"/>
      <c r="F80" s="764"/>
      <c r="G80" s="764"/>
      <c r="H80" s="764"/>
      <c r="I80" s="764"/>
      <c r="J80" s="764"/>
      <c r="K80" s="764"/>
      <c r="L80" s="764"/>
      <c r="M80" s="764"/>
      <c r="N80" s="764"/>
      <c r="O80" s="764"/>
      <c r="P80" s="764"/>
      <c r="Q80" s="764"/>
      <c r="R80" s="764"/>
      <c r="S80" s="764"/>
      <c r="T80" s="764"/>
      <c r="U80" s="764"/>
      <c r="V80" s="764"/>
      <c r="W80" s="764"/>
      <c r="X80" s="764"/>
      <c r="Y80" s="764"/>
      <c r="Z80" s="764"/>
      <c r="AA80" s="764"/>
      <c r="AB80" s="764"/>
      <c r="AC80" s="764"/>
      <c r="AD80" s="764"/>
      <c r="AE80" s="764"/>
      <c r="AF80" s="764"/>
      <c r="AG80" s="764"/>
      <c r="AH80" s="764"/>
      <c r="AI80" s="764"/>
      <c r="AJ80" s="764"/>
      <c r="AK80" s="764"/>
      <c r="AL80" s="764"/>
      <c r="AM80" s="764"/>
      <c r="AN80" s="764"/>
      <c r="AO80" s="764"/>
      <c r="AP80" s="764"/>
      <c r="AQ80" s="764"/>
      <c r="AR80" s="764"/>
      <c r="AS80" s="764"/>
      <c r="AT80" s="764"/>
      <c r="AU80" s="764"/>
      <c r="AV80" s="764"/>
      <c r="AW80" s="764"/>
      <c r="AX80" s="764"/>
      <c r="AY80" s="764"/>
      <c r="AZ80" s="764"/>
      <c r="BA80" s="764"/>
      <c r="BB80" s="764"/>
      <c r="BC80" s="764"/>
      <c r="BD80" s="764"/>
      <c r="BE80" s="764"/>
      <c r="BF80" s="764"/>
      <c r="BG80" s="764"/>
      <c r="BH80" s="764"/>
      <c r="BI80" s="764"/>
      <c r="BJ80" s="764"/>
      <c r="BK80" s="764"/>
      <c r="BL80" s="764"/>
      <c r="BM80" s="764"/>
      <c r="BN80" s="764"/>
      <c r="BO80" s="764"/>
      <c r="BP80" s="764"/>
      <c r="BQ80" s="764"/>
      <c r="BR80" s="764"/>
      <c r="BS80" s="779">
        <f t="shared" si="29"/>
        <v>175000000</v>
      </c>
      <c r="BT80" s="779">
        <v>174909553</v>
      </c>
      <c r="BU80" s="779">
        <v>162374348</v>
      </c>
      <c r="BV80" s="779">
        <v>22906145</v>
      </c>
      <c r="BW80" s="764"/>
      <c r="BX80" s="764"/>
      <c r="BY80" s="764"/>
      <c r="BZ80" s="764"/>
      <c r="CA80" s="764"/>
      <c r="CB80" s="764"/>
      <c r="CC80" s="764"/>
      <c r="CD80" s="764"/>
      <c r="CE80" s="764"/>
      <c r="CF80" s="764"/>
      <c r="CG80" s="764"/>
      <c r="CH80" s="764"/>
      <c r="CI80" s="764"/>
      <c r="CJ80" s="764"/>
      <c r="CK80" s="764"/>
      <c r="CL80" s="764"/>
      <c r="CM80" s="764"/>
      <c r="CN80" s="764"/>
      <c r="CO80" s="764"/>
      <c r="CP80" s="764"/>
      <c r="CQ80" s="763">
        <f t="shared" si="28"/>
        <v>175000000</v>
      </c>
      <c r="CR80" s="763">
        <f t="shared" si="28"/>
        <v>174909553</v>
      </c>
      <c r="CS80" s="763">
        <f t="shared" si="28"/>
        <v>162374348</v>
      </c>
      <c r="CT80" s="808">
        <f t="shared" si="28"/>
        <v>22906145</v>
      </c>
      <c r="CU80" s="815"/>
      <c r="CV80" s="815"/>
      <c r="CW80" s="815"/>
      <c r="CX80" s="816"/>
      <c r="CY80" s="816"/>
      <c r="CZ80" s="816"/>
    </row>
    <row r="81" spans="1:104" ht="47.25">
      <c r="A81" s="772" t="s">
        <v>606</v>
      </c>
      <c r="B81" s="759">
        <v>100000000</v>
      </c>
      <c r="G81" s="760"/>
      <c r="H81" s="760"/>
      <c r="I81" s="760"/>
      <c r="J81" s="760"/>
      <c r="K81" s="760"/>
      <c r="L81" s="760"/>
      <c r="M81" s="760"/>
      <c r="N81" s="760"/>
      <c r="O81" s="760"/>
      <c r="P81" s="760"/>
      <c r="Q81" s="760"/>
      <c r="R81" s="760"/>
      <c r="S81" s="760"/>
      <c r="T81" s="760"/>
      <c r="U81" s="760"/>
      <c r="V81" s="760"/>
      <c r="BS81" s="779">
        <f t="shared" si="29"/>
        <v>100000000</v>
      </c>
      <c r="BT81" s="779">
        <v>99948316</v>
      </c>
      <c r="BU81" s="779">
        <v>32949328</v>
      </c>
      <c r="BV81" s="779">
        <v>4171547</v>
      </c>
      <c r="CQ81" s="763">
        <f t="shared" si="28"/>
        <v>100000000</v>
      </c>
      <c r="CR81" s="763">
        <f t="shared" si="28"/>
        <v>99948316</v>
      </c>
      <c r="CS81" s="763">
        <f t="shared" si="28"/>
        <v>32949328</v>
      </c>
      <c r="CT81" s="808">
        <f t="shared" si="28"/>
        <v>4171547</v>
      </c>
      <c r="CU81" s="815"/>
      <c r="CV81" s="815"/>
      <c r="CW81" s="815"/>
      <c r="CX81" s="816"/>
      <c r="CY81" s="816"/>
      <c r="CZ81" s="816"/>
    </row>
    <row r="82" spans="1:104" ht="47.25">
      <c r="A82" s="772" t="s">
        <v>1400</v>
      </c>
      <c r="B82" s="759">
        <v>155000000</v>
      </c>
      <c r="G82" s="760"/>
      <c r="H82" s="760"/>
      <c r="I82" s="760"/>
      <c r="J82" s="760"/>
      <c r="K82" s="760"/>
      <c r="L82" s="760"/>
      <c r="M82" s="760"/>
      <c r="N82" s="760"/>
      <c r="O82" s="760"/>
      <c r="P82" s="760"/>
      <c r="Q82" s="760"/>
      <c r="R82" s="760"/>
      <c r="S82" s="760"/>
      <c r="T82" s="760"/>
      <c r="U82" s="760"/>
      <c r="V82" s="760"/>
      <c r="BS82" s="779">
        <f t="shared" si="29"/>
        <v>155000000</v>
      </c>
      <c r="BT82" s="779">
        <v>154828434</v>
      </c>
      <c r="BU82" s="779">
        <v>149632817</v>
      </c>
      <c r="BV82" s="779">
        <v>56904656</v>
      </c>
      <c r="CQ82" s="763">
        <f t="shared" si="28"/>
        <v>155000000</v>
      </c>
      <c r="CR82" s="763">
        <f t="shared" si="28"/>
        <v>154828434</v>
      </c>
      <c r="CS82" s="763">
        <f t="shared" si="28"/>
        <v>149632817</v>
      </c>
      <c r="CT82" s="808">
        <f t="shared" si="28"/>
        <v>56904656</v>
      </c>
      <c r="CU82" s="815"/>
      <c r="CV82" s="815"/>
      <c r="CW82" s="815"/>
      <c r="CX82" s="816"/>
      <c r="CY82" s="816"/>
      <c r="CZ82" s="816"/>
    </row>
    <row r="83" spans="1:104" s="765" customFormat="1" ht="31.5">
      <c r="A83" s="772" t="s">
        <v>608</v>
      </c>
      <c r="B83" s="759">
        <v>175000000</v>
      </c>
      <c r="C83" s="764"/>
      <c r="D83" s="764"/>
      <c r="E83" s="764"/>
      <c r="F83" s="764"/>
      <c r="G83" s="764"/>
      <c r="H83" s="764"/>
      <c r="I83" s="764"/>
      <c r="J83" s="764"/>
      <c r="K83" s="764"/>
      <c r="L83" s="764"/>
      <c r="M83" s="764"/>
      <c r="N83" s="764"/>
      <c r="O83" s="764"/>
      <c r="P83" s="764"/>
      <c r="Q83" s="764"/>
      <c r="R83" s="764"/>
      <c r="S83" s="764"/>
      <c r="T83" s="764"/>
      <c r="U83" s="764"/>
      <c r="V83" s="764"/>
      <c r="W83" s="764"/>
      <c r="X83" s="764"/>
      <c r="Y83" s="764"/>
      <c r="Z83" s="764"/>
      <c r="AA83" s="764"/>
      <c r="AB83" s="764"/>
      <c r="AC83" s="764"/>
      <c r="AD83" s="764"/>
      <c r="AE83" s="764"/>
      <c r="AF83" s="764"/>
      <c r="AG83" s="764"/>
      <c r="AH83" s="764"/>
      <c r="AI83" s="764"/>
      <c r="AJ83" s="764"/>
      <c r="AK83" s="764"/>
      <c r="AL83" s="764"/>
      <c r="AM83" s="764"/>
      <c r="AN83" s="764"/>
      <c r="AO83" s="764"/>
      <c r="AP83" s="764"/>
      <c r="AQ83" s="764"/>
      <c r="AR83" s="764"/>
      <c r="AS83" s="764"/>
      <c r="AT83" s="764"/>
      <c r="AU83" s="764"/>
      <c r="AV83" s="764"/>
      <c r="AW83" s="764"/>
      <c r="AX83" s="764"/>
      <c r="AY83" s="764"/>
      <c r="AZ83" s="764"/>
      <c r="BA83" s="764"/>
      <c r="BB83" s="764"/>
      <c r="BC83" s="764"/>
      <c r="BD83" s="764"/>
      <c r="BE83" s="764"/>
      <c r="BF83" s="764"/>
      <c r="BG83" s="764"/>
      <c r="BH83" s="764"/>
      <c r="BI83" s="764"/>
      <c r="BJ83" s="764"/>
      <c r="BK83" s="764"/>
      <c r="BL83" s="764"/>
      <c r="BM83" s="764"/>
      <c r="BN83" s="764"/>
      <c r="BO83" s="764"/>
      <c r="BP83" s="764"/>
      <c r="BQ83" s="764"/>
      <c r="BR83" s="764"/>
      <c r="BS83" s="779">
        <f t="shared" si="29"/>
        <v>175000000</v>
      </c>
      <c r="BT83" s="779">
        <v>174909553</v>
      </c>
      <c r="BU83" s="779">
        <v>138161482</v>
      </c>
      <c r="BV83" s="779">
        <v>135330363</v>
      </c>
      <c r="BW83" s="764"/>
      <c r="BX83" s="764"/>
      <c r="BY83" s="764"/>
      <c r="BZ83" s="764"/>
      <c r="CA83" s="764"/>
      <c r="CB83" s="764"/>
      <c r="CC83" s="764"/>
      <c r="CD83" s="764"/>
      <c r="CE83" s="764"/>
      <c r="CF83" s="764"/>
      <c r="CG83" s="764"/>
      <c r="CH83" s="764"/>
      <c r="CI83" s="764"/>
      <c r="CJ83" s="764"/>
      <c r="CK83" s="764"/>
      <c r="CL83" s="764"/>
      <c r="CM83" s="764"/>
      <c r="CN83" s="764"/>
      <c r="CO83" s="764"/>
      <c r="CP83" s="764"/>
      <c r="CQ83" s="763">
        <f t="shared" si="28"/>
        <v>175000000</v>
      </c>
      <c r="CR83" s="763">
        <f t="shared" si="28"/>
        <v>174909553</v>
      </c>
      <c r="CS83" s="763">
        <f t="shared" si="28"/>
        <v>138161482</v>
      </c>
      <c r="CT83" s="808">
        <f t="shared" si="28"/>
        <v>135330363</v>
      </c>
      <c r="CU83" s="815"/>
      <c r="CV83" s="815"/>
      <c r="CW83" s="815"/>
      <c r="CX83" s="816"/>
      <c r="CY83" s="816"/>
      <c r="CZ83" s="816"/>
    </row>
    <row r="84" spans="1:104" ht="47.25">
      <c r="A84" s="772" t="s">
        <v>1401</v>
      </c>
      <c r="B84" s="759">
        <v>180850000</v>
      </c>
      <c r="G84" s="760"/>
      <c r="H84" s="760"/>
      <c r="I84" s="760"/>
      <c r="J84" s="760"/>
      <c r="K84" s="760"/>
      <c r="L84" s="760"/>
      <c r="M84" s="760"/>
      <c r="N84" s="760"/>
      <c r="O84" s="760"/>
      <c r="P84" s="760"/>
      <c r="Q84" s="760"/>
      <c r="R84" s="760"/>
      <c r="S84" s="760"/>
      <c r="T84" s="760"/>
      <c r="U84" s="760"/>
      <c r="V84" s="760"/>
      <c r="BS84" s="779">
        <v>180850000</v>
      </c>
      <c r="BT84" s="779">
        <v>173506563</v>
      </c>
      <c r="BU84" s="779">
        <v>167761213</v>
      </c>
      <c r="BV84" s="779">
        <v>164685113</v>
      </c>
      <c r="CQ84" s="763">
        <f t="shared" si="28"/>
        <v>180850000</v>
      </c>
      <c r="CR84" s="763">
        <f t="shared" si="28"/>
        <v>173506563</v>
      </c>
      <c r="CS84" s="763">
        <f t="shared" si="28"/>
        <v>167761213</v>
      </c>
      <c r="CT84" s="808">
        <f t="shared" si="28"/>
        <v>164685113</v>
      </c>
      <c r="CU84" s="815"/>
      <c r="CV84" s="815"/>
      <c r="CW84" s="815"/>
      <c r="CX84" s="816"/>
      <c r="CY84" s="816"/>
      <c r="CZ84" s="816"/>
    </row>
    <row r="85" spans="1:104" s="765" customFormat="1" ht="31.5">
      <c r="A85" s="772" t="s">
        <v>610</v>
      </c>
      <c r="B85" s="759">
        <v>900000000</v>
      </c>
      <c r="C85" s="764"/>
      <c r="D85" s="764"/>
      <c r="E85" s="764"/>
      <c r="F85" s="764"/>
      <c r="G85" s="764"/>
      <c r="H85" s="764"/>
      <c r="I85" s="764"/>
      <c r="J85" s="764"/>
      <c r="K85" s="764"/>
      <c r="L85" s="764"/>
      <c r="M85" s="764"/>
      <c r="N85" s="764"/>
      <c r="O85" s="764"/>
      <c r="P85" s="764"/>
      <c r="Q85" s="764"/>
      <c r="R85" s="764"/>
      <c r="S85" s="764"/>
      <c r="T85" s="764"/>
      <c r="U85" s="764"/>
      <c r="V85" s="764"/>
      <c r="W85" s="764"/>
      <c r="X85" s="764"/>
      <c r="Y85" s="764"/>
      <c r="Z85" s="764"/>
      <c r="AA85" s="764"/>
      <c r="AB85" s="764"/>
      <c r="AC85" s="764"/>
      <c r="AD85" s="764"/>
      <c r="AE85" s="764"/>
      <c r="AF85" s="764"/>
      <c r="AG85" s="764"/>
      <c r="AH85" s="764"/>
      <c r="AI85" s="764"/>
      <c r="AJ85" s="764"/>
      <c r="AK85" s="764"/>
      <c r="AL85" s="764"/>
      <c r="AM85" s="764"/>
      <c r="AN85" s="764"/>
      <c r="AO85" s="764"/>
      <c r="AP85" s="764"/>
      <c r="AQ85" s="764"/>
      <c r="AR85" s="764"/>
      <c r="AS85" s="764"/>
      <c r="AT85" s="764"/>
      <c r="AU85" s="764"/>
      <c r="AV85" s="764"/>
      <c r="AW85" s="764"/>
      <c r="AX85" s="764"/>
      <c r="AY85" s="764"/>
      <c r="AZ85" s="764"/>
      <c r="BA85" s="764"/>
      <c r="BB85" s="764"/>
      <c r="BC85" s="764"/>
      <c r="BD85" s="764"/>
      <c r="BE85" s="764"/>
      <c r="BF85" s="764"/>
      <c r="BG85" s="764"/>
      <c r="BH85" s="764"/>
      <c r="BI85" s="764"/>
      <c r="BJ85" s="764"/>
      <c r="BK85" s="764"/>
      <c r="BL85" s="764"/>
      <c r="BM85" s="764"/>
      <c r="BN85" s="764"/>
      <c r="BO85" s="764"/>
      <c r="BP85" s="764"/>
      <c r="BQ85" s="764"/>
      <c r="BR85" s="764"/>
      <c r="BS85" s="779">
        <f t="shared" si="29"/>
        <v>900000000</v>
      </c>
      <c r="BT85" s="779">
        <v>899533769</v>
      </c>
      <c r="BU85" s="779">
        <v>861366347.01999998</v>
      </c>
      <c r="BV85" s="779">
        <v>849180110.01999998</v>
      </c>
      <c r="BW85" s="764"/>
      <c r="BX85" s="764"/>
      <c r="BY85" s="764"/>
      <c r="BZ85" s="764"/>
      <c r="CA85" s="764"/>
      <c r="CB85" s="764"/>
      <c r="CC85" s="764"/>
      <c r="CD85" s="764"/>
      <c r="CE85" s="764"/>
      <c r="CF85" s="764"/>
      <c r="CG85" s="764"/>
      <c r="CH85" s="764"/>
      <c r="CI85" s="764"/>
      <c r="CJ85" s="764"/>
      <c r="CK85" s="764"/>
      <c r="CL85" s="764"/>
      <c r="CM85" s="764"/>
      <c r="CN85" s="764"/>
      <c r="CO85" s="764"/>
      <c r="CP85" s="764"/>
      <c r="CQ85" s="763">
        <f t="shared" si="28"/>
        <v>900000000</v>
      </c>
      <c r="CR85" s="763">
        <f t="shared" si="28"/>
        <v>899533769</v>
      </c>
      <c r="CS85" s="763">
        <f t="shared" si="28"/>
        <v>861366347.01999998</v>
      </c>
      <c r="CT85" s="808">
        <f t="shared" si="28"/>
        <v>849180110.01999998</v>
      </c>
      <c r="CU85" s="815"/>
      <c r="CV85" s="815"/>
      <c r="CW85" s="815"/>
      <c r="CX85" s="816"/>
      <c r="CY85" s="816"/>
      <c r="CZ85" s="816"/>
    </row>
    <row r="86" spans="1:104" ht="31.5">
      <c r="A86" s="772" t="s">
        <v>1402</v>
      </c>
      <c r="B86" s="759">
        <v>100000000</v>
      </c>
      <c r="G86" s="760"/>
      <c r="H86" s="760"/>
      <c r="I86" s="760"/>
      <c r="J86" s="760"/>
      <c r="K86" s="760"/>
      <c r="L86" s="760"/>
      <c r="M86" s="760"/>
      <c r="N86" s="760"/>
      <c r="O86" s="760"/>
      <c r="P86" s="760"/>
      <c r="Q86" s="760"/>
      <c r="R86" s="760"/>
      <c r="S86" s="760"/>
      <c r="T86" s="760"/>
      <c r="U86" s="760"/>
      <c r="V86" s="760"/>
      <c r="BS86" s="779">
        <f t="shared" si="29"/>
        <v>100000000</v>
      </c>
      <c r="BT86" s="779">
        <v>99948316</v>
      </c>
      <c r="BU86" s="779">
        <v>97780035</v>
      </c>
      <c r="BV86" s="779">
        <v>96387617</v>
      </c>
      <c r="CQ86" s="763">
        <f t="shared" si="28"/>
        <v>100000000</v>
      </c>
      <c r="CR86" s="763">
        <f t="shared" si="28"/>
        <v>99948316</v>
      </c>
      <c r="CS86" s="763">
        <f t="shared" si="28"/>
        <v>97780035</v>
      </c>
      <c r="CT86" s="808">
        <f t="shared" si="28"/>
        <v>96387617</v>
      </c>
      <c r="CU86" s="815"/>
      <c r="CV86" s="815"/>
      <c r="CW86" s="815"/>
      <c r="CX86" s="816"/>
      <c r="CY86" s="816"/>
      <c r="CZ86" s="816"/>
    </row>
    <row r="87" spans="1:104" ht="47.25">
      <c r="A87" s="772" t="s">
        <v>1403</v>
      </c>
      <c r="B87" s="759">
        <v>344150000</v>
      </c>
      <c r="G87" s="760"/>
      <c r="H87" s="760"/>
      <c r="I87" s="760"/>
      <c r="J87" s="760"/>
      <c r="K87" s="760"/>
      <c r="L87" s="760"/>
      <c r="M87" s="760"/>
      <c r="N87" s="760"/>
      <c r="O87" s="760"/>
      <c r="P87" s="760"/>
      <c r="Q87" s="760"/>
      <c r="R87" s="760"/>
      <c r="S87" s="760"/>
      <c r="T87" s="760"/>
      <c r="U87" s="760"/>
      <c r="V87" s="760"/>
      <c r="BS87" s="779">
        <v>344150000</v>
      </c>
      <c r="BT87" s="779">
        <v>337660472</v>
      </c>
      <c r="BU87" s="779">
        <v>25853102</v>
      </c>
      <c r="BV87" s="779">
        <v>19859071</v>
      </c>
      <c r="CQ87" s="763">
        <f t="shared" si="28"/>
        <v>344150000</v>
      </c>
      <c r="CR87" s="763">
        <f t="shared" si="28"/>
        <v>337660472</v>
      </c>
      <c r="CS87" s="763">
        <f t="shared" si="28"/>
        <v>25853102</v>
      </c>
      <c r="CT87" s="808">
        <f t="shared" si="28"/>
        <v>19859071</v>
      </c>
      <c r="CU87" s="815"/>
      <c r="CV87" s="815"/>
      <c r="CW87" s="815"/>
      <c r="CX87" s="816"/>
      <c r="CY87" s="816"/>
      <c r="CZ87" s="816"/>
    </row>
    <row r="88" spans="1:104" s="765" customFormat="1" ht="31.5">
      <c r="A88" s="772" t="s">
        <v>613</v>
      </c>
      <c r="B88" s="759">
        <v>225000000</v>
      </c>
      <c r="C88" s="764"/>
      <c r="D88" s="764"/>
      <c r="E88" s="764"/>
      <c r="F88" s="764"/>
      <c r="G88" s="764"/>
      <c r="H88" s="764"/>
      <c r="I88" s="764"/>
      <c r="J88" s="764"/>
      <c r="K88" s="764"/>
      <c r="L88" s="764"/>
      <c r="M88" s="764"/>
      <c r="N88" s="764"/>
      <c r="O88" s="764"/>
      <c r="P88" s="764"/>
      <c r="Q88" s="764"/>
      <c r="R88" s="764"/>
      <c r="S88" s="764"/>
      <c r="T88" s="764"/>
      <c r="U88" s="764"/>
      <c r="V88" s="764"/>
      <c r="W88" s="764"/>
      <c r="X88" s="764"/>
      <c r="Y88" s="764"/>
      <c r="Z88" s="764"/>
      <c r="AA88" s="764"/>
      <c r="AB88" s="764"/>
      <c r="AC88" s="764"/>
      <c r="AD88" s="764"/>
      <c r="AE88" s="764"/>
      <c r="AF88" s="764"/>
      <c r="AG88" s="764"/>
      <c r="AH88" s="764"/>
      <c r="AI88" s="764"/>
      <c r="AJ88" s="764"/>
      <c r="AK88" s="764"/>
      <c r="AL88" s="764"/>
      <c r="AM88" s="764"/>
      <c r="AN88" s="764"/>
      <c r="AO88" s="764"/>
      <c r="AP88" s="764"/>
      <c r="AQ88" s="764"/>
      <c r="AR88" s="764"/>
      <c r="AS88" s="764"/>
      <c r="AT88" s="764"/>
      <c r="AU88" s="764"/>
      <c r="AV88" s="764"/>
      <c r="AW88" s="764"/>
      <c r="AX88" s="764"/>
      <c r="AY88" s="764"/>
      <c r="AZ88" s="764"/>
      <c r="BA88" s="764"/>
      <c r="BB88" s="764"/>
      <c r="BC88" s="764"/>
      <c r="BD88" s="764"/>
      <c r="BE88" s="764"/>
      <c r="BF88" s="764"/>
      <c r="BG88" s="764"/>
      <c r="BH88" s="764"/>
      <c r="BI88" s="764"/>
      <c r="BJ88" s="764"/>
      <c r="BK88" s="764"/>
      <c r="BL88" s="764"/>
      <c r="BM88" s="764"/>
      <c r="BN88" s="764"/>
      <c r="BO88" s="764"/>
      <c r="BP88" s="764"/>
      <c r="BQ88" s="764"/>
      <c r="BR88" s="764"/>
      <c r="BS88" s="779">
        <f t="shared" si="29"/>
        <v>225000000</v>
      </c>
      <c r="BT88" s="779">
        <v>218939399</v>
      </c>
      <c r="BU88" s="779">
        <v>193366300</v>
      </c>
      <c r="BV88" s="779">
        <v>160409433</v>
      </c>
      <c r="BW88" s="764"/>
      <c r="BX88" s="764"/>
      <c r="BY88" s="764"/>
      <c r="BZ88" s="764"/>
      <c r="CA88" s="764"/>
      <c r="CB88" s="764"/>
      <c r="CC88" s="764"/>
      <c r="CD88" s="764"/>
      <c r="CE88" s="764"/>
      <c r="CF88" s="764"/>
      <c r="CG88" s="764"/>
      <c r="CH88" s="764"/>
      <c r="CI88" s="764"/>
      <c r="CJ88" s="764"/>
      <c r="CK88" s="764"/>
      <c r="CL88" s="764"/>
      <c r="CM88" s="764"/>
      <c r="CN88" s="764"/>
      <c r="CO88" s="764"/>
      <c r="CP88" s="764"/>
      <c r="CQ88" s="763">
        <f t="shared" si="28"/>
        <v>225000000</v>
      </c>
      <c r="CR88" s="763">
        <f t="shared" si="28"/>
        <v>218939399</v>
      </c>
      <c r="CS88" s="763">
        <f t="shared" si="28"/>
        <v>193366300</v>
      </c>
      <c r="CT88" s="808">
        <f t="shared" si="28"/>
        <v>160409433</v>
      </c>
      <c r="CU88" s="815"/>
      <c r="CV88" s="815"/>
      <c r="CW88" s="815"/>
      <c r="CX88" s="816"/>
      <c r="CY88" s="816"/>
      <c r="CZ88" s="816"/>
    </row>
    <row r="89" spans="1:104" ht="47.25" customHeight="1">
      <c r="A89" s="772" t="s">
        <v>614</v>
      </c>
      <c r="B89" s="759">
        <v>282300000</v>
      </c>
      <c r="G89" s="760"/>
      <c r="H89" s="760"/>
      <c r="I89" s="760"/>
      <c r="J89" s="760"/>
      <c r="K89" s="760"/>
      <c r="L89" s="760"/>
      <c r="M89" s="760"/>
      <c r="N89" s="760"/>
      <c r="O89" s="760"/>
      <c r="P89" s="760"/>
      <c r="Q89" s="760"/>
      <c r="R89" s="760"/>
      <c r="S89" s="760"/>
      <c r="T89" s="760"/>
      <c r="U89" s="760"/>
      <c r="V89" s="760"/>
      <c r="BS89" s="779">
        <v>282300000</v>
      </c>
      <c r="BT89" s="779">
        <v>47743163.770000003</v>
      </c>
      <c r="BU89" s="779">
        <v>36207519.219999999</v>
      </c>
      <c r="BV89" s="779">
        <v>30265782.219999999</v>
      </c>
      <c r="CQ89" s="763">
        <f t="shared" si="28"/>
        <v>282300000</v>
      </c>
      <c r="CR89" s="763">
        <f t="shared" si="28"/>
        <v>47743163.770000003</v>
      </c>
      <c r="CS89" s="763">
        <f t="shared" si="28"/>
        <v>36207519.219999999</v>
      </c>
      <c r="CT89" s="808">
        <f t="shared" si="28"/>
        <v>30265782.219999999</v>
      </c>
      <c r="CU89" s="815"/>
      <c r="CV89" s="815"/>
      <c r="CW89" s="815"/>
      <c r="CX89" s="816"/>
      <c r="CY89" s="816"/>
      <c r="CZ89" s="816"/>
    </row>
    <row r="90" spans="1:104" s="765" customFormat="1" ht="31.5">
      <c r="A90" s="786" t="s">
        <v>615</v>
      </c>
      <c r="B90" s="759">
        <v>120000000</v>
      </c>
      <c r="C90" s="764"/>
      <c r="D90" s="764"/>
      <c r="E90" s="764"/>
      <c r="F90" s="764"/>
      <c r="G90" s="764"/>
      <c r="H90" s="764"/>
      <c r="I90" s="764"/>
      <c r="J90" s="764"/>
      <c r="K90" s="764"/>
      <c r="L90" s="764"/>
      <c r="M90" s="764"/>
      <c r="N90" s="764"/>
      <c r="O90" s="764"/>
      <c r="P90" s="764"/>
      <c r="Q90" s="764"/>
      <c r="R90" s="764"/>
      <c r="S90" s="764"/>
      <c r="T90" s="764"/>
      <c r="U90" s="764"/>
      <c r="V90" s="764"/>
      <c r="W90" s="764"/>
      <c r="X90" s="764"/>
      <c r="Y90" s="764"/>
      <c r="Z90" s="764"/>
      <c r="AA90" s="764"/>
      <c r="AB90" s="764"/>
      <c r="AC90" s="764"/>
      <c r="AD90" s="764"/>
      <c r="AE90" s="764"/>
      <c r="AF90" s="764"/>
      <c r="AG90" s="764"/>
      <c r="AH90" s="764"/>
      <c r="AI90" s="764"/>
      <c r="AJ90" s="764"/>
      <c r="AK90" s="764"/>
      <c r="AL90" s="764"/>
      <c r="AM90" s="764"/>
      <c r="AN90" s="764"/>
      <c r="AO90" s="764"/>
      <c r="AP90" s="764"/>
      <c r="AQ90" s="764"/>
      <c r="AR90" s="764"/>
      <c r="AS90" s="764"/>
      <c r="AT90" s="764"/>
      <c r="AU90" s="764"/>
      <c r="AV90" s="764"/>
      <c r="AW90" s="764"/>
      <c r="AX90" s="764"/>
      <c r="AY90" s="764"/>
      <c r="AZ90" s="764"/>
      <c r="BA90" s="764"/>
      <c r="BB90" s="764"/>
      <c r="BC90" s="764"/>
      <c r="BD90" s="764"/>
      <c r="BE90" s="764"/>
      <c r="BF90" s="764"/>
      <c r="BG90" s="764"/>
      <c r="BH90" s="764"/>
      <c r="BI90" s="764"/>
      <c r="BJ90" s="764"/>
      <c r="BK90" s="764"/>
      <c r="BL90" s="764"/>
      <c r="BM90" s="764"/>
      <c r="BN90" s="764"/>
      <c r="BO90" s="764"/>
      <c r="BP90" s="764"/>
      <c r="BQ90" s="764"/>
      <c r="BR90" s="764"/>
      <c r="BS90" s="779">
        <f t="shared" si="29"/>
        <v>120000000</v>
      </c>
      <c r="BT90" s="779">
        <v>119938087</v>
      </c>
      <c r="BU90" s="779">
        <v>109572824</v>
      </c>
      <c r="BV90" s="779">
        <v>107098012</v>
      </c>
      <c r="BW90" s="764"/>
      <c r="BX90" s="764"/>
      <c r="BY90" s="764"/>
      <c r="BZ90" s="764"/>
      <c r="CA90" s="764"/>
      <c r="CB90" s="764"/>
      <c r="CC90" s="764"/>
      <c r="CD90" s="764"/>
      <c r="CE90" s="764"/>
      <c r="CF90" s="764"/>
      <c r="CG90" s="764"/>
      <c r="CH90" s="764"/>
      <c r="CI90" s="764"/>
      <c r="CJ90" s="764"/>
      <c r="CK90" s="764"/>
      <c r="CL90" s="764"/>
      <c r="CM90" s="764"/>
      <c r="CN90" s="764"/>
      <c r="CO90" s="764"/>
      <c r="CP90" s="764"/>
      <c r="CQ90" s="763">
        <f t="shared" si="28"/>
        <v>120000000</v>
      </c>
      <c r="CR90" s="763">
        <f t="shared" si="28"/>
        <v>119938087</v>
      </c>
      <c r="CS90" s="763">
        <f t="shared" si="28"/>
        <v>109572824</v>
      </c>
      <c r="CT90" s="808">
        <f t="shared" si="28"/>
        <v>107098012</v>
      </c>
      <c r="CU90" s="815"/>
      <c r="CV90" s="815"/>
      <c r="CW90" s="815"/>
      <c r="CX90" s="816"/>
      <c r="CY90" s="816"/>
      <c r="CZ90" s="816"/>
    </row>
    <row r="91" spans="1:104" ht="31.5">
      <c r="A91" s="772" t="s">
        <v>616</v>
      </c>
      <c r="B91" s="759">
        <v>25000000</v>
      </c>
      <c r="G91" s="760"/>
      <c r="H91" s="760"/>
      <c r="I91" s="760"/>
      <c r="J91" s="760"/>
      <c r="K91" s="760"/>
      <c r="L91" s="760"/>
      <c r="M91" s="760"/>
      <c r="N91" s="760"/>
      <c r="O91" s="760"/>
      <c r="P91" s="760"/>
      <c r="Q91" s="760"/>
      <c r="R91" s="760"/>
      <c r="S91" s="760"/>
      <c r="T91" s="760"/>
      <c r="U91" s="760"/>
      <c r="V91" s="760"/>
      <c r="BS91" s="779">
        <f t="shared" si="29"/>
        <v>25000000</v>
      </c>
      <c r="BT91" s="779">
        <v>2387079</v>
      </c>
      <c r="BU91" s="779">
        <v>1720148</v>
      </c>
      <c r="BV91" s="779">
        <v>1416246.77</v>
      </c>
      <c r="CQ91" s="763">
        <f t="shared" si="28"/>
        <v>25000000</v>
      </c>
      <c r="CR91" s="763">
        <f t="shared" si="28"/>
        <v>2387079</v>
      </c>
      <c r="CS91" s="763">
        <f t="shared" si="28"/>
        <v>1720148</v>
      </c>
      <c r="CT91" s="808">
        <f t="shared" si="28"/>
        <v>1416246.77</v>
      </c>
      <c r="CU91" s="815"/>
      <c r="CV91" s="815"/>
      <c r="CW91" s="815"/>
      <c r="CX91" s="816"/>
      <c r="CY91" s="816"/>
      <c r="CZ91" s="816"/>
    </row>
    <row r="92" spans="1:104" s="765" customFormat="1" ht="47.25">
      <c r="A92" s="772" t="s">
        <v>617</v>
      </c>
      <c r="B92" s="767">
        <v>12500000</v>
      </c>
      <c r="C92" s="764"/>
      <c r="D92" s="764"/>
      <c r="E92" s="764"/>
      <c r="F92" s="764"/>
      <c r="G92" s="764"/>
      <c r="H92" s="764"/>
      <c r="I92" s="764"/>
      <c r="J92" s="764"/>
      <c r="K92" s="764"/>
      <c r="L92" s="764"/>
      <c r="M92" s="764"/>
      <c r="N92" s="764"/>
      <c r="O92" s="764"/>
      <c r="P92" s="764"/>
      <c r="Q92" s="764"/>
      <c r="R92" s="764"/>
      <c r="S92" s="764"/>
      <c r="T92" s="764"/>
      <c r="U92" s="764"/>
      <c r="V92" s="764"/>
      <c r="W92" s="764"/>
      <c r="X92" s="764"/>
      <c r="Y92" s="764"/>
      <c r="Z92" s="764"/>
      <c r="AA92" s="764"/>
      <c r="AB92" s="764"/>
      <c r="AC92" s="764"/>
      <c r="AD92" s="764"/>
      <c r="AE92" s="764"/>
      <c r="AF92" s="764"/>
      <c r="AG92" s="764"/>
      <c r="AH92" s="764"/>
      <c r="AI92" s="764"/>
      <c r="AJ92" s="764"/>
      <c r="AK92" s="764"/>
      <c r="AL92" s="764"/>
      <c r="AM92" s="764"/>
      <c r="AN92" s="764"/>
      <c r="AO92" s="764"/>
      <c r="AP92" s="764"/>
      <c r="AQ92" s="764"/>
      <c r="AR92" s="764"/>
      <c r="AS92" s="764"/>
      <c r="AT92" s="764"/>
      <c r="AU92" s="764"/>
      <c r="AV92" s="764"/>
      <c r="AW92" s="764"/>
      <c r="AX92" s="764"/>
      <c r="AY92" s="764"/>
      <c r="AZ92" s="764"/>
      <c r="BA92" s="764"/>
      <c r="BB92" s="764"/>
      <c r="BC92" s="764"/>
      <c r="BD92" s="764"/>
      <c r="BE92" s="764"/>
      <c r="BF92" s="764"/>
      <c r="BG92" s="764"/>
      <c r="BH92" s="764"/>
      <c r="BI92" s="764"/>
      <c r="BJ92" s="764"/>
      <c r="BK92" s="764"/>
      <c r="BL92" s="764"/>
      <c r="BM92" s="764"/>
      <c r="BN92" s="764"/>
      <c r="BO92" s="764"/>
      <c r="BP92" s="764"/>
      <c r="BQ92" s="764"/>
      <c r="BR92" s="764"/>
      <c r="BS92" s="779">
        <v>12500000</v>
      </c>
      <c r="BT92" s="779">
        <v>12452085</v>
      </c>
      <c r="BU92" s="779">
        <v>10295874</v>
      </c>
      <c r="BV92" s="779">
        <v>8462606</v>
      </c>
      <c r="BW92" s="764"/>
      <c r="BX92" s="764"/>
      <c r="BY92" s="764"/>
      <c r="BZ92" s="764"/>
      <c r="CA92" s="764"/>
      <c r="CB92" s="764"/>
      <c r="CC92" s="764"/>
      <c r="CD92" s="764"/>
      <c r="CE92" s="764"/>
      <c r="CF92" s="764"/>
      <c r="CG92" s="764"/>
      <c r="CH92" s="764"/>
      <c r="CI92" s="764"/>
      <c r="CJ92" s="764"/>
      <c r="CK92" s="764"/>
      <c r="CL92" s="764"/>
      <c r="CM92" s="764"/>
      <c r="CN92" s="764"/>
      <c r="CO92" s="764"/>
      <c r="CP92" s="764"/>
      <c r="CQ92" s="763">
        <f t="shared" si="28"/>
        <v>12500000</v>
      </c>
      <c r="CR92" s="763">
        <f t="shared" si="28"/>
        <v>12452085</v>
      </c>
      <c r="CS92" s="763">
        <f t="shared" si="28"/>
        <v>10295874</v>
      </c>
      <c r="CT92" s="808">
        <f t="shared" si="28"/>
        <v>8462606</v>
      </c>
      <c r="CU92" s="815"/>
      <c r="CV92" s="815"/>
      <c r="CW92" s="815"/>
      <c r="CX92" s="816"/>
      <c r="CY92" s="816"/>
      <c r="CZ92" s="816"/>
    </row>
    <row r="93" spans="1:104" ht="31.5">
      <c r="A93" s="772" t="s">
        <v>618</v>
      </c>
      <c r="B93" s="767">
        <v>395600000</v>
      </c>
      <c r="G93" s="760"/>
      <c r="H93" s="760"/>
      <c r="I93" s="760"/>
      <c r="J93" s="760"/>
      <c r="K93" s="760"/>
      <c r="L93" s="760"/>
      <c r="M93" s="760"/>
      <c r="N93" s="760"/>
      <c r="O93" s="760"/>
      <c r="P93" s="760"/>
      <c r="Q93" s="760"/>
      <c r="R93" s="760"/>
      <c r="S93" s="760"/>
      <c r="T93" s="760"/>
      <c r="U93" s="760"/>
      <c r="V93" s="760"/>
      <c r="BS93" s="779">
        <v>395600000</v>
      </c>
      <c r="BT93" s="779">
        <v>372265401</v>
      </c>
      <c r="BU93" s="779">
        <v>356128692</v>
      </c>
      <c r="BV93" s="779">
        <v>345862521</v>
      </c>
      <c r="CQ93" s="763">
        <f t="shared" si="28"/>
        <v>395600000</v>
      </c>
      <c r="CR93" s="763">
        <f t="shared" si="28"/>
        <v>372265401</v>
      </c>
      <c r="CS93" s="763">
        <f t="shared" si="28"/>
        <v>356128692</v>
      </c>
      <c r="CT93" s="808">
        <f t="shared" si="28"/>
        <v>345862521</v>
      </c>
      <c r="CU93" s="815"/>
      <c r="CV93" s="815"/>
      <c r="CW93" s="815"/>
      <c r="CX93" s="816"/>
      <c r="CY93" s="816"/>
      <c r="CZ93" s="816"/>
    </row>
    <row r="94" spans="1:104" ht="31.5">
      <c r="A94" s="772" t="s">
        <v>1404</v>
      </c>
      <c r="B94" s="759">
        <v>40000000</v>
      </c>
      <c r="G94" s="760"/>
      <c r="H94" s="760"/>
      <c r="I94" s="760"/>
      <c r="J94" s="760"/>
      <c r="K94" s="760"/>
      <c r="L94" s="760"/>
      <c r="M94" s="760"/>
      <c r="N94" s="760"/>
      <c r="O94" s="760"/>
      <c r="P94" s="760"/>
      <c r="Q94" s="760"/>
      <c r="R94" s="760"/>
      <c r="S94" s="760"/>
      <c r="T94" s="760"/>
      <c r="U94" s="760"/>
      <c r="V94" s="760"/>
      <c r="BS94" s="779">
        <f t="shared" ref="BS94:BS108" si="30">+B94</f>
        <v>40000000</v>
      </c>
      <c r="BT94" s="779">
        <v>39979542</v>
      </c>
      <c r="BU94" s="779">
        <v>38483834</v>
      </c>
      <c r="BV94" s="779">
        <v>38002748</v>
      </c>
      <c r="CQ94" s="763">
        <f t="shared" si="28"/>
        <v>40000000</v>
      </c>
      <c r="CR94" s="763">
        <f t="shared" si="28"/>
        <v>39979542</v>
      </c>
      <c r="CS94" s="763">
        <f t="shared" si="28"/>
        <v>38483834</v>
      </c>
      <c r="CT94" s="808">
        <f t="shared" si="28"/>
        <v>38002748</v>
      </c>
      <c r="CU94" s="815"/>
      <c r="CV94" s="815"/>
      <c r="CW94" s="815"/>
      <c r="CX94" s="816"/>
      <c r="CY94" s="816"/>
      <c r="CZ94" s="816"/>
    </row>
    <row r="95" spans="1:104" s="765" customFormat="1" ht="31.5">
      <c r="A95" s="772" t="s">
        <v>1405</v>
      </c>
      <c r="B95" s="759">
        <v>300000000</v>
      </c>
      <c r="C95" s="764"/>
      <c r="D95" s="764"/>
      <c r="E95" s="764"/>
      <c r="F95" s="764"/>
      <c r="G95" s="764"/>
      <c r="H95" s="764"/>
      <c r="I95" s="764"/>
      <c r="J95" s="764"/>
      <c r="K95" s="764"/>
      <c r="L95" s="764"/>
      <c r="M95" s="764"/>
      <c r="N95" s="764"/>
      <c r="O95" s="764"/>
      <c r="P95" s="764"/>
      <c r="Q95" s="764"/>
      <c r="R95" s="764"/>
      <c r="S95" s="764"/>
      <c r="T95" s="764"/>
      <c r="U95" s="764"/>
      <c r="V95" s="764"/>
      <c r="W95" s="764"/>
      <c r="X95" s="764"/>
      <c r="Y95" s="764"/>
      <c r="Z95" s="764"/>
      <c r="AA95" s="764"/>
      <c r="AB95" s="764"/>
      <c r="AC95" s="764"/>
      <c r="AD95" s="764"/>
      <c r="AE95" s="764"/>
      <c r="AF95" s="764"/>
      <c r="AG95" s="764"/>
      <c r="AH95" s="764"/>
      <c r="AI95" s="764"/>
      <c r="AJ95" s="764"/>
      <c r="AK95" s="764"/>
      <c r="AL95" s="764"/>
      <c r="AM95" s="764"/>
      <c r="AN95" s="764"/>
      <c r="AO95" s="764"/>
      <c r="AP95" s="764"/>
      <c r="AQ95" s="764"/>
      <c r="AR95" s="764"/>
      <c r="AS95" s="764"/>
      <c r="AT95" s="764"/>
      <c r="AU95" s="764"/>
      <c r="AV95" s="764"/>
      <c r="AW95" s="764"/>
      <c r="AX95" s="764"/>
      <c r="AY95" s="764"/>
      <c r="AZ95" s="764"/>
      <c r="BA95" s="764"/>
      <c r="BB95" s="764"/>
      <c r="BC95" s="764"/>
      <c r="BD95" s="764"/>
      <c r="BE95" s="764"/>
      <c r="BF95" s="764"/>
      <c r="BG95" s="764"/>
      <c r="BH95" s="764"/>
      <c r="BI95" s="764"/>
      <c r="BJ95" s="764"/>
      <c r="BK95" s="764"/>
      <c r="BL95" s="764"/>
      <c r="BM95" s="764"/>
      <c r="BN95" s="764"/>
      <c r="BO95" s="764"/>
      <c r="BP95" s="764"/>
      <c r="BQ95" s="764"/>
      <c r="BR95" s="764"/>
      <c r="BS95" s="779">
        <f t="shared" si="30"/>
        <v>300000000</v>
      </c>
      <c r="BT95" s="779">
        <v>299984495</v>
      </c>
      <c r="BU95" s="779">
        <v>55530944</v>
      </c>
      <c r="BV95" s="779">
        <v>55166263</v>
      </c>
      <c r="BW95" s="764"/>
      <c r="BX95" s="764"/>
      <c r="BY95" s="764"/>
      <c r="BZ95" s="764"/>
      <c r="CA95" s="764"/>
      <c r="CB95" s="764"/>
      <c r="CC95" s="764"/>
      <c r="CD95" s="764"/>
      <c r="CE95" s="764"/>
      <c r="CF95" s="764"/>
      <c r="CG95" s="764"/>
      <c r="CH95" s="764"/>
      <c r="CI95" s="764"/>
      <c r="CJ95" s="764"/>
      <c r="CK95" s="764"/>
      <c r="CL95" s="764"/>
      <c r="CM95" s="764"/>
      <c r="CN95" s="764"/>
      <c r="CO95" s="764"/>
      <c r="CP95" s="764"/>
      <c r="CQ95" s="763">
        <f t="shared" si="28"/>
        <v>300000000</v>
      </c>
      <c r="CR95" s="763">
        <f t="shared" si="28"/>
        <v>299984495</v>
      </c>
      <c r="CS95" s="763">
        <f t="shared" si="28"/>
        <v>55530944</v>
      </c>
      <c r="CT95" s="808">
        <f t="shared" si="28"/>
        <v>55166263</v>
      </c>
      <c r="CU95" s="815"/>
      <c r="CV95" s="815"/>
      <c r="CW95" s="815"/>
      <c r="CX95" s="816"/>
      <c r="CY95" s="816"/>
      <c r="CZ95" s="816"/>
    </row>
    <row r="96" spans="1:104" ht="31.5">
      <c r="A96" s="772" t="s">
        <v>623</v>
      </c>
      <c r="B96" s="759">
        <v>40000000</v>
      </c>
      <c r="G96" s="760"/>
      <c r="H96" s="760"/>
      <c r="I96" s="760"/>
      <c r="J96" s="760"/>
      <c r="K96" s="760"/>
      <c r="L96" s="760"/>
      <c r="M96" s="760"/>
      <c r="N96" s="760"/>
      <c r="O96" s="760"/>
      <c r="P96" s="760"/>
      <c r="Q96" s="760"/>
      <c r="R96" s="760"/>
      <c r="S96" s="760"/>
      <c r="T96" s="760"/>
      <c r="U96" s="760"/>
      <c r="V96" s="760"/>
      <c r="BS96" s="779">
        <f t="shared" si="30"/>
        <v>40000000</v>
      </c>
      <c r="BT96" s="779">
        <v>39979542</v>
      </c>
      <c r="BU96" s="779">
        <v>38483885</v>
      </c>
      <c r="BV96" s="779">
        <v>38002709</v>
      </c>
      <c r="CQ96" s="763">
        <f t="shared" si="28"/>
        <v>40000000</v>
      </c>
      <c r="CR96" s="763">
        <f t="shared" si="28"/>
        <v>39979542</v>
      </c>
      <c r="CS96" s="763">
        <f t="shared" si="28"/>
        <v>38483885</v>
      </c>
      <c r="CT96" s="808">
        <f t="shared" si="28"/>
        <v>38002709</v>
      </c>
      <c r="CU96" s="815"/>
      <c r="CV96" s="815"/>
      <c r="CW96" s="815"/>
      <c r="CX96" s="816"/>
      <c r="CY96" s="816"/>
      <c r="CZ96" s="816"/>
    </row>
    <row r="97" spans="1:104" ht="31.5">
      <c r="A97" s="783" t="s">
        <v>1406</v>
      </c>
      <c r="B97" s="787">
        <v>69747465</v>
      </c>
      <c r="G97" s="760"/>
      <c r="H97" s="760"/>
      <c r="I97" s="760"/>
      <c r="J97" s="760"/>
      <c r="K97" s="760"/>
      <c r="L97" s="760"/>
      <c r="M97" s="760"/>
      <c r="N97" s="760"/>
      <c r="O97" s="760"/>
      <c r="P97" s="760"/>
      <c r="Q97" s="760"/>
      <c r="R97" s="760"/>
      <c r="S97" s="760"/>
      <c r="T97" s="760"/>
      <c r="U97" s="760"/>
      <c r="V97" s="760"/>
      <c r="BS97" s="779">
        <f t="shared" si="30"/>
        <v>69747465</v>
      </c>
      <c r="BT97" s="779">
        <v>67032391</v>
      </c>
      <c r="BU97" s="779">
        <v>65930327</v>
      </c>
      <c r="BV97" s="779">
        <v>65575776</v>
      </c>
      <c r="CQ97" s="763">
        <f t="shared" si="28"/>
        <v>69747465</v>
      </c>
      <c r="CR97" s="763">
        <f t="shared" si="28"/>
        <v>67032391</v>
      </c>
      <c r="CS97" s="763">
        <f t="shared" si="28"/>
        <v>65930327</v>
      </c>
      <c r="CT97" s="808">
        <f t="shared" si="28"/>
        <v>65575776</v>
      </c>
      <c r="CU97" s="815"/>
      <c r="CV97" s="815"/>
      <c r="CW97" s="815"/>
      <c r="CX97" s="816"/>
      <c r="CY97" s="816"/>
      <c r="CZ97" s="816"/>
    </row>
    <row r="98" spans="1:104" ht="31.5">
      <c r="A98" s="772" t="s">
        <v>1407</v>
      </c>
      <c r="B98" s="759">
        <v>60800000</v>
      </c>
      <c r="G98" s="760"/>
      <c r="H98" s="760"/>
      <c r="I98" s="760"/>
      <c r="J98" s="760"/>
      <c r="K98" s="760"/>
      <c r="L98" s="760"/>
      <c r="M98" s="760"/>
      <c r="N98" s="760"/>
      <c r="O98" s="760"/>
      <c r="P98" s="760"/>
      <c r="Q98" s="760"/>
      <c r="R98" s="760"/>
      <c r="S98" s="760"/>
      <c r="T98" s="760"/>
      <c r="U98" s="760"/>
      <c r="V98" s="760"/>
      <c r="BS98" s="779">
        <v>60800000</v>
      </c>
      <c r="BT98" s="779">
        <v>60592560</v>
      </c>
      <c r="BU98" s="779">
        <v>57729805</v>
      </c>
      <c r="BV98" s="779">
        <v>55077107</v>
      </c>
      <c r="CQ98" s="763">
        <f t="shared" si="28"/>
        <v>60800000</v>
      </c>
      <c r="CR98" s="763">
        <f t="shared" si="28"/>
        <v>60592560</v>
      </c>
      <c r="CS98" s="763">
        <f t="shared" si="28"/>
        <v>57729805</v>
      </c>
      <c r="CT98" s="808">
        <f t="shared" si="28"/>
        <v>55077107</v>
      </c>
      <c r="CU98" s="815"/>
      <c r="CV98" s="815"/>
      <c r="CW98" s="815"/>
      <c r="CX98" s="816"/>
      <c r="CY98" s="816"/>
      <c r="CZ98" s="816"/>
    </row>
    <row r="99" spans="1:104" ht="31.5">
      <c r="A99" s="772" t="s">
        <v>1408</v>
      </c>
      <c r="B99" s="759">
        <v>56300000</v>
      </c>
      <c r="G99" s="760"/>
      <c r="H99" s="760"/>
      <c r="I99" s="760"/>
      <c r="J99" s="760"/>
      <c r="K99" s="760"/>
      <c r="L99" s="760"/>
      <c r="M99" s="760"/>
      <c r="N99" s="760"/>
      <c r="O99" s="760"/>
      <c r="P99" s="760"/>
      <c r="Q99" s="760"/>
      <c r="R99" s="760"/>
      <c r="S99" s="760"/>
      <c r="T99" s="760"/>
      <c r="U99" s="760"/>
      <c r="V99" s="760"/>
      <c r="BS99" s="779">
        <v>56300000</v>
      </c>
      <c r="BT99" s="779">
        <v>53149498</v>
      </c>
      <c r="BU99" s="779">
        <v>50628865</v>
      </c>
      <c r="BV99" s="779">
        <v>48677107</v>
      </c>
      <c r="CQ99" s="763">
        <f t="shared" si="28"/>
        <v>56300000</v>
      </c>
      <c r="CR99" s="763">
        <f t="shared" si="28"/>
        <v>53149498</v>
      </c>
      <c r="CS99" s="763">
        <f t="shared" si="28"/>
        <v>50628865</v>
      </c>
      <c r="CT99" s="808">
        <f t="shared" si="28"/>
        <v>48677107</v>
      </c>
      <c r="CU99" s="815"/>
      <c r="CV99" s="815"/>
      <c r="CW99" s="815"/>
      <c r="CX99" s="816"/>
      <c r="CY99" s="816"/>
      <c r="CZ99" s="816"/>
    </row>
    <row r="100" spans="1:104">
      <c r="A100" s="772" t="s">
        <v>1409</v>
      </c>
      <c r="B100" s="759">
        <v>40000000</v>
      </c>
      <c r="G100" s="760"/>
      <c r="H100" s="760"/>
      <c r="I100" s="760"/>
      <c r="J100" s="760"/>
      <c r="K100" s="760"/>
      <c r="L100" s="760"/>
      <c r="M100" s="760"/>
      <c r="N100" s="760"/>
      <c r="O100" s="760"/>
      <c r="P100" s="760"/>
      <c r="Q100" s="760"/>
      <c r="R100" s="760"/>
      <c r="S100" s="760"/>
      <c r="T100" s="760"/>
      <c r="U100" s="760"/>
      <c r="V100" s="760"/>
      <c r="BS100" s="779">
        <f t="shared" si="30"/>
        <v>40000000</v>
      </c>
      <c r="BT100" s="779">
        <v>39979542</v>
      </c>
      <c r="BU100" s="779">
        <v>38483885</v>
      </c>
      <c r="BV100" s="779">
        <v>38002709</v>
      </c>
      <c r="CQ100" s="763">
        <f t="shared" si="28"/>
        <v>40000000</v>
      </c>
      <c r="CR100" s="763">
        <f t="shared" si="28"/>
        <v>39979542</v>
      </c>
      <c r="CS100" s="763">
        <f t="shared" si="28"/>
        <v>38483885</v>
      </c>
      <c r="CT100" s="808">
        <f t="shared" si="28"/>
        <v>38002709</v>
      </c>
      <c r="CU100" s="815"/>
      <c r="CV100" s="815"/>
      <c r="CW100" s="815"/>
      <c r="CX100" s="816"/>
      <c r="CY100" s="816"/>
      <c r="CZ100" s="816"/>
    </row>
    <row r="101" spans="1:104" s="765" customFormat="1" ht="31.5">
      <c r="A101" s="772" t="s">
        <v>1410</v>
      </c>
      <c r="B101" s="759">
        <v>350000000</v>
      </c>
      <c r="C101" s="764"/>
      <c r="D101" s="764"/>
      <c r="E101" s="764"/>
      <c r="F101" s="764"/>
      <c r="G101" s="764"/>
      <c r="H101" s="764"/>
      <c r="I101" s="764"/>
      <c r="J101" s="764"/>
      <c r="K101" s="764"/>
      <c r="L101" s="764"/>
      <c r="M101" s="764"/>
      <c r="N101" s="764"/>
      <c r="O101" s="764"/>
      <c r="P101" s="764"/>
      <c r="Q101" s="764"/>
      <c r="R101" s="764"/>
      <c r="S101" s="764"/>
      <c r="T101" s="764"/>
      <c r="U101" s="764"/>
      <c r="V101" s="764"/>
      <c r="W101" s="764"/>
      <c r="X101" s="764"/>
      <c r="Y101" s="764"/>
      <c r="Z101" s="764"/>
      <c r="AA101" s="764"/>
      <c r="AB101" s="764"/>
      <c r="AC101" s="764"/>
      <c r="AD101" s="764"/>
      <c r="AE101" s="764"/>
      <c r="AF101" s="764"/>
      <c r="AG101" s="764"/>
      <c r="AH101" s="764"/>
      <c r="AI101" s="764"/>
      <c r="AJ101" s="764"/>
      <c r="AK101" s="764"/>
      <c r="AL101" s="764"/>
      <c r="AM101" s="764"/>
      <c r="AN101" s="764"/>
      <c r="AO101" s="764"/>
      <c r="AP101" s="764"/>
      <c r="AQ101" s="764"/>
      <c r="AR101" s="764"/>
      <c r="AS101" s="764"/>
      <c r="AT101" s="764"/>
      <c r="AU101" s="764"/>
      <c r="AV101" s="764"/>
      <c r="AW101" s="764"/>
      <c r="AX101" s="764"/>
      <c r="AY101" s="764"/>
      <c r="AZ101" s="764"/>
      <c r="BA101" s="764"/>
      <c r="BB101" s="764"/>
      <c r="BC101" s="764"/>
      <c r="BD101" s="764"/>
      <c r="BE101" s="764"/>
      <c r="BF101" s="764"/>
      <c r="BG101" s="764"/>
      <c r="BH101" s="764"/>
      <c r="BI101" s="764"/>
      <c r="BJ101" s="764"/>
      <c r="BK101" s="764"/>
      <c r="BL101" s="764"/>
      <c r="BM101" s="764"/>
      <c r="BN101" s="764"/>
      <c r="BO101" s="764"/>
      <c r="BP101" s="764"/>
      <c r="BQ101" s="764"/>
      <c r="BR101" s="764"/>
      <c r="BS101" s="779">
        <f t="shared" si="30"/>
        <v>350000000</v>
      </c>
      <c r="BT101" s="779">
        <v>349419107</v>
      </c>
      <c r="BU101" s="779">
        <v>267235627</v>
      </c>
      <c r="BV101" s="779">
        <v>184297296</v>
      </c>
      <c r="BW101" s="764"/>
      <c r="BX101" s="764"/>
      <c r="BY101" s="764"/>
      <c r="BZ101" s="764"/>
      <c r="CA101" s="764"/>
      <c r="CB101" s="764"/>
      <c r="CC101" s="764"/>
      <c r="CD101" s="764"/>
      <c r="CE101" s="764"/>
      <c r="CF101" s="764"/>
      <c r="CG101" s="764"/>
      <c r="CH101" s="764"/>
      <c r="CI101" s="764"/>
      <c r="CJ101" s="764"/>
      <c r="CK101" s="764"/>
      <c r="CL101" s="764"/>
      <c r="CM101" s="764"/>
      <c r="CN101" s="764"/>
      <c r="CO101" s="764"/>
      <c r="CP101" s="764"/>
      <c r="CQ101" s="763">
        <f t="shared" si="28"/>
        <v>350000000</v>
      </c>
      <c r="CR101" s="763">
        <f t="shared" si="28"/>
        <v>349419107</v>
      </c>
      <c r="CS101" s="763">
        <f t="shared" si="28"/>
        <v>267235627</v>
      </c>
      <c r="CT101" s="808">
        <f t="shared" si="28"/>
        <v>184297296</v>
      </c>
      <c r="CU101" s="815"/>
      <c r="CV101" s="815"/>
      <c r="CW101" s="815"/>
      <c r="CX101" s="816"/>
      <c r="CY101" s="816"/>
      <c r="CZ101" s="816"/>
    </row>
    <row r="102" spans="1:104" ht="31.5">
      <c r="A102" s="772" t="s">
        <v>1411</v>
      </c>
      <c r="B102" s="759">
        <v>600000000</v>
      </c>
      <c r="G102" s="760"/>
      <c r="H102" s="760"/>
      <c r="I102" s="760"/>
      <c r="J102" s="760"/>
      <c r="K102" s="760"/>
      <c r="L102" s="760"/>
      <c r="M102" s="760"/>
      <c r="N102" s="760"/>
      <c r="O102" s="760"/>
      <c r="P102" s="760"/>
      <c r="Q102" s="760"/>
      <c r="R102" s="760"/>
      <c r="S102" s="760"/>
      <c r="T102" s="760"/>
      <c r="U102" s="760"/>
      <c r="V102" s="760"/>
      <c r="W102" s="777"/>
      <c r="X102" s="777"/>
      <c r="Y102" s="777"/>
      <c r="Z102" s="777"/>
      <c r="AA102" s="777"/>
      <c r="AB102" s="777"/>
      <c r="AC102" s="777"/>
      <c r="AD102" s="777"/>
      <c r="BS102" s="779">
        <f t="shared" si="30"/>
        <v>600000000</v>
      </c>
      <c r="BT102" s="779">
        <v>599128503</v>
      </c>
      <c r="BU102" s="779">
        <v>592162763</v>
      </c>
      <c r="BV102" s="779">
        <v>582735116</v>
      </c>
      <c r="CQ102" s="763">
        <f t="shared" si="28"/>
        <v>600000000</v>
      </c>
      <c r="CR102" s="763">
        <f t="shared" si="28"/>
        <v>599128503</v>
      </c>
      <c r="CS102" s="763">
        <f t="shared" si="28"/>
        <v>592162763</v>
      </c>
      <c r="CT102" s="808">
        <f t="shared" si="28"/>
        <v>582735116</v>
      </c>
      <c r="CU102" s="815"/>
      <c r="CV102" s="815"/>
      <c r="CW102" s="815"/>
      <c r="CX102" s="816"/>
      <c r="CY102" s="816"/>
      <c r="CZ102" s="816"/>
    </row>
    <row r="103" spans="1:104" ht="31.5">
      <c r="A103" s="772" t="s">
        <v>1412</v>
      </c>
      <c r="B103" s="759">
        <v>600000000</v>
      </c>
      <c r="G103" s="760"/>
      <c r="H103" s="760"/>
      <c r="I103" s="760"/>
      <c r="J103" s="760"/>
      <c r="K103" s="760"/>
      <c r="L103" s="760"/>
      <c r="M103" s="760"/>
      <c r="N103" s="760"/>
      <c r="O103" s="760"/>
      <c r="P103" s="760"/>
      <c r="Q103" s="760"/>
      <c r="R103" s="760"/>
      <c r="S103" s="760"/>
      <c r="T103" s="760"/>
      <c r="U103" s="760"/>
      <c r="V103" s="760"/>
      <c r="W103" s="760"/>
      <c r="X103" s="760"/>
      <c r="Y103" s="760"/>
      <c r="Z103" s="760"/>
      <c r="AA103" s="760"/>
      <c r="AB103" s="760"/>
      <c r="AC103" s="760"/>
      <c r="AD103" s="760"/>
      <c r="BS103" s="779">
        <f t="shared" si="30"/>
        <v>600000000</v>
      </c>
      <c r="BT103" s="779">
        <v>598749760</v>
      </c>
      <c r="BU103" s="779">
        <v>582148055</v>
      </c>
      <c r="BV103" s="779">
        <v>578514161</v>
      </c>
      <c r="CQ103" s="763">
        <f t="shared" si="28"/>
        <v>600000000</v>
      </c>
      <c r="CR103" s="763">
        <f t="shared" si="28"/>
        <v>598749760</v>
      </c>
      <c r="CS103" s="763">
        <f t="shared" si="28"/>
        <v>582148055</v>
      </c>
      <c r="CT103" s="808">
        <f t="shared" si="28"/>
        <v>578514161</v>
      </c>
      <c r="CU103" s="815"/>
      <c r="CV103" s="815"/>
      <c r="CW103" s="815"/>
      <c r="CX103" s="816"/>
      <c r="CY103" s="816"/>
      <c r="CZ103" s="816"/>
    </row>
    <row r="104" spans="1:104">
      <c r="A104" s="772" t="s">
        <v>634</v>
      </c>
      <c r="B104" s="759">
        <v>60000000</v>
      </c>
      <c r="G104" s="760"/>
      <c r="H104" s="760"/>
      <c r="I104" s="760"/>
      <c r="J104" s="760"/>
      <c r="K104" s="760"/>
      <c r="L104" s="760"/>
      <c r="M104" s="760"/>
      <c r="N104" s="760"/>
      <c r="O104" s="760"/>
      <c r="P104" s="760"/>
      <c r="Q104" s="760"/>
      <c r="R104" s="760"/>
      <c r="S104" s="760"/>
      <c r="T104" s="760"/>
      <c r="U104" s="760"/>
      <c r="V104" s="760"/>
      <c r="W104" s="760"/>
      <c r="X104" s="760"/>
      <c r="Y104" s="760"/>
      <c r="Z104" s="760"/>
      <c r="AA104" s="760"/>
      <c r="AB104" s="760"/>
      <c r="AC104" s="760"/>
      <c r="AD104" s="760"/>
      <c r="BS104" s="779">
        <f t="shared" si="30"/>
        <v>60000000</v>
      </c>
      <c r="BT104" s="779">
        <v>59969313</v>
      </c>
      <c r="BU104" s="779">
        <v>58380176</v>
      </c>
      <c r="BV104" s="779">
        <v>58073589</v>
      </c>
      <c r="CQ104" s="763">
        <f t="shared" si="28"/>
        <v>60000000</v>
      </c>
      <c r="CR104" s="763">
        <f t="shared" si="28"/>
        <v>59969313</v>
      </c>
      <c r="CS104" s="763">
        <f t="shared" si="28"/>
        <v>58380176</v>
      </c>
      <c r="CT104" s="808">
        <f t="shared" si="28"/>
        <v>58073589</v>
      </c>
      <c r="CU104" s="815"/>
      <c r="CV104" s="815"/>
      <c r="CW104" s="815"/>
      <c r="CX104" s="816"/>
      <c r="CY104" s="816"/>
      <c r="CZ104" s="816"/>
    </row>
    <row r="105" spans="1:104" s="765" customFormat="1" ht="31.5">
      <c r="A105" s="772" t="s">
        <v>1413</v>
      </c>
      <c r="B105" s="759">
        <v>200000000</v>
      </c>
      <c r="C105" s="764"/>
      <c r="D105" s="764"/>
      <c r="E105" s="764"/>
      <c r="F105" s="764"/>
      <c r="G105" s="764"/>
      <c r="H105" s="764"/>
      <c r="I105" s="764"/>
      <c r="J105" s="764"/>
      <c r="K105" s="764"/>
      <c r="L105" s="764"/>
      <c r="M105" s="764"/>
      <c r="N105" s="764"/>
      <c r="O105" s="764"/>
      <c r="P105" s="764"/>
      <c r="Q105" s="764"/>
      <c r="R105" s="764"/>
      <c r="S105" s="764"/>
      <c r="T105" s="764"/>
      <c r="U105" s="764"/>
      <c r="V105" s="764"/>
      <c r="W105" s="764"/>
      <c r="X105" s="764"/>
      <c r="Y105" s="764"/>
      <c r="Z105" s="764"/>
      <c r="AA105" s="764"/>
      <c r="AB105" s="764"/>
      <c r="AC105" s="764"/>
      <c r="AD105" s="764"/>
      <c r="AE105" s="764"/>
      <c r="AF105" s="764"/>
      <c r="AG105" s="764"/>
      <c r="AH105" s="764"/>
      <c r="AI105" s="764"/>
      <c r="AJ105" s="764"/>
      <c r="AK105" s="764"/>
      <c r="AL105" s="764"/>
      <c r="AM105" s="764"/>
      <c r="AN105" s="764"/>
      <c r="AO105" s="764"/>
      <c r="AP105" s="764"/>
      <c r="AQ105" s="764"/>
      <c r="AR105" s="764"/>
      <c r="AS105" s="764"/>
      <c r="AT105" s="764"/>
      <c r="AU105" s="764"/>
      <c r="AV105" s="764"/>
      <c r="AW105" s="764"/>
      <c r="AX105" s="764"/>
      <c r="AY105" s="764"/>
      <c r="AZ105" s="764"/>
      <c r="BA105" s="764"/>
      <c r="BB105" s="764"/>
      <c r="BC105" s="764"/>
      <c r="BD105" s="764"/>
      <c r="BE105" s="764"/>
      <c r="BF105" s="764"/>
      <c r="BG105" s="764"/>
      <c r="BH105" s="764"/>
      <c r="BI105" s="764"/>
      <c r="BJ105" s="764"/>
      <c r="BK105" s="764"/>
      <c r="BL105" s="764"/>
      <c r="BM105" s="764"/>
      <c r="BN105" s="764"/>
      <c r="BO105" s="764"/>
      <c r="BP105" s="764"/>
      <c r="BQ105" s="764"/>
      <c r="BR105" s="764"/>
      <c r="BS105" s="779">
        <f t="shared" si="30"/>
        <v>200000000</v>
      </c>
      <c r="BT105" s="779">
        <v>197296632</v>
      </c>
      <c r="BU105" s="779">
        <v>192231990</v>
      </c>
      <c r="BV105" s="779">
        <v>186999131</v>
      </c>
      <c r="BW105" s="764"/>
      <c r="BX105" s="764"/>
      <c r="BY105" s="764"/>
      <c r="BZ105" s="764"/>
      <c r="CA105" s="764"/>
      <c r="CB105" s="764"/>
      <c r="CC105" s="764"/>
      <c r="CD105" s="764"/>
      <c r="CE105" s="764"/>
      <c r="CF105" s="764"/>
      <c r="CG105" s="764"/>
      <c r="CH105" s="764"/>
      <c r="CI105" s="764"/>
      <c r="CJ105" s="764"/>
      <c r="CK105" s="764"/>
      <c r="CL105" s="764"/>
      <c r="CM105" s="764"/>
      <c r="CN105" s="764"/>
      <c r="CO105" s="764"/>
      <c r="CP105" s="764"/>
      <c r="CQ105" s="763">
        <f t="shared" si="28"/>
        <v>200000000</v>
      </c>
      <c r="CR105" s="763">
        <f t="shared" si="28"/>
        <v>197296632</v>
      </c>
      <c r="CS105" s="763">
        <f t="shared" si="28"/>
        <v>192231990</v>
      </c>
      <c r="CT105" s="808">
        <f t="shared" si="28"/>
        <v>186999131</v>
      </c>
      <c r="CU105" s="815"/>
      <c r="CV105" s="815"/>
      <c r="CW105" s="815"/>
      <c r="CX105" s="816"/>
      <c r="CY105" s="816"/>
      <c r="CZ105" s="816"/>
    </row>
    <row r="106" spans="1:104">
      <c r="A106" s="772" t="s">
        <v>637</v>
      </c>
      <c r="B106" s="759">
        <v>100000000</v>
      </c>
      <c r="G106" s="760"/>
      <c r="H106" s="760"/>
      <c r="I106" s="760"/>
      <c r="J106" s="760"/>
      <c r="K106" s="760"/>
      <c r="L106" s="760"/>
      <c r="M106" s="760"/>
      <c r="N106" s="760"/>
      <c r="O106" s="760"/>
      <c r="P106" s="760"/>
      <c r="Q106" s="760"/>
      <c r="R106" s="760"/>
      <c r="S106" s="760"/>
      <c r="T106" s="760"/>
      <c r="U106" s="760"/>
      <c r="V106" s="760"/>
      <c r="W106" s="760"/>
      <c r="X106" s="760"/>
      <c r="Y106" s="760"/>
      <c r="Z106" s="760"/>
      <c r="AA106" s="760"/>
      <c r="AB106" s="760"/>
      <c r="AC106" s="760"/>
      <c r="AD106" s="760"/>
      <c r="BS106" s="779">
        <f t="shared" si="30"/>
        <v>100000000</v>
      </c>
      <c r="BT106" s="779">
        <v>99948316</v>
      </c>
      <c r="BU106" s="779">
        <v>98111509</v>
      </c>
      <c r="BV106" s="779">
        <v>97595080</v>
      </c>
      <c r="CQ106" s="763">
        <f t="shared" si="28"/>
        <v>100000000</v>
      </c>
      <c r="CR106" s="763">
        <f t="shared" si="28"/>
        <v>99948316</v>
      </c>
      <c r="CS106" s="763">
        <f t="shared" si="28"/>
        <v>98111509</v>
      </c>
      <c r="CT106" s="808">
        <f t="shared" si="28"/>
        <v>97595080</v>
      </c>
      <c r="CU106" s="815"/>
      <c r="CV106" s="815"/>
      <c r="CW106" s="815"/>
      <c r="CX106" s="816"/>
      <c r="CY106" s="816"/>
      <c r="CZ106" s="816"/>
    </row>
    <row r="107" spans="1:104" ht="31.5" customHeight="1">
      <c r="A107" s="772" t="s">
        <v>1414</v>
      </c>
      <c r="B107" s="759">
        <v>100000000</v>
      </c>
      <c r="G107" s="760"/>
      <c r="H107" s="760"/>
      <c r="I107" s="760"/>
      <c r="J107" s="760"/>
      <c r="K107" s="760"/>
      <c r="L107" s="760"/>
      <c r="M107" s="760"/>
      <c r="N107" s="760"/>
      <c r="O107" s="760"/>
      <c r="P107" s="760"/>
      <c r="Q107" s="760"/>
      <c r="R107" s="760"/>
      <c r="S107" s="760"/>
      <c r="T107" s="760"/>
      <c r="U107" s="760"/>
      <c r="V107" s="760"/>
      <c r="W107" s="760"/>
      <c r="X107" s="760"/>
      <c r="Y107" s="760"/>
      <c r="Z107" s="760"/>
      <c r="AA107" s="760"/>
      <c r="AB107" s="760"/>
      <c r="AC107" s="760"/>
      <c r="AD107" s="760"/>
      <c r="BS107" s="779">
        <f t="shared" si="30"/>
        <v>100000000</v>
      </c>
      <c r="BT107" s="779">
        <v>99948316</v>
      </c>
      <c r="BU107" s="779">
        <v>98189367</v>
      </c>
      <c r="BV107" s="779">
        <v>97672938</v>
      </c>
      <c r="CQ107" s="763">
        <f t="shared" si="28"/>
        <v>100000000</v>
      </c>
      <c r="CR107" s="763">
        <f t="shared" si="28"/>
        <v>99948316</v>
      </c>
      <c r="CS107" s="763">
        <f t="shared" si="28"/>
        <v>98189367</v>
      </c>
      <c r="CT107" s="808">
        <f t="shared" si="28"/>
        <v>97672938</v>
      </c>
      <c r="CU107" s="815"/>
      <c r="CV107" s="815"/>
      <c r="CW107" s="815"/>
      <c r="CX107" s="816"/>
      <c r="CY107" s="816"/>
      <c r="CZ107" s="816"/>
    </row>
    <row r="108" spans="1:104" s="765" customFormat="1">
      <c r="A108" s="788" t="s">
        <v>639</v>
      </c>
      <c r="B108" s="759">
        <v>100000000</v>
      </c>
      <c r="C108" s="764"/>
      <c r="D108" s="764"/>
      <c r="E108" s="764"/>
      <c r="F108" s="764"/>
      <c r="G108" s="764"/>
      <c r="H108" s="764"/>
      <c r="I108" s="764"/>
      <c r="J108" s="764"/>
      <c r="K108" s="764"/>
      <c r="L108" s="764"/>
      <c r="M108" s="764"/>
      <c r="N108" s="764"/>
      <c r="O108" s="764"/>
      <c r="P108" s="764"/>
      <c r="Q108" s="764"/>
      <c r="R108" s="764"/>
      <c r="S108" s="764"/>
      <c r="T108" s="764"/>
      <c r="U108" s="764"/>
      <c r="V108" s="764"/>
      <c r="W108" s="764"/>
      <c r="X108" s="764"/>
      <c r="Y108" s="764"/>
      <c r="Z108" s="764"/>
      <c r="AA108" s="764"/>
      <c r="AB108" s="764"/>
      <c r="AC108" s="764"/>
      <c r="AD108" s="764"/>
      <c r="AE108" s="764"/>
      <c r="AF108" s="764"/>
      <c r="AG108" s="764"/>
      <c r="AH108" s="764"/>
      <c r="AI108" s="764"/>
      <c r="AJ108" s="764"/>
      <c r="AK108" s="764"/>
      <c r="AL108" s="764"/>
      <c r="AM108" s="764"/>
      <c r="AN108" s="764"/>
      <c r="AO108" s="764"/>
      <c r="AP108" s="764"/>
      <c r="AQ108" s="764"/>
      <c r="AR108" s="764"/>
      <c r="AS108" s="764"/>
      <c r="AT108" s="764"/>
      <c r="AU108" s="764"/>
      <c r="AV108" s="764"/>
      <c r="AW108" s="764"/>
      <c r="AX108" s="764"/>
      <c r="AY108" s="764"/>
      <c r="AZ108" s="764"/>
      <c r="BA108" s="764"/>
      <c r="BB108" s="764"/>
      <c r="BC108" s="764"/>
      <c r="BD108" s="764"/>
      <c r="BE108" s="764"/>
      <c r="BF108" s="764"/>
      <c r="BG108" s="764"/>
      <c r="BH108" s="764"/>
      <c r="BI108" s="764"/>
      <c r="BJ108" s="764"/>
      <c r="BK108" s="764"/>
      <c r="BL108" s="764"/>
      <c r="BM108" s="764"/>
      <c r="BN108" s="764"/>
      <c r="BO108" s="764"/>
      <c r="BP108" s="764"/>
      <c r="BQ108" s="764"/>
      <c r="BR108" s="764"/>
      <c r="BS108" s="779">
        <f t="shared" si="30"/>
        <v>100000000</v>
      </c>
      <c r="BT108" s="779">
        <v>99948316</v>
      </c>
      <c r="BU108" s="779">
        <v>95417225</v>
      </c>
      <c r="BV108" s="779">
        <v>94900796</v>
      </c>
      <c r="BW108" s="764"/>
      <c r="BX108" s="764"/>
      <c r="BY108" s="764"/>
      <c r="BZ108" s="764"/>
      <c r="CA108" s="764"/>
      <c r="CB108" s="764"/>
      <c r="CC108" s="764"/>
      <c r="CD108" s="764"/>
      <c r="CE108" s="764"/>
      <c r="CF108" s="764"/>
      <c r="CG108" s="764"/>
      <c r="CH108" s="764"/>
      <c r="CI108" s="764"/>
      <c r="CJ108" s="764"/>
      <c r="CK108" s="764"/>
      <c r="CL108" s="764"/>
      <c r="CM108" s="764"/>
      <c r="CN108" s="764"/>
      <c r="CO108" s="764"/>
      <c r="CP108" s="764"/>
      <c r="CQ108" s="763">
        <f t="shared" si="28"/>
        <v>100000000</v>
      </c>
      <c r="CR108" s="763">
        <f t="shared" si="28"/>
        <v>99948316</v>
      </c>
      <c r="CS108" s="763">
        <f t="shared" si="28"/>
        <v>95417225</v>
      </c>
      <c r="CT108" s="808">
        <f t="shared" si="28"/>
        <v>94900796</v>
      </c>
      <c r="CU108" s="815"/>
      <c r="CV108" s="815"/>
      <c r="CW108" s="815"/>
      <c r="CX108" s="816"/>
      <c r="CY108" s="816"/>
      <c r="CZ108" s="816"/>
    </row>
    <row r="109" spans="1:104" s="765" customFormat="1" ht="47.25">
      <c r="A109" s="772" t="s">
        <v>642</v>
      </c>
      <c r="B109" s="759">
        <v>240300000</v>
      </c>
      <c r="C109" s="764"/>
      <c r="D109" s="764"/>
      <c r="E109" s="764"/>
      <c r="F109" s="764"/>
      <c r="G109" s="764"/>
      <c r="H109" s="764"/>
      <c r="I109" s="764"/>
      <c r="J109" s="764"/>
      <c r="K109" s="764"/>
      <c r="L109" s="764"/>
      <c r="M109" s="764"/>
      <c r="N109" s="764"/>
      <c r="O109" s="764"/>
      <c r="P109" s="764"/>
      <c r="Q109" s="764"/>
      <c r="R109" s="764"/>
      <c r="S109" s="764"/>
      <c r="T109" s="764"/>
      <c r="U109" s="764"/>
      <c r="V109" s="764"/>
      <c r="W109" s="764"/>
      <c r="X109" s="764"/>
      <c r="Y109" s="764"/>
      <c r="Z109" s="764"/>
      <c r="AA109" s="764"/>
      <c r="AB109" s="764"/>
      <c r="AC109" s="764"/>
      <c r="AD109" s="764"/>
      <c r="AE109" s="764"/>
      <c r="AF109" s="764"/>
      <c r="AG109" s="764"/>
      <c r="AH109" s="764"/>
      <c r="AI109" s="764"/>
      <c r="AJ109" s="764"/>
      <c r="AK109" s="764"/>
      <c r="AL109" s="764"/>
      <c r="AM109" s="764"/>
      <c r="AN109" s="764"/>
      <c r="AO109" s="764"/>
      <c r="AP109" s="764"/>
      <c r="AQ109" s="764"/>
      <c r="AR109" s="764"/>
      <c r="AS109" s="764"/>
      <c r="AT109" s="764"/>
      <c r="AU109" s="764"/>
      <c r="AV109" s="764"/>
      <c r="AW109" s="764"/>
      <c r="AX109" s="764"/>
      <c r="AY109" s="764"/>
      <c r="AZ109" s="764"/>
      <c r="BA109" s="764"/>
      <c r="BB109" s="764"/>
      <c r="BC109" s="764"/>
      <c r="BD109" s="764"/>
      <c r="BE109" s="764"/>
      <c r="BF109" s="764"/>
      <c r="BG109" s="764"/>
      <c r="BH109" s="764"/>
      <c r="BI109" s="764"/>
      <c r="BJ109" s="764"/>
      <c r="BK109" s="764"/>
      <c r="BL109" s="764"/>
      <c r="BM109" s="764"/>
      <c r="BN109" s="764"/>
      <c r="BO109" s="764"/>
      <c r="BP109" s="764"/>
      <c r="BQ109" s="764"/>
      <c r="BR109" s="764"/>
      <c r="BS109" s="779">
        <v>240300000</v>
      </c>
      <c r="BT109" s="779">
        <v>239671155</v>
      </c>
      <c r="BU109" s="779">
        <v>18648707</v>
      </c>
      <c r="BV109" s="779">
        <v>13631422</v>
      </c>
      <c r="BW109" s="764"/>
      <c r="BX109" s="764"/>
      <c r="BY109" s="764"/>
      <c r="BZ109" s="764"/>
      <c r="CA109" s="764"/>
      <c r="CB109" s="764"/>
      <c r="CC109" s="764"/>
      <c r="CD109" s="764"/>
      <c r="CE109" s="764"/>
      <c r="CF109" s="764"/>
      <c r="CG109" s="764"/>
      <c r="CH109" s="764"/>
      <c r="CI109" s="764"/>
      <c r="CJ109" s="764"/>
      <c r="CK109" s="764"/>
      <c r="CL109" s="764"/>
      <c r="CM109" s="764"/>
      <c r="CN109" s="764"/>
      <c r="CO109" s="764"/>
      <c r="CP109" s="764"/>
      <c r="CQ109" s="763">
        <f t="shared" si="28"/>
        <v>240300000</v>
      </c>
      <c r="CR109" s="763">
        <f t="shared" si="28"/>
        <v>239671155</v>
      </c>
      <c r="CS109" s="763">
        <f t="shared" si="28"/>
        <v>18648707</v>
      </c>
      <c r="CT109" s="808">
        <f t="shared" si="28"/>
        <v>13631422</v>
      </c>
      <c r="CU109" s="815"/>
      <c r="CV109" s="815"/>
      <c r="CW109" s="815"/>
      <c r="CX109" s="816"/>
      <c r="CY109" s="816"/>
      <c r="CZ109" s="816"/>
    </row>
    <row r="110" spans="1:104" ht="47.25">
      <c r="A110" s="772" t="s">
        <v>1415</v>
      </c>
      <c r="B110" s="759">
        <v>150700000</v>
      </c>
      <c r="G110" s="760"/>
      <c r="H110" s="760"/>
      <c r="I110" s="760"/>
      <c r="J110" s="760"/>
      <c r="K110" s="760"/>
      <c r="L110" s="760"/>
      <c r="M110" s="760"/>
      <c r="N110" s="760"/>
      <c r="O110" s="760"/>
      <c r="P110" s="760"/>
      <c r="Q110" s="760"/>
      <c r="R110" s="760"/>
      <c r="S110" s="760"/>
      <c r="T110" s="760"/>
      <c r="U110" s="760"/>
      <c r="V110" s="760"/>
      <c r="W110" s="760"/>
      <c r="X110" s="760"/>
      <c r="Y110" s="760"/>
      <c r="Z110" s="760"/>
      <c r="AA110" s="760"/>
      <c r="AB110" s="760"/>
      <c r="AC110" s="760"/>
      <c r="AD110" s="760"/>
      <c r="BS110" s="779">
        <v>150700000</v>
      </c>
      <c r="BT110" s="779">
        <v>139685550</v>
      </c>
      <c r="BU110" s="779">
        <v>126721637</v>
      </c>
      <c r="BV110" s="779">
        <v>111193258</v>
      </c>
      <c r="CQ110" s="763">
        <f t="shared" si="28"/>
        <v>150700000</v>
      </c>
      <c r="CR110" s="763">
        <f t="shared" si="28"/>
        <v>139685550</v>
      </c>
      <c r="CS110" s="763">
        <f t="shared" si="28"/>
        <v>126721637</v>
      </c>
      <c r="CT110" s="808">
        <f t="shared" si="28"/>
        <v>111193258</v>
      </c>
      <c r="CU110" s="815"/>
      <c r="CV110" s="815"/>
      <c r="CW110" s="815"/>
      <c r="CX110" s="816"/>
      <c r="CY110" s="816"/>
      <c r="CZ110" s="816"/>
    </row>
    <row r="111" spans="1:104" ht="47.25">
      <c r="A111" s="772" t="s">
        <v>644</v>
      </c>
      <c r="B111" s="759">
        <v>109000000</v>
      </c>
      <c r="G111" s="760"/>
      <c r="H111" s="760"/>
      <c r="I111" s="760"/>
      <c r="J111" s="760"/>
      <c r="K111" s="760"/>
      <c r="L111" s="760"/>
      <c r="M111" s="760"/>
      <c r="N111" s="760"/>
      <c r="O111" s="760"/>
      <c r="P111" s="760"/>
      <c r="Q111" s="760"/>
      <c r="R111" s="760"/>
      <c r="S111" s="760"/>
      <c r="T111" s="760"/>
      <c r="U111" s="760"/>
      <c r="V111" s="760"/>
      <c r="W111" s="760"/>
      <c r="X111" s="760"/>
      <c r="Y111" s="760"/>
      <c r="Z111" s="760"/>
      <c r="AA111" s="760"/>
      <c r="AB111" s="760"/>
      <c r="AC111" s="760"/>
      <c r="AD111" s="760"/>
      <c r="BS111" s="779">
        <v>109000000</v>
      </c>
      <c r="BT111" s="779">
        <v>108783707</v>
      </c>
      <c r="BU111" s="779">
        <v>102852614</v>
      </c>
      <c r="BV111" s="779">
        <v>101177751</v>
      </c>
      <c r="CQ111" s="763">
        <f t="shared" si="28"/>
        <v>109000000</v>
      </c>
      <c r="CR111" s="763">
        <f t="shared" si="28"/>
        <v>108783707</v>
      </c>
      <c r="CS111" s="763">
        <f t="shared" si="28"/>
        <v>102852614</v>
      </c>
      <c r="CT111" s="808">
        <f t="shared" si="28"/>
        <v>101177751</v>
      </c>
      <c r="CU111" s="815"/>
      <c r="CV111" s="815"/>
      <c r="CW111" s="815"/>
      <c r="CX111" s="816"/>
      <c r="CY111" s="816"/>
      <c r="CZ111" s="816"/>
    </row>
    <row r="112" spans="1:104" s="765" customFormat="1" ht="63">
      <c r="A112" s="782" t="s">
        <v>1416</v>
      </c>
      <c r="B112" s="767">
        <v>4683573979</v>
      </c>
      <c r="C112" s="789"/>
      <c r="D112" s="789"/>
      <c r="E112" s="789"/>
      <c r="F112" s="789"/>
      <c r="G112" s="764"/>
      <c r="H112" s="764"/>
      <c r="I112" s="764"/>
      <c r="J112" s="764"/>
      <c r="K112" s="764"/>
      <c r="L112" s="764"/>
      <c r="M112" s="764"/>
      <c r="N112" s="764"/>
      <c r="O112" s="764"/>
      <c r="P112" s="764"/>
      <c r="Q112" s="764"/>
      <c r="R112" s="764"/>
      <c r="S112" s="764"/>
      <c r="T112" s="764"/>
      <c r="U112" s="764"/>
      <c r="V112" s="764"/>
      <c r="W112" s="764"/>
      <c r="X112" s="764"/>
      <c r="Y112" s="764"/>
      <c r="Z112" s="764"/>
      <c r="AA112" s="764"/>
      <c r="AB112" s="764"/>
      <c r="AC112" s="764"/>
      <c r="AD112" s="764"/>
      <c r="AE112" s="764"/>
      <c r="AF112" s="764"/>
      <c r="AG112" s="764"/>
      <c r="AH112" s="764"/>
      <c r="AI112" s="764"/>
      <c r="AJ112" s="764"/>
      <c r="AK112" s="764"/>
      <c r="AL112" s="764"/>
      <c r="AM112" s="764"/>
      <c r="AN112" s="764"/>
      <c r="AO112" s="764"/>
      <c r="AP112" s="764"/>
      <c r="AQ112" s="764"/>
      <c r="AR112" s="764"/>
      <c r="AS112" s="764"/>
      <c r="AT112" s="764"/>
      <c r="AU112" s="764"/>
      <c r="AV112" s="764"/>
      <c r="AW112" s="764"/>
      <c r="AX112" s="764"/>
      <c r="AY112" s="764"/>
      <c r="AZ112" s="764"/>
      <c r="BA112" s="764"/>
      <c r="BB112" s="764"/>
      <c r="BC112" s="764"/>
      <c r="BD112" s="764"/>
      <c r="BE112" s="764"/>
      <c r="BF112" s="764"/>
      <c r="BG112" s="764"/>
      <c r="BH112" s="764"/>
      <c r="BI112" s="764"/>
      <c r="BJ112" s="764"/>
      <c r="BK112" s="764"/>
      <c r="BL112" s="764"/>
      <c r="BM112" s="764"/>
      <c r="BN112" s="764"/>
      <c r="BO112" s="764"/>
      <c r="BP112" s="764"/>
      <c r="BQ112" s="764"/>
      <c r="BR112" s="764"/>
      <c r="BS112" s="780">
        <v>4683573979</v>
      </c>
      <c r="BT112" s="779">
        <v>4664621367.4099998</v>
      </c>
      <c r="BU112" s="779">
        <v>1238760297.3699999</v>
      </c>
      <c r="BV112" s="779">
        <v>783215578.60000002</v>
      </c>
      <c r="BW112" s="764"/>
      <c r="BX112" s="764"/>
      <c r="BY112" s="764"/>
      <c r="BZ112" s="764"/>
      <c r="CA112" s="764"/>
      <c r="CB112" s="764"/>
      <c r="CC112" s="764"/>
      <c r="CD112" s="764"/>
      <c r="CE112" s="764"/>
      <c r="CF112" s="764"/>
      <c r="CG112" s="764"/>
      <c r="CH112" s="764"/>
      <c r="CI112" s="764"/>
      <c r="CJ112" s="764"/>
      <c r="CK112" s="764"/>
      <c r="CL112" s="764"/>
      <c r="CM112" s="764"/>
      <c r="CN112" s="764"/>
      <c r="CO112" s="764"/>
      <c r="CP112" s="764"/>
      <c r="CQ112" s="763">
        <f t="shared" si="28"/>
        <v>4683573979</v>
      </c>
      <c r="CR112" s="763">
        <f t="shared" si="28"/>
        <v>4664621367.4099998</v>
      </c>
      <c r="CS112" s="763">
        <f t="shared" si="28"/>
        <v>1238760297.3699999</v>
      </c>
      <c r="CT112" s="808">
        <f t="shared" si="28"/>
        <v>783215578.60000002</v>
      </c>
      <c r="CU112" s="815"/>
      <c r="CV112" s="815"/>
      <c r="CW112" s="815"/>
      <c r="CX112" s="816"/>
      <c r="CY112" s="816"/>
      <c r="CZ112" s="816"/>
    </row>
    <row r="113" spans="1:104">
      <c r="A113" s="772" t="s">
        <v>647</v>
      </c>
      <c r="B113" s="759">
        <v>30000000</v>
      </c>
      <c r="G113" s="760"/>
      <c r="H113" s="760"/>
      <c r="I113" s="760"/>
      <c r="J113" s="760"/>
      <c r="K113" s="760"/>
      <c r="L113" s="760"/>
      <c r="M113" s="760"/>
      <c r="N113" s="760"/>
      <c r="O113" s="760"/>
      <c r="P113" s="760"/>
      <c r="Q113" s="760"/>
      <c r="R113" s="760"/>
      <c r="S113" s="760"/>
      <c r="T113" s="760"/>
      <c r="U113" s="760"/>
      <c r="V113" s="760"/>
      <c r="W113" s="760"/>
      <c r="X113" s="760"/>
      <c r="Y113" s="760"/>
      <c r="Z113" s="760"/>
      <c r="AA113" s="760"/>
      <c r="AB113" s="760"/>
      <c r="AC113" s="760"/>
      <c r="AD113" s="760"/>
      <c r="BS113" s="779">
        <f t="shared" ref="BS113:BS120" si="31">+B113</f>
        <v>30000000</v>
      </c>
      <c r="BT113" s="779">
        <v>11373717</v>
      </c>
      <c r="BU113" s="779">
        <v>11351087</v>
      </c>
      <c r="BV113" s="779">
        <v>7823660</v>
      </c>
      <c r="CQ113" s="763">
        <f t="shared" si="28"/>
        <v>30000000</v>
      </c>
      <c r="CR113" s="763">
        <f t="shared" si="28"/>
        <v>11373717</v>
      </c>
      <c r="CS113" s="763">
        <f t="shared" si="28"/>
        <v>11351087</v>
      </c>
      <c r="CT113" s="808">
        <f t="shared" si="28"/>
        <v>7823660</v>
      </c>
      <c r="CU113" s="815"/>
      <c r="CV113" s="815"/>
      <c r="CW113" s="815"/>
      <c r="CX113" s="816"/>
      <c r="CY113" s="816"/>
      <c r="CZ113" s="816"/>
    </row>
    <row r="114" spans="1:104" ht="78.75">
      <c r="A114" s="772" t="s">
        <v>1417</v>
      </c>
      <c r="B114" s="759">
        <v>400000000</v>
      </c>
      <c r="G114" s="760"/>
      <c r="H114" s="760"/>
      <c r="I114" s="760"/>
      <c r="J114" s="760"/>
      <c r="K114" s="760"/>
      <c r="L114" s="760"/>
      <c r="M114" s="760"/>
      <c r="N114" s="760"/>
      <c r="O114" s="760"/>
      <c r="P114" s="760"/>
      <c r="Q114" s="760"/>
      <c r="R114" s="760"/>
      <c r="S114" s="760"/>
      <c r="T114" s="760"/>
      <c r="U114" s="760"/>
      <c r="V114" s="760"/>
      <c r="W114" s="760"/>
      <c r="X114" s="760"/>
      <c r="Y114" s="760"/>
      <c r="Z114" s="760"/>
      <c r="AA114" s="760"/>
      <c r="AB114" s="760"/>
      <c r="AC114" s="760"/>
      <c r="AD114" s="760"/>
      <c r="BS114" s="762">
        <f t="shared" si="31"/>
        <v>400000000</v>
      </c>
      <c r="BT114" s="762">
        <v>326463956</v>
      </c>
      <c r="BU114" s="762">
        <v>259712261</v>
      </c>
      <c r="BV114" s="762">
        <v>249712261</v>
      </c>
      <c r="CQ114" s="763">
        <f t="shared" si="28"/>
        <v>400000000</v>
      </c>
      <c r="CR114" s="763">
        <f t="shared" si="28"/>
        <v>326463956</v>
      </c>
      <c r="CS114" s="763">
        <f t="shared" si="28"/>
        <v>259712261</v>
      </c>
      <c r="CT114" s="808">
        <f t="shared" si="28"/>
        <v>249712261</v>
      </c>
      <c r="CU114" s="815"/>
      <c r="CV114" s="815"/>
      <c r="CW114" s="815"/>
      <c r="CX114" s="816"/>
      <c r="CY114" s="816"/>
      <c r="CZ114" s="816"/>
    </row>
    <row r="115" spans="1:104" ht="31.5">
      <c r="A115" s="772" t="s">
        <v>649</v>
      </c>
      <c r="B115" s="759">
        <v>225000000</v>
      </c>
      <c r="G115" s="760"/>
      <c r="H115" s="760"/>
      <c r="I115" s="760"/>
      <c r="J115" s="760"/>
      <c r="K115" s="760"/>
      <c r="L115" s="760"/>
      <c r="M115" s="760"/>
      <c r="N115" s="760"/>
      <c r="O115" s="760"/>
      <c r="P115" s="760"/>
      <c r="Q115" s="760"/>
      <c r="R115" s="760"/>
      <c r="S115" s="760"/>
      <c r="T115" s="760"/>
      <c r="U115" s="760"/>
      <c r="V115" s="760"/>
      <c r="W115" s="760"/>
      <c r="X115" s="760"/>
      <c r="Y115" s="760"/>
      <c r="Z115" s="760"/>
      <c r="AA115" s="760"/>
      <c r="AB115" s="760"/>
      <c r="AC115" s="760"/>
      <c r="AD115" s="760"/>
      <c r="BS115" s="762">
        <f t="shared" si="31"/>
        <v>225000000</v>
      </c>
      <c r="BT115" s="762">
        <v>206177162</v>
      </c>
      <c r="BU115" s="762">
        <v>206177162</v>
      </c>
      <c r="BV115" s="762">
        <v>206177162</v>
      </c>
      <c r="CQ115" s="763">
        <f t="shared" si="28"/>
        <v>225000000</v>
      </c>
      <c r="CR115" s="763">
        <f t="shared" si="28"/>
        <v>206177162</v>
      </c>
      <c r="CS115" s="763">
        <f t="shared" si="28"/>
        <v>206177162</v>
      </c>
      <c r="CT115" s="808">
        <f t="shared" si="28"/>
        <v>206177162</v>
      </c>
      <c r="CU115" s="815"/>
      <c r="CV115" s="815"/>
      <c r="CW115" s="815"/>
      <c r="CX115" s="816"/>
      <c r="CY115" s="816"/>
      <c r="CZ115" s="816"/>
    </row>
    <row r="116" spans="1:104" ht="47.25">
      <c r="A116" s="772" t="s">
        <v>1418</v>
      </c>
      <c r="B116" s="759">
        <v>50000000</v>
      </c>
      <c r="G116" s="760"/>
      <c r="H116" s="760"/>
      <c r="I116" s="760"/>
      <c r="J116" s="760"/>
      <c r="K116" s="760"/>
      <c r="L116" s="760"/>
      <c r="M116" s="760"/>
      <c r="N116" s="760"/>
      <c r="O116" s="760"/>
      <c r="P116" s="760"/>
      <c r="Q116" s="760"/>
      <c r="R116" s="760"/>
      <c r="S116" s="760"/>
      <c r="T116" s="760"/>
      <c r="U116" s="760"/>
      <c r="V116" s="760"/>
      <c r="W116" s="760"/>
      <c r="X116" s="760"/>
      <c r="Y116" s="760"/>
      <c r="Z116" s="760"/>
      <c r="AA116" s="760"/>
      <c r="AB116" s="760"/>
      <c r="AC116" s="760"/>
      <c r="AD116" s="760"/>
      <c r="BS116" s="762">
        <f t="shared" si="31"/>
        <v>50000000</v>
      </c>
      <c r="BT116" s="762">
        <v>49974158</v>
      </c>
      <c r="BU116" s="762">
        <v>49189809</v>
      </c>
      <c r="BV116" s="762">
        <v>48366004</v>
      </c>
      <c r="CQ116" s="763">
        <f t="shared" si="28"/>
        <v>50000000</v>
      </c>
      <c r="CR116" s="763">
        <f t="shared" si="28"/>
        <v>49974158</v>
      </c>
      <c r="CS116" s="763">
        <f t="shared" si="28"/>
        <v>49189809</v>
      </c>
      <c r="CT116" s="808">
        <f t="shared" si="28"/>
        <v>48366004</v>
      </c>
      <c r="CU116" s="815"/>
      <c r="CV116" s="815"/>
      <c r="CW116" s="815"/>
      <c r="CX116" s="816"/>
      <c r="CY116" s="816"/>
      <c r="CZ116" s="816"/>
    </row>
    <row r="117" spans="1:104" ht="31.5">
      <c r="A117" s="788" t="s">
        <v>651</v>
      </c>
      <c r="B117" s="759">
        <v>40000000</v>
      </c>
      <c r="G117" s="760"/>
      <c r="H117" s="760"/>
      <c r="I117" s="760"/>
      <c r="J117" s="760"/>
      <c r="K117" s="760"/>
      <c r="L117" s="760"/>
      <c r="M117" s="760"/>
      <c r="N117" s="760"/>
      <c r="O117" s="760"/>
      <c r="P117" s="760"/>
      <c r="Q117" s="760"/>
      <c r="R117" s="760"/>
      <c r="S117" s="760"/>
      <c r="T117" s="760"/>
      <c r="U117" s="760"/>
      <c r="V117" s="760"/>
      <c r="W117" s="760"/>
      <c r="X117" s="760"/>
      <c r="Y117" s="760"/>
      <c r="Z117" s="760"/>
      <c r="AA117" s="760"/>
      <c r="AB117" s="760"/>
      <c r="AC117" s="760"/>
      <c r="AD117" s="760"/>
      <c r="BS117" s="779">
        <f t="shared" si="31"/>
        <v>40000000</v>
      </c>
      <c r="BT117" s="779">
        <v>39979542</v>
      </c>
      <c r="BU117" s="779">
        <v>39470500</v>
      </c>
      <c r="BV117" s="779">
        <v>39470500</v>
      </c>
      <c r="CQ117" s="763">
        <f t="shared" si="28"/>
        <v>40000000</v>
      </c>
      <c r="CR117" s="763">
        <f t="shared" si="28"/>
        <v>39979542</v>
      </c>
      <c r="CS117" s="763">
        <f t="shared" si="28"/>
        <v>39470500</v>
      </c>
      <c r="CT117" s="808">
        <f t="shared" si="28"/>
        <v>39470500</v>
      </c>
      <c r="CU117" s="815"/>
      <c r="CV117" s="815"/>
      <c r="CW117" s="815"/>
      <c r="CX117" s="816"/>
      <c r="CY117" s="816"/>
      <c r="CZ117" s="816"/>
    </row>
    <row r="118" spans="1:104" ht="47.25">
      <c r="A118" s="772" t="s">
        <v>1419</v>
      </c>
      <c r="B118" s="759">
        <v>40000000</v>
      </c>
      <c r="G118" s="760"/>
      <c r="H118" s="760"/>
      <c r="I118" s="760"/>
      <c r="J118" s="760"/>
      <c r="K118" s="760"/>
      <c r="L118" s="760"/>
      <c r="M118" s="760"/>
      <c r="N118" s="760"/>
      <c r="O118" s="760"/>
      <c r="P118" s="760"/>
      <c r="Q118" s="760"/>
      <c r="R118" s="760"/>
      <c r="S118" s="760"/>
      <c r="T118" s="760"/>
      <c r="U118" s="760"/>
      <c r="V118" s="760"/>
      <c r="W118" s="760"/>
      <c r="X118" s="760"/>
      <c r="Y118" s="760"/>
      <c r="Z118" s="760"/>
      <c r="AA118" s="760"/>
      <c r="AB118" s="760"/>
      <c r="AC118" s="760"/>
      <c r="AD118" s="760"/>
      <c r="BS118" s="762">
        <f t="shared" si="31"/>
        <v>40000000</v>
      </c>
      <c r="BT118" s="762">
        <v>39979542</v>
      </c>
      <c r="BU118" s="762">
        <v>39358599</v>
      </c>
      <c r="BV118" s="762">
        <v>39358599</v>
      </c>
      <c r="CQ118" s="763">
        <f t="shared" si="28"/>
        <v>40000000</v>
      </c>
      <c r="CR118" s="763">
        <f t="shared" si="28"/>
        <v>39979542</v>
      </c>
      <c r="CS118" s="763">
        <f t="shared" si="28"/>
        <v>39358599</v>
      </c>
      <c r="CT118" s="808">
        <f t="shared" si="28"/>
        <v>39358599</v>
      </c>
      <c r="CU118" s="815"/>
      <c r="CV118" s="815"/>
      <c r="CW118" s="815"/>
      <c r="CX118" s="816"/>
      <c r="CY118" s="816"/>
      <c r="CZ118" s="816"/>
    </row>
    <row r="119" spans="1:104" ht="63">
      <c r="A119" s="772" t="s">
        <v>653</v>
      </c>
      <c r="B119" s="759">
        <v>30000000</v>
      </c>
      <c r="G119" s="760"/>
      <c r="H119" s="760"/>
      <c r="I119" s="760"/>
      <c r="J119" s="760"/>
      <c r="K119" s="760"/>
      <c r="L119" s="760"/>
      <c r="M119" s="760"/>
      <c r="N119" s="760"/>
      <c r="O119" s="760"/>
      <c r="P119" s="760"/>
      <c r="Q119" s="760"/>
      <c r="R119" s="760"/>
      <c r="S119" s="760"/>
      <c r="T119" s="760"/>
      <c r="U119" s="760"/>
      <c r="V119" s="760"/>
      <c r="W119" s="760"/>
      <c r="X119" s="760"/>
      <c r="Y119" s="760"/>
      <c r="Z119" s="760"/>
      <c r="AA119" s="760"/>
      <c r="AB119" s="760"/>
      <c r="AC119" s="760"/>
      <c r="AD119" s="760"/>
      <c r="BS119" s="762">
        <f t="shared" si="31"/>
        <v>30000000</v>
      </c>
      <c r="BT119" s="762">
        <v>29755339</v>
      </c>
      <c r="BU119" s="762">
        <v>27987507</v>
      </c>
      <c r="BV119" s="762">
        <v>27987507</v>
      </c>
      <c r="CQ119" s="763">
        <f t="shared" si="28"/>
        <v>30000000</v>
      </c>
      <c r="CR119" s="763">
        <f t="shared" si="28"/>
        <v>29755339</v>
      </c>
      <c r="CS119" s="763">
        <f t="shared" si="28"/>
        <v>27987507</v>
      </c>
      <c r="CT119" s="808">
        <f t="shared" si="28"/>
        <v>27987507</v>
      </c>
      <c r="CU119" s="815"/>
      <c r="CV119" s="815"/>
      <c r="CW119" s="815"/>
      <c r="CX119" s="816"/>
      <c r="CY119" s="816"/>
      <c r="CZ119" s="816"/>
    </row>
    <row r="120" spans="1:104" ht="78.75">
      <c r="A120" s="772" t="s">
        <v>654</v>
      </c>
      <c r="B120" s="759">
        <v>125000000</v>
      </c>
      <c r="G120" s="760"/>
      <c r="H120" s="760"/>
      <c r="I120" s="760"/>
      <c r="J120" s="760"/>
      <c r="K120" s="760"/>
      <c r="L120" s="760"/>
      <c r="M120" s="760"/>
      <c r="N120" s="760"/>
      <c r="O120" s="760"/>
      <c r="P120" s="760"/>
      <c r="Q120" s="760"/>
      <c r="R120" s="760"/>
      <c r="S120" s="760"/>
      <c r="T120" s="760"/>
      <c r="U120" s="760"/>
      <c r="V120" s="760"/>
      <c r="W120" s="760"/>
      <c r="X120" s="760"/>
      <c r="Y120" s="760"/>
      <c r="Z120" s="760"/>
      <c r="AA120" s="760"/>
      <c r="AB120" s="760"/>
      <c r="AC120" s="760"/>
      <c r="AD120" s="760"/>
      <c r="BS120" s="762">
        <f t="shared" si="31"/>
        <v>125000000</v>
      </c>
      <c r="BT120" s="762">
        <v>124756379</v>
      </c>
      <c r="BU120" s="762">
        <v>120732647</v>
      </c>
      <c r="BV120" s="762">
        <v>120732647</v>
      </c>
      <c r="CQ120" s="763">
        <f t="shared" si="28"/>
        <v>125000000</v>
      </c>
      <c r="CR120" s="763">
        <f t="shared" si="28"/>
        <v>124756379</v>
      </c>
      <c r="CS120" s="763">
        <f t="shared" si="28"/>
        <v>120732647</v>
      </c>
      <c r="CT120" s="808">
        <f t="shared" si="28"/>
        <v>120732647</v>
      </c>
      <c r="CU120" s="815"/>
      <c r="CV120" s="815"/>
      <c r="CW120" s="815"/>
      <c r="CX120" s="816"/>
      <c r="CY120" s="816"/>
      <c r="CZ120" s="816"/>
    </row>
    <row r="121" spans="1:104" ht="47.25">
      <c r="A121" s="772" t="s">
        <v>656</v>
      </c>
      <c r="B121" s="759">
        <v>20000000</v>
      </c>
      <c r="G121" s="760"/>
      <c r="H121" s="760"/>
      <c r="I121" s="760"/>
      <c r="J121" s="760"/>
      <c r="K121" s="760"/>
      <c r="L121" s="760"/>
      <c r="M121" s="760"/>
      <c r="N121" s="760"/>
      <c r="O121" s="760"/>
      <c r="P121" s="760"/>
      <c r="Q121" s="760"/>
      <c r="R121" s="760"/>
      <c r="S121" s="760"/>
      <c r="T121" s="760"/>
      <c r="U121" s="760"/>
      <c r="V121" s="760"/>
      <c r="W121" s="760"/>
      <c r="X121" s="760"/>
      <c r="Y121" s="760"/>
      <c r="Z121" s="760"/>
      <c r="AA121" s="760"/>
      <c r="AB121" s="760"/>
      <c r="AC121" s="760"/>
      <c r="AD121" s="760"/>
      <c r="BS121" s="779">
        <f>+B121</f>
        <v>20000000</v>
      </c>
      <c r="BT121" s="779">
        <v>19989771</v>
      </c>
      <c r="BU121" s="779">
        <v>19679299</v>
      </c>
      <c r="BV121" s="779">
        <v>19561544</v>
      </c>
      <c r="CQ121" s="763">
        <f t="shared" si="28"/>
        <v>20000000</v>
      </c>
      <c r="CR121" s="763">
        <f t="shared" si="28"/>
        <v>19989771</v>
      </c>
      <c r="CS121" s="763">
        <f t="shared" si="28"/>
        <v>19679299</v>
      </c>
      <c r="CT121" s="808">
        <f t="shared" si="28"/>
        <v>19561544</v>
      </c>
      <c r="CU121" s="815"/>
      <c r="CV121" s="815"/>
      <c r="CW121" s="815"/>
      <c r="CX121" s="816"/>
      <c r="CY121" s="816"/>
      <c r="CZ121" s="816"/>
    </row>
    <row r="122" spans="1:104" ht="63">
      <c r="A122" s="772" t="s">
        <v>657</v>
      </c>
      <c r="B122" s="759">
        <v>50000000</v>
      </c>
      <c r="G122" s="760"/>
      <c r="H122" s="760"/>
      <c r="I122" s="760"/>
      <c r="J122" s="760"/>
      <c r="K122" s="760"/>
      <c r="L122" s="760"/>
      <c r="M122" s="760"/>
      <c r="N122" s="760"/>
      <c r="O122" s="760"/>
      <c r="P122" s="760"/>
      <c r="Q122" s="760"/>
      <c r="R122" s="760"/>
      <c r="S122" s="760"/>
      <c r="T122" s="760"/>
      <c r="U122" s="760"/>
      <c r="V122" s="760"/>
      <c r="W122" s="760"/>
      <c r="X122" s="760"/>
      <c r="Y122" s="760"/>
      <c r="Z122" s="760"/>
      <c r="AA122" s="760"/>
      <c r="AB122" s="760"/>
      <c r="AC122" s="760"/>
      <c r="AD122" s="760"/>
      <c r="BS122" s="762">
        <f>+B122</f>
        <v>50000000</v>
      </c>
      <c r="BT122" s="762">
        <v>49974158</v>
      </c>
      <c r="BU122" s="762">
        <v>48499695</v>
      </c>
      <c r="BV122" s="762">
        <v>48321225</v>
      </c>
      <c r="CQ122" s="763">
        <f t="shared" si="28"/>
        <v>50000000</v>
      </c>
      <c r="CR122" s="763">
        <f t="shared" si="28"/>
        <v>49974158</v>
      </c>
      <c r="CS122" s="763">
        <f t="shared" si="28"/>
        <v>48499695</v>
      </c>
      <c r="CT122" s="808">
        <f t="shared" si="28"/>
        <v>48321225</v>
      </c>
      <c r="CU122" s="815"/>
      <c r="CV122" s="815"/>
      <c r="CW122" s="815"/>
      <c r="CX122" s="816"/>
      <c r="CY122" s="816"/>
      <c r="CZ122" s="816"/>
    </row>
    <row r="123" spans="1:104" ht="31.5">
      <c r="A123" s="788" t="s">
        <v>659</v>
      </c>
      <c r="B123" s="759">
        <v>60000000</v>
      </c>
      <c r="G123" s="760"/>
      <c r="H123" s="760"/>
      <c r="I123" s="760"/>
      <c r="J123" s="760"/>
      <c r="K123" s="760"/>
      <c r="L123" s="760"/>
      <c r="M123" s="760"/>
      <c r="N123" s="760"/>
      <c r="O123" s="760"/>
      <c r="P123" s="760"/>
      <c r="Q123" s="760"/>
      <c r="R123" s="760"/>
      <c r="S123" s="760"/>
      <c r="T123" s="760"/>
      <c r="U123" s="760"/>
      <c r="V123" s="760"/>
      <c r="W123" s="760"/>
      <c r="X123" s="760"/>
      <c r="Y123" s="760"/>
      <c r="Z123" s="760"/>
      <c r="AA123" s="760"/>
      <c r="AB123" s="760"/>
      <c r="AC123" s="760"/>
      <c r="AD123" s="760"/>
      <c r="BS123" s="779">
        <f t="shared" ref="BS123:BS149" si="32">+B123</f>
        <v>60000000</v>
      </c>
      <c r="BT123" s="779">
        <v>59968774</v>
      </c>
      <c r="BU123" s="779">
        <v>11408300</v>
      </c>
      <c r="BV123" s="779">
        <v>11172262</v>
      </c>
      <c r="CQ123" s="763">
        <f t="shared" si="28"/>
        <v>60000000</v>
      </c>
      <c r="CR123" s="763">
        <f t="shared" si="28"/>
        <v>59968774</v>
      </c>
      <c r="CS123" s="763">
        <f t="shared" si="28"/>
        <v>11408300</v>
      </c>
      <c r="CT123" s="808">
        <f t="shared" si="28"/>
        <v>11172262</v>
      </c>
      <c r="CU123" s="815"/>
      <c r="CV123" s="815"/>
      <c r="CW123" s="815"/>
      <c r="CX123" s="816"/>
      <c r="CY123" s="816"/>
      <c r="CZ123" s="816"/>
    </row>
    <row r="124" spans="1:104" ht="31.5">
      <c r="A124" s="772" t="s">
        <v>660</v>
      </c>
      <c r="B124" s="759">
        <v>62500000</v>
      </c>
      <c r="G124" s="760"/>
      <c r="H124" s="760"/>
      <c r="I124" s="760"/>
      <c r="J124" s="760"/>
      <c r="K124" s="760"/>
      <c r="L124" s="760"/>
      <c r="M124" s="760"/>
      <c r="N124" s="760"/>
      <c r="O124" s="760"/>
      <c r="P124" s="760"/>
      <c r="Q124" s="760"/>
      <c r="R124" s="760"/>
      <c r="S124" s="760"/>
      <c r="T124" s="760"/>
      <c r="U124" s="760"/>
      <c r="V124" s="760"/>
      <c r="W124" s="760"/>
      <c r="X124" s="760"/>
      <c r="Y124" s="760"/>
      <c r="Z124" s="760"/>
      <c r="AA124" s="760"/>
      <c r="AB124" s="760"/>
      <c r="AC124" s="760"/>
      <c r="AD124" s="760"/>
      <c r="BS124" s="762">
        <f t="shared" si="32"/>
        <v>62500000</v>
      </c>
      <c r="BT124" s="762">
        <v>62467698</v>
      </c>
      <c r="BU124" s="762">
        <v>11526213</v>
      </c>
      <c r="BV124" s="762">
        <v>11277676</v>
      </c>
      <c r="CQ124" s="763">
        <f t="shared" si="28"/>
        <v>62500000</v>
      </c>
      <c r="CR124" s="763">
        <f t="shared" si="28"/>
        <v>62467698</v>
      </c>
      <c r="CS124" s="763">
        <f t="shared" si="28"/>
        <v>11526213</v>
      </c>
      <c r="CT124" s="808">
        <f t="shared" si="28"/>
        <v>11277676</v>
      </c>
      <c r="CU124" s="815"/>
      <c r="CV124" s="815"/>
      <c r="CW124" s="815"/>
      <c r="CX124" s="816"/>
      <c r="CY124" s="816"/>
      <c r="CZ124" s="816"/>
    </row>
    <row r="125" spans="1:104" ht="31.5">
      <c r="A125" s="772" t="s">
        <v>1420</v>
      </c>
      <c r="B125" s="759">
        <v>125000000</v>
      </c>
      <c r="G125" s="760"/>
      <c r="H125" s="760"/>
      <c r="I125" s="760"/>
      <c r="J125" s="760"/>
      <c r="K125" s="760"/>
      <c r="L125" s="760"/>
      <c r="M125" s="760"/>
      <c r="N125" s="760"/>
      <c r="O125" s="760"/>
      <c r="P125" s="760"/>
      <c r="Q125" s="760"/>
      <c r="R125" s="760"/>
      <c r="S125" s="760"/>
      <c r="T125" s="760"/>
      <c r="U125" s="760"/>
      <c r="V125" s="760"/>
      <c r="W125" s="760"/>
      <c r="X125" s="760"/>
      <c r="Y125" s="760"/>
      <c r="Z125" s="760"/>
      <c r="AA125" s="760"/>
      <c r="AB125" s="760"/>
      <c r="AC125" s="760"/>
      <c r="AD125" s="760"/>
      <c r="BS125" s="781">
        <f t="shared" si="32"/>
        <v>125000000</v>
      </c>
      <c r="BT125" s="781">
        <v>124935395</v>
      </c>
      <c r="BU125" s="781">
        <v>120303258</v>
      </c>
      <c r="BV125" s="781">
        <v>119612442</v>
      </c>
      <c r="CQ125" s="763">
        <f t="shared" si="28"/>
        <v>125000000</v>
      </c>
      <c r="CR125" s="763">
        <f t="shared" si="28"/>
        <v>124935395</v>
      </c>
      <c r="CS125" s="763">
        <f t="shared" si="28"/>
        <v>120303258</v>
      </c>
      <c r="CT125" s="808">
        <f t="shared" si="28"/>
        <v>119612442</v>
      </c>
      <c r="CU125" s="815"/>
      <c r="CV125" s="815"/>
      <c r="CW125" s="815"/>
      <c r="CX125" s="816"/>
      <c r="CY125" s="816"/>
      <c r="CZ125" s="816"/>
    </row>
    <row r="126" spans="1:104" ht="31.5">
      <c r="A126" s="772" t="s">
        <v>1421</v>
      </c>
      <c r="B126" s="759">
        <v>300000000</v>
      </c>
      <c r="G126" s="760"/>
      <c r="H126" s="760"/>
      <c r="I126" s="760"/>
      <c r="J126" s="760"/>
      <c r="K126" s="760"/>
      <c r="L126" s="760"/>
      <c r="M126" s="760"/>
      <c r="N126" s="760"/>
      <c r="O126" s="760"/>
      <c r="P126" s="760"/>
      <c r="Q126" s="760"/>
      <c r="R126" s="760"/>
      <c r="S126" s="760"/>
      <c r="T126" s="760"/>
      <c r="U126" s="760"/>
      <c r="V126" s="760"/>
      <c r="W126" s="760"/>
      <c r="X126" s="760"/>
      <c r="Y126" s="760"/>
      <c r="Z126" s="760"/>
      <c r="AA126" s="760"/>
      <c r="AB126" s="760"/>
      <c r="AC126" s="760"/>
      <c r="AD126" s="760"/>
      <c r="BS126" s="779">
        <f t="shared" si="32"/>
        <v>300000000</v>
      </c>
      <c r="BT126" s="779">
        <v>299844949</v>
      </c>
      <c r="BU126" s="779">
        <v>288727816</v>
      </c>
      <c r="BV126" s="779">
        <v>286966082</v>
      </c>
      <c r="CQ126" s="763">
        <f t="shared" si="28"/>
        <v>300000000</v>
      </c>
      <c r="CR126" s="763">
        <f t="shared" si="28"/>
        <v>299844949</v>
      </c>
      <c r="CS126" s="763">
        <f t="shared" si="28"/>
        <v>288727816</v>
      </c>
      <c r="CT126" s="808">
        <f t="shared" si="28"/>
        <v>286966082</v>
      </c>
      <c r="CU126" s="815"/>
      <c r="CV126" s="815"/>
      <c r="CW126" s="815"/>
      <c r="CX126" s="816"/>
      <c r="CY126" s="816"/>
      <c r="CZ126" s="816"/>
    </row>
    <row r="127" spans="1:104">
      <c r="A127" s="772" t="s">
        <v>1422</v>
      </c>
      <c r="B127" s="759">
        <v>200000000</v>
      </c>
      <c r="G127" s="760"/>
      <c r="H127" s="760"/>
      <c r="I127" s="760"/>
      <c r="J127" s="760"/>
      <c r="K127" s="760"/>
      <c r="L127" s="760"/>
      <c r="M127" s="760"/>
      <c r="N127" s="760"/>
      <c r="O127" s="760"/>
      <c r="P127" s="760"/>
      <c r="Q127" s="760"/>
      <c r="R127" s="760"/>
      <c r="S127" s="760"/>
      <c r="T127" s="760"/>
      <c r="U127" s="760"/>
      <c r="V127" s="760"/>
      <c r="W127" s="760"/>
      <c r="X127" s="760"/>
      <c r="Y127" s="760"/>
      <c r="Z127" s="760"/>
      <c r="AA127" s="760"/>
      <c r="AB127" s="760"/>
      <c r="AC127" s="760"/>
      <c r="AD127" s="760"/>
      <c r="BS127" s="779">
        <f t="shared" si="32"/>
        <v>200000000</v>
      </c>
      <c r="BT127" s="779">
        <v>199893402</v>
      </c>
      <c r="BU127" s="779">
        <v>164876727</v>
      </c>
      <c r="BV127" s="779">
        <v>163736881</v>
      </c>
      <c r="CQ127" s="763">
        <f t="shared" si="28"/>
        <v>200000000</v>
      </c>
      <c r="CR127" s="763">
        <f t="shared" si="28"/>
        <v>199893402</v>
      </c>
      <c r="CS127" s="763">
        <f t="shared" si="28"/>
        <v>164876727</v>
      </c>
      <c r="CT127" s="808">
        <f t="shared" si="28"/>
        <v>163736881</v>
      </c>
      <c r="CU127" s="815"/>
      <c r="CV127" s="815"/>
      <c r="CW127" s="815"/>
      <c r="CX127" s="816"/>
      <c r="CY127" s="816"/>
      <c r="CZ127" s="816"/>
    </row>
    <row r="128" spans="1:104" ht="31.5">
      <c r="A128" s="790" t="s">
        <v>664</v>
      </c>
      <c r="B128" s="759">
        <v>162500000</v>
      </c>
      <c r="G128" s="760"/>
      <c r="H128" s="760"/>
      <c r="I128" s="760"/>
      <c r="J128" s="760"/>
      <c r="K128" s="760"/>
      <c r="L128" s="760"/>
      <c r="M128" s="760"/>
      <c r="N128" s="760"/>
      <c r="O128" s="760"/>
      <c r="P128" s="760"/>
      <c r="Q128" s="760"/>
      <c r="R128" s="760"/>
      <c r="S128" s="760"/>
      <c r="T128" s="760"/>
      <c r="U128" s="760"/>
      <c r="V128" s="760"/>
      <c r="W128" s="760"/>
      <c r="X128" s="760"/>
      <c r="Y128" s="760"/>
      <c r="Z128" s="760"/>
      <c r="AA128" s="760"/>
      <c r="AB128" s="760"/>
      <c r="AC128" s="760"/>
      <c r="AD128" s="760"/>
      <c r="BS128" s="779">
        <f t="shared" si="32"/>
        <v>162500000</v>
      </c>
      <c r="BT128" s="779">
        <v>162419244</v>
      </c>
      <c r="BU128" s="779">
        <v>156629071</v>
      </c>
      <c r="BV128" s="779">
        <v>155765552</v>
      </c>
      <c r="CQ128" s="763">
        <f t="shared" si="28"/>
        <v>162500000</v>
      </c>
      <c r="CR128" s="763">
        <f t="shared" si="28"/>
        <v>162419244</v>
      </c>
      <c r="CS128" s="763">
        <f t="shared" si="28"/>
        <v>156629071</v>
      </c>
      <c r="CT128" s="808">
        <f t="shared" si="28"/>
        <v>155765552</v>
      </c>
      <c r="CU128" s="815"/>
      <c r="CV128" s="815"/>
      <c r="CW128" s="815"/>
      <c r="CX128" s="816"/>
      <c r="CY128" s="816"/>
      <c r="CZ128" s="816"/>
    </row>
    <row r="129" spans="1:104" ht="31.5">
      <c r="A129" s="772" t="s">
        <v>1423</v>
      </c>
      <c r="B129" s="759">
        <v>140000000</v>
      </c>
      <c r="G129" s="760"/>
      <c r="H129" s="760"/>
      <c r="I129" s="760"/>
      <c r="J129" s="760"/>
      <c r="K129" s="760"/>
      <c r="L129" s="760"/>
      <c r="M129" s="760"/>
      <c r="N129" s="760"/>
      <c r="O129" s="760"/>
      <c r="P129" s="760"/>
      <c r="Q129" s="760"/>
      <c r="R129" s="760"/>
      <c r="S129" s="760"/>
      <c r="T129" s="760"/>
      <c r="U129" s="760"/>
      <c r="V129" s="760"/>
      <c r="W129" s="760"/>
      <c r="X129" s="760"/>
      <c r="Y129" s="760"/>
      <c r="Z129" s="760"/>
      <c r="AA129" s="760"/>
      <c r="AB129" s="760"/>
      <c r="AC129" s="760"/>
      <c r="AD129" s="760"/>
      <c r="BS129" s="779">
        <f t="shared" si="32"/>
        <v>140000000</v>
      </c>
      <c r="BT129" s="779">
        <v>139900233</v>
      </c>
      <c r="BU129" s="779">
        <v>137645230</v>
      </c>
      <c r="BV129" s="779">
        <v>137026791</v>
      </c>
      <c r="CQ129" s="763">
        <f t="shared" si="28"/>
        <v>140000000</v>
      </c>
      <c r="CR129" s="763">
        <f t="shared" si="28"/>
        <v>139900233</v>
      </c>
      <c r="CS129" s="763">
        <f t="shared" si="28"/>
        <v>137645230</v>
      </c>
      <c r="CT129" s="808">
        <f t="shared" si="28"/>
        <v>137026791</v>
      </c>
      <c r="CU129" s="815"/>
      <c r="CV129" s="815"/>
      <c r="CW129" s="815"/>
      <c r="CX129" s="816"/>
      <c r="CY129" s="816"/>
      <c r="CZ129" s="816"/>
    </row>
    <row r="130" spans="1:104" ht="31.5">
      <c r="A130" s="772" t="s">
        <v>666</v>
      </c>
      <c r="B130" s="759">
        <v>140000000</v>
      </c>
      <c r="G130" s="760"/>
      <c r="H130" s="760"/>
      <c r="I130" s="760"/>
      <c r="J130" s="760"/>
      <c r="K130" s="760"/>
      <c r="L130" s="760"/>
      <c r="M130" s="760"/>
      <c r="N130" s="760"/>
      <c r="O130" s="760"/>
      <c r="P130" s="760"/>
      <c r="Q130" s="760"/>
      <c r="R130" s="760"/>
      <c r="S130" s="760"/>
      <c r="T130" s="760"/>
      <c r="U130" s="760"/>
      <c r="V130" s="760"/>
      <c r="W130" s="760"/>
      <c r="X130" s="760"/>
      <c r="Y130" s="760"/>
      <c r="Z130" s="760"/>
      <c r="AA130" s="760"/>
      <c r="AB130" s="760"/>
      <c r="AC130" s="760"/>
      <c r="AD130" s="760"/>
      <c r="BS130" s="779">
        <f t="shared" si="32"/>
        <v>140000000</v>
      </c>
      <c r="BT130" s="779">
        <v>139900233</v>
      </c>
      <c r="BU130" s="779">
        <v>137520698</v>
      </c>
      <c r="BV130" s="779">
        <v>124235595</v>
      </c>
      <c r="CQ130" s="763">
        <f t="shared" si="28"/>
        <v>140000000</v>
      </c>
      <c r="CR130" s="763">
        <f t="shared" si="28"/>
        <v>139900233</v>
      </c>
      <c r="CS130" s="763">
        <f t="shared" si="28"/>
        <v>137520698</v>
      </c>
      <c r="CT130" s="808">
        <f t="shared" si="28"/>
        <v>124235595</v>
      </c>
      <c r="CU130" s="815"/>
      <c r="CV130" s="815"/>
      <c r="CW130" s="815"/>
      <c r="CX130" s="816"/>
      <c r="CY130" s="816"/>
      <c r="CZ130" s="816"/>
    </row>
    <row r="131" spans="1:104" ht="31.5">
      <c r="A131" s="772" t="s">
        <v>667</v>
      </c>
      <c r="B131" s="759">
        <v>60000000</v>
      </c>
      <c r="G131" s="760"/>
      <c r="H131" s="760"/>
      <c r="I131" s="760"/>
      <c r="J131" s="760"/>
      <c r="K131" s="760"/>
      <c r="L131" s="760"/>
      <c r="M131" s="760"/>
      <c r="N131" s="760"/>
      <c r="O131" s="760"/>
      <c r="P131" s="760"/>
      <c r="Q131" s="760"/>
      <c r="R131" s="760"/>
      <c r="S131" s="760"/>
      <c r="T131" s="760"/>
      <c r="U131" s="760"/>
      <c r="V131" s="760"/>
      <c r="W131" s="760"/>
      <c r="X131" s="760"/>
      <c r="Y131" s="760"/>
      <c r="Z131" s="760"/>
      <c r="AA131" s="760"/>
      <c r="AB131" s="760"/>
      <c r="AC131" s="760"/>
      <c r="AD131" s="760"/>
      <c r="BS131" s="779">
        <f t="shared" si="32"/>
        <v>60000000</v>
      </c>
      <c r="BT131" s="779">
        <v>59970928</v>
      </c>
      <c r="BU131" s="779">
        <v>57886466</v>
      </c>
      <c r="BV131" s="779">
        <v>56982786</v>
      </c>
      <c r="CQ131" s="763">
        <f t="shared" si="28"/>
        <v>60000000</v>
      </c>
      <c r="CR131" s="763">
        <f t="shared" si="28"/>
        <v>59970928</v>
      </c>
      <c r="CS131" s="763">
        <f t="shared" si="28"/>
        <v>57886466</v>
      </c>
      <c r="CT131" s="808">
        <f t="shared" si="28"/>
        <v>56982786</v>
      </c>
      <c r="CU131" s="815"/>
      <c r="CV131" s="815"/>
      <c r="CW131" s="815"/>
      <c r="CX131" s="816"/>
      <c r="CY131" s="816"/>
      <c r="CZ131" s="816"/>
    </row>
    <row r="132" spans="1:104" ht="31.5">
      <c r="A132" s="772" t="s">
        <v>1424</v>
      </c>
      <c r="B132" s="759">
        <v>60000000</v>
      </c>
      <c r="G132" s="760"/>
      <c r="H132" s="760"/>
      <c r="I132" s="760"/>
      <c r="J132" s="760"/>
      <c r="K132" s="760"/>
      <c r="L132" s="760"/>
      <c r="M132" s="760"/>
      <c r="N132" s="760"/>
      <c r="O132" s="760"/>
      <c r="P132" s="760"/>
      <c r="Q132" s="760"/>
      <c r="R132" s="760"/>
      <c r="S132" s="760"/>
      <c r="T132" s="760"/>
      <c r="U132" s="760"/>
      <c r="V132" s="760"/>
      <c r="W132" s="760"/>
      <c r="X132" s="760"/>
      <c r="Y132" s="760"/>
      <c r="Z132" s="760"/>
      <c r="AA132" s="760"/>
      <c r="AB132" s="760"/>
      <c r="AC132" s="760"/>
      <c r="AD132" s="760"/>
      <c r="BS132" s="779">
        <f t="shared" si="32"/>
        <v>60000000</v>
      </c>
      <c r="BT132" s="779">
        <v>59970928</v>
      </c>
      <c r="BU132" s="779">
        <v>59088536</v>
      </c>
      <c r="BV132" s="779">
        <v>58911755</v>
      </c>
      <c r="CQ132" s="763">
        <f t="shared" si="28"/>
        <v>60000000</v>
      </c>
      <c r="CR132" s="763">
        <f t="shared" si="28"/>
        <v>59970928</v>
      </c>
      <c r="CS132" s="763">
        <f t="shared" si="28"/>
        <v>59088536</v>
      </c>
      <c r="CT132" s="808">
        <f t="shared" ref="CT132:CT159" si="33">+F132+J132+N132+R132+V132+Z132+AD132+AH132+AL132+AP132+AT132+AX132+BB132+BF132+BJ132+BN132+BR132+BV132+BZ132+CD132+CH132+CL132+CP132</f>
        <v>58911755</v>
      </c>
      <c r="CU132" s="815"/>
      <c r="CV132" s="815"/>
      <c r="CW132" s="815"/>
      <c r="CX132" s="816"/>
      <c r="CY132" s="816"/>
      <c r="CZ132" s="816"/>
    </row>
    <row r="133" spans="1:104" ht="31.5">
      <c r="A133" s="772" t="s">
        <v>1425</v>
      </c>
      <c r="B133" s="759">
        <v>100000000</v>
      </c>
      <c r="G133" s="760"/>
      <c r="H133" s="760"/>
      <c r="I133" s="760"/>
      <c r="J133" s="760"/>
      <c r="K133" s="760"/>
      <c r="L133" s="760"/>
      <c r="M133" s="760"/>
      <c r="N133" s="760"/>
      <c r="O133" s="760"/>
      <c r="P133" s="760"/>
      <c r="Q133" s="760"/>
      <c r="R133" s="760"/>
      <c r="S133" s="760"/>
      <c r="T133" s="760"/>
      <c r="U133" s="760"/>
      <c r="V133" s="760"/>
      <c r="W133" s="760"/>
      <c r="X133" s="760"/>
      <c r="Y133" s="760"/>
      <c r="Z133" s="760"/>
      <c r="AA133" s="760"/>
      <c r="AB133" s="760"/>
      <c r="AC133" s="760"/>
      <c r="AD133" s="760"/>
      <c r="BS133" s="781">
        <f t="shared" si="32"/>
        <v>100000000</v>
      </c>
      <c r="BT133" s="781">
        <v>99948316</v>
      </c>
      <c r="BU133" s="781">
        <v>98379617</v>
      </c>
      <c r="BV133" s="781">
        <v>98232009</v>
      </c>
      <c r="CQ133" s="763">
        <f t="shared" ref="CQ133:CS159" si="34">+C133+G133+K133+O133+S133+W133+AA133+AE133+AI133+AM133+AQ133+AU133+AY133+BC133+BG133+BK133+BO133+BS133+BW133+CA133+CE133+CI133+CM133</f>
        <v>100000000</v>
      </c>
      <c r="CR133" s="763">
        <f t="shared" si="34"/>
        <v>99948316</v>
      </c>
      <c r="CS133" s="763">
        <f t="shared" si="34"/>
        <v>98379617</v>
      </c>
      <c r="CT133" s="808">
        <f t="shared" si="33"/>
        <v>98232009</v>
      </c>
      <c r="CU133" s="815"/>
      <c r="CV133" s="815"/>
      <c r="CW133" s="815"/>
      <c r="CX133" s="816"/>
      <c r="CY133" s="816"/>
      <c r="CZ133" s="816"/>
    </row>
    <row r="134" spans="1:104" ht="31.5">
      <c r="A134" s="772" t="s">
        <v>670</v>
      </c>
      <c r="B134" s="759">
        <v>112500000</v>
      </c>
      <c r="G134" s="760"/>
      <c r="H134" s="760"/>
      <c r="I134" s="760"/>
      <c r="J134" s="760"/>
      <c r="K134" s="760"/>
      <c r="L134" s="760"/>
      <c r="M134" s="760"/>
      <c r="N134" s="760"/>
      <c r="O134" s="777"/>
      <c r="P134" s="777"/>
      <c r="Q134" s="777"/>
      <c r="R134" s="777"/>
      <c r="S134" s="760"/>
      <c r="T134" s="760"/>
      <c r="U134" s="760"/>
      <c r="V134" s="760"/>
      <c r="W134" s="760"/>
      <c r="X134" s="760"/>
      <c r="Y134" s="760"/>
      <c r="Z134" s="760"/>
      <c r="AA134" s="760"/>
      <c r="AB134" s="760"/>
      <c r="AC134" s="760"/>
      <c r="AD134" s="760"/>
      <c r="BS134" s="781">
        <f t="shared" si="32"/>
        <v>112500000</v>
      </c>
      <c r="BT134" s="781">
        <v>111191856</v>
      </c>
      <c r="BU134" s="781">
        <v>109427070</v>
      </c>
      <c r="BV134" s="781">
        <v>109323510</v>
      </c>
      <c r="CQ134" s="763">
        <f t="shared" si="34"/>
        <v>112500000</v>
      </c>
      <c r="CR134" s="763">
        <f t="shared" si="34"/>
        <v>111191856</v>
      </c>
      <c r="CS134" s="763">
        <f t="shared" si="34"/>
        <v>109427070</v>
      </c>
      <c r="CT134" s="808">
        <f t="shared" si="33"/>
        <v>109323510</v>
      </c>
      <c r="CU134" s="815"/>
      <c r="CV134" s="815"/>
      <c r="CW134" s="815"/>
      <c r="CX134" s="816"/>
      <c r="CY134" s="816"/>
      <c r="CZ134" s="816"/>
    </row>
    <row r="135" spans="1:104" ht="31.5">
      <c r="A135" s="772" t="s">
        <v>1426</v>
      </c>
      <c r="B135" s="759">
        <v>154000000</v>
      </c>
      <c r="G135" s="760"/>
      <c r="H135" s="760"/>
      <c r="I135" s="760"/>
      <c r="J135" s="760"/>
      <c r="K135" s="760"/>
      <c r="L135" s="760"/>
      <c r="M135" s="760"/>
      <c r="N135" s="760"/>
      <c r="O135" s="760"/>
      <c r="P135" s="760"/>
      <c r="Q135" s="760"/>
      <c r="R135" s="760"/>
      <c r="S135" s="760"/>
      <c r="T135" s="760"/>
      <c r="U135" s="760"/>
      <c r="V135" s="760"/>
      <c r="W135" s="760"/>
      <c r="X135" s="760"/>
      <c r="Y135" s="760"/>
      <c r="Z135" s="760"/>
      <c r="AA135" s="760"/>
      <c r="AB135" s="760"/>
      <c r="AC135" s="760"/>
      <c r="AD135" s="760"/>
      <c r="BS135" s="762">
        <f t="shared" si="32"/>
        <v>154000000</v>
      </c>
      <c r="BT135" s="762">
        <v>152980472</v>
      </c>
      <c r="BU135" s="762">
        <v>111305141</v>
      </c>
      <c r="BV135" s="762">
        <v>70453574</v>
      </c>
      <c r="CQ135" s="763">
        <f t="shared" si="34"/>
        <v>154000000</v>
      </c>
      <c r="CR135" s="763">
        <f t="shared" si="34"/>
        <v>152980472</v>
      </c>
      <c r="CS135" s="763">
        <f t="shared" si="34"/>
        <v>111305141</v>
      </c>
      <c r="CT135" s="808">
        <f t="shared" si="33"/>
        <v>70453574</v>
      </c>
      <c r="CU135" s="815"/>
      <c r="CV135" s="815"/>
      <c r="CW135" s="815"/>
      <c r="CX135" s="816"/>
      <c r="CY135" s="816"/>
      <c r="CZ135" s="816"/>
    </row>
    <row r="136" spans="1:104">
      <c r="A136" s="772" t="s">
        <v>673</v>
      </c>
      <c r="B136" s="759">
        <v>100000000</v>
      </c>
      <c r="G136" s="760"/>
      <c r="H136" s="760"/>
      <c r="I136" s="760"/>
      <c r="J136" s="760"/>
      <c r="K136" s="760"/>
      <c r="L136" s="760"/>
      <c r="M136" s="760"/>
      <c r="N136" s="760"/>
      <c r="O136" s="760"/>
      <c r="P136" s="760"/>
      <c r="Q136" s="760"/>
      <c r="R136" s="760"/>
      <c r="S136" s="760"/>
      <c r="T136" s="760"/>
      <c r="U136" s="760"/>
      <c r="V136" s="760"/>
      <c r="W136" s="760"/>
      <c r="X136" s="760"/>
      <c r="Y136" s="760"/>
      <c r="Z136" s="760"/>
      <c r="AA136" s="760"/>
      <c r="AB136" s="760"/>
      <c r="AC136" s="760"/>
      <c r="AD136" s="760"/>
      <c r="BS136" s="779">
        <f t="shared" si="32"/>
        <v>100000000</v>
      </c>
      <c r="BT136" s="779">
        <v>99948316</v>
      </c>
      <c r="BU136" s="779">
        <v>98457207</v>
      </c>
      <c r="BV136" s="779">
        <v>98309599</v>
      </c>
      <c r="CQ136" s="763">
        <f t="shared" si="34"/>
        <v>100000000</v>
      </c>
      <c r="CR136" s="763">
        <f t="shared" si="34"/>
        <v>99948316</v>
      </c>
      <c r="CS136" s="763">
        <f t="shared" si="34"/>
        <v>98457207</v>
      </c>
      <c r="CT136" s="808">
        <f t="shared" si="33"/>
        <v>98309599</v>
      </c>
      <c r="CU136" s="815"/>
      <c r="CV136" s="815"/>
      <c r="CW136" s="815"/>
      <c r="CX136" s="816"/>
      <c r="CY136" s="816"/>
      <c r="CZ136" s="816"/>
    </row>
    <row r="137" spans="1:104">
      <c r="A137" s="772" t="s">
        <v>1427</v>
      </c>
      <c r="B137" s="759">
        <v>100000000</v>
      </c>
      <c r="G137" s="760"/>
      <c r="H137" s="760"/>
      <c r="I137" s="760"/>
      <c r="J137" s="760"/>
      <c r="K137" s="760"/>
      <c r="L137" s="760"/>
      <c r="M137" s="760"/>
      <c r="N137" s="760"/>
      <c r="O137" s="760"/>
      <c r="P137" s="760"/>
      <c r="Q137" s="760"/>
      <c r="R137" s="760"/>
      <c r="S137" s="760"/>
      <c r="T137" s="760"/>
      <c r="U137" s="760"/>
      <c r="V137" s="760"/>
      <c r="W137" s="760"/>
      <c r="X137" s="760"/>
      <c r="Y137" s="760"/>
      <c r="Z137" s="760"/>
      <c r="AA137" s="760"/>
      <c r="AB137" s="760"/>
      <c r="AC137" s="760"/>
      <c r="AD137" s="760"/>
      <c r="BS137" s="779">
        <f t="shared" si="32"/>
        <v>100000000</v>
      </c>
      <c r="BT137" s="779">
        <v>99897816</v>
      </c>
      <c r="BU137" s="779">
        <v>98024897</v>
      </c>
      <c r="BV137" s="779">
        <v>97332009</v>
      </c>
      <c r="CQ137" s="763">
        <f t="shared" si="34"/>
        <v>100000000</v>
      </c>
      <c r="CR137" s="763">
        <f t="shared" si="34"/>
        <v>99897816</v>
      </c>
      <c r="CS137" s="763">
        <f t="shared" si="34"/>
        <v>98024897</v>
      </c>
      <c r="CT137" s="808">
        <f t="shared" si="33"/>
        <v>97332009</v>
      </c>
      <c r="CU137" s="815"/>
      <c r="CV137" s="815"/>
      <c r="CW137" s="815"/>
      <c r="CX137" s="816"/>
      <c r="CY137" s="816"/>
      <c r="CZ137" s="816"/>
    </row>
    <row r="138" spans="1:104">
      <c r="A138" s="772" t="s">
        <v>1428</v>
      </c>
      <c r="B138" s="759">
        <v>100000000</v>
      </c>
      <c r="G138" s="760"/>
      <c r="H138" s="760"/>
      <c r="I138" s="760"/>
      <c r="J138" s="760"/>
      <c r="K138" s="760"/>
      <c r="L138" s="760"/>
      <c r="M138" s="760"/>
      <c r="N138" s="760"/>
      <c r="O138" s="760"/>
      <c r="P138" s="760"/>
      <c r="Q138" s="760"/>
      <c r="R138" s="760"/>
      <c r="S138" s="760"/>
      <c r="T138" s="760"/>
      <c r="U138" s="760"/>
      <c r="V138" s="760"/>
      <c r="W138" s="760"/>
      <c r="X138" s="760"/>
      <c r="Y138" s="760"/>
      <c r="Z138" s="760"/>
      <c r="AA138" s="760"/>
      <c r="AB138" s="760"/>
      <c r="AC138" s="760"/>
      <c r="AD138" s="760"/>
      <c r="BS138" s="779">
        <f t="shared" si="32"/>
        <v>100000000</v>
      </c>
      <c r="BT138" s="779">
        <v>99897816</v>
      </c>
      <c r="BU138" s="779">
        <v>95887886</v>
      </c>
      <c r="BV138" s="779">
        <v>94236063</v>
      </c>
      <c r="CQ138" s="763">
        <f t="shared" si="34"/>
        <v>100000000</v>
      </c>
      <c r="CR138" s="763">
        <f t="shared" si="34"/>
        <v>99897816</v>
      </c>
      <c r="CS138" s="763">
        <f t="shared" si="34"/>
        <v>95887886</v>
      </c>
      <c r="CT138" s="808">
        <f t="shared" si="33"/>
        <v>94236063</v>
      </c>
      <c r="CU138" s="815"/>
      <c r="CV138" s="815"/>
      <c r="CW138" s="815"/>
      <c r="CX138" s="816"/>
      <c r="CY138" s="816"/>
      <c r="CZ138" s="816"/>
    </row>
    <row r="139" spans="1:104" s="765" customFormat="1" ht="31.5">
      <c r="A139" s="772" t="s">
        <v>1429</v>
      </c>
      <c r="B139" s="759">
        <v>50000000</v>
      </c>
      <c r="C139" s="764"/>
      <c r="D139" s="764"/>
      <c r="E139" s="764"/>
      <c r="F139" s="764"/>
      <c r="G139" s="764"/>
      <c r="H139" s="764"/>
      <c r="I139" s="764"/>
      <c r="J139" s="764"/>
      <c r="K139" s="764"/>
      <c r="L139" s="764"/>
      <c r="M139" s="764"/>
      <c r="N139" s="764"/>
      <c r="O139" s="764"/>
      <c r="P139" s="764"/>
      <c r="Q139" s="764"/>
      <c r="R139" s="764"/>
      <c r="S139" s="764"/>
      <c r="T139" s="764"/>
      <c r="U139" s="764"/>
      <c r="V139" s="764"/>
      <c r="W139" s="764"/>
      <c r="X139" s="764"/>
      <c r="Y139" s="764"/>
      <c r="Z139" s="764"/>
      <c r="AA139" s="764"/>
      <c r="AB139" s="764"/>
      <c r="AC139" s="764"/>
      <c r="AD139" s="764"/>
      <c r="AE139" s="764"/>
      <c r="AF139" s="764"/>
      <c r="AG139" s="764"/>
      <c r="AH139" s="764"/>
      <c r="AI139" s="764"/>
      <c r="AJ139" s="764"/>
      <c r="AK139" s="764"/>
      <c r="AL139" s="764"/>
      <c r="AM139" s="764"/>
      <c r="AN139" s="764"/>
      <c r="AO139" s="764"/>
      <c r="AP139" s="764"/>
      <c r="AQ139" s="764"/>
      <c r="AR139" s="764"/>
      <c r="AS139" s="764"/>
      <c r="AT139" s="764"/>
      <c r="AU139" s="764"/>
      <c r="AV139" s="764"/>
      <c r="AW139" s="764"/>
      <c r="AX139" s="764"/>
      <c r="AY139" s="764"/>
      <c r="AZ139" s="764"/>
      <c r="BA139" s="764"/>
      <c r="BB139" s="764"/>
      <c r="BC139" s="764"/>
      <c r="BD139" s="764"/>
      <c r="BE139" s="764"/>
      <c r="BF139" s="764"/>
      <c r="BG139" s="764"/>
      <c r="BH139" s="764"/>
      <c r="BI139" s="764"/>
      <c r="BJ139" s="764"/>
      <c r="BK139" s="764"/>
      <c r="BL139" s="764"/>
      <c r="BM139" s="764"/>
      <c r="BN139" s="764"/>
      <c r="BO139" s="764"/>
      <c r="BP139" s="764"/>
      <c r="BQ139" s="764"/>
      <c r="BR139" s="764"/>
      <c r="BS139" s="762">
        <f t="shared" si="32"/>
        <v>50000000</v>
      </c>
      <c r="BT139" s="762">
        <v>49974158</v>
      </c>
      <c r="BU139" s="762">
        <v>47921302</v>
      </c>
      <c r="BV139" s="762">
        <v>47118302</v>
      </c>
      <c r="BW139" s="764"/>
      <c r="BX139" s="764"/>
      <c r="BY139" s="764"/>
      <c r="BZ139" s="764"/>
      <c r="CA139" s="764"/>
      <c r="CB139" s="764"/>
      <c r="CC139" s="764"/>
      <c r="CD139" s="764"/>
      <c r="CE139" s="764"/>
      <c r="CF139" s="764"/>
      <c r="CG139" s="764"/>
      <c r="CH139" s="764"/>
      <c r="CI139" s="764"/>
      <c r="CJ139" s="764"/>
      <c r="CK139" s="764"/>
      <c r="CL139" s="764"/>
      <c r="CM139" s="764"/>
      <c r="CN139" s="764"/>
      <c r="CO139" s="764"/>
      <c r="CP139" s="764"/>
      <c r="CQ139" s="763">
        <f t="shared" si="34"/>
        <v>50000000</v>
      </c>
      <c r="CR139" s="763">
        <f t="shared" si="34"/>
        <v>49974158</v>
      </c>
      <c r="CS139" s="763">
        <f t="shared" si="34"/>
        <v>47921302</v>
      </c>
      <c r="CT139" s="808">
        <f t="shared" si="33"/>
        <v>47118302</v>
      </c>
      <c r="CU139" s="815"/>
      <c r="CV139" s="815"/>
      <c r="CW139" s="815"/>
      <c r="CX139" s="816"/>
      <c r="CY139" s="816"/>
      <c r="CZ139" s="816"/>
    </row>
    <row r="140" spans="1:104" ht="47.25">
      <c r="A140" s="772" t="s">
        <v>677</v>
      </c>
      <c r="B140" s="759">
        <v>130000000</v>
      </c>
      <c r="G140" s="760"/>
      <c r="H140" s="760"/>
      <c r="I140" s="760"/>
      <c r="J140" s="760"/>
      <c r="K140" s="760"/>
      <c r="L140" s="760"/>
      <c r="M140" s="760"/>
      <c r="N140" s="760"/>
      <c r="O140" s="760"/>
      <c r="P140" s="760"/>
      <c r="Q140" s="760"/>
      <c r="R140" s="760"/>
      <c r="S140" s="760"/>
      <c r="T140" s="760"/>
      <c r="U140" s="760"/>
      <c r="V140" s="760"/>
      <c r="W140" s="760"/>
      <c r="X140" s="760"/>
      <c r="Y140" s="760"/>
      <c r="Z140" s="760"/>
      <c r="AA140" s="760"/>
      <c r="AB140" s="760"/>
      <c r="AC140" s="760"/>
      <c r="AD140" s="760"/>
      <c r="BS140" s="762">
        <f t="shared" si="32"/>
        <v>130000000</v>
      </c>
      <c r="BT140" s="762">
        <v>129932703</v>
      </c>
      <c r="BU140" s="762">
        <v>127377913</v>
      </c>
      <c r="BV140" s="762">
        <v>127245449</v>
      </c>
      <c r="CQ140" s="763">
        <f t="shared" si="34"/>
        <v>130000000</v>
      </c>
      <c r="CR140" s="763">
        <f t="shared" si="34"/>
        <v>129932703</v>
      </c>
      <c r="CS140" s="763">
        <f t="shared" si="34"/>
        <v>127377913</v>
      </c>
      <c r="CT140" s="808">
        <f t="shared" si="33"/>
        <v>127245449</v>
      </c>
      <c r="CU140" s="815"/>
      <c r="CV140" s="815"/>
      <c r="CW140" s="815"/>
      <c r="CX140" s="816"/>
      <c r="CY140" s="816"/>
      <c r="CZ140" s="816"/>
    </row>
    <row r="141" spans="1:104" ht="63">
      <c r="A141" s="772" t="s">
        <v>1430</v>
      </c>
      <c r="B141" s="759">
        <v>102500000</v>
      </c>
      <c r="G141" s="760"/>
      <c r="H141" s="760"/>
      <c r="I141" s="760"/>
      <c r="J141" s="760"/>
      <c r="K141" s="760"/>
      <c r="L141" s="760"/>
      <c r="M141" s="760"/>
      <c r="N141" s="760"/>
      <c r="O141" s="760"/>
      <c r="P141" s="760"/>
      <c r="Q141" s="760"/>
      <c r="R141" s="760"/>
      <c r="S141" s="760"/>
      <c r="T141" s="760"/>
      <c r="U141" s="760"/>
      <c r="V141" s="760"/>
      <c r="W141" s="760"/>
      <c r="X141" s="760"/>
      <c r="Y141" s="760"/>
      <c r="Z141" s="760"/>
      <c r="AA141" s="760"/>
      <c r="AB141" s="760"/>
      <c r="AC141" s="760"/>
      <c r="AD141" s="760"/>
      <c r="BS141" s="762">
        <f t="shared" si="32"/>
        <v>102500000</v>
      </c>
      <c r="BT141" s="762">
        <v>102447239</v>
      </c>
      <c r="BU141" s="762">
        <v>100744758</v>
      </c>
      <c r="BV141" s="762">
        <v>96780592</v>
      </c>
      <c r="CQ141" s="763">
        <f t="shared" si="34"/>
        <v>102500000</v>
      </c>
      <c r="CR141" s="763">
        <f t="shared" si="34"/>
        <v>102447239</v>
      </c>
      <c r="CS141" s="763">
        <f t="shared" si="34"/>
        <v>100744758</v>
      </c>
      <c r="CT141" s="808">
        <f t="shared" si="33"/>
        <v>96780592</v>
      </c>
      <c r="CU141" s="815"/>
      <c r="CV141" s="815"/>
      <c r="CW141" s="815"/>
      <c r="CX141" s="816"/>
      <c r="CY141" s="816"/>
      <c r="CZ141" s="816"/>
    </row>
    <row r="142" spans="1:104" ht="31.5">
      <c r="A142" s="772" t="s">
        <v>1431</v>
      </c>
      <c r="B142" s="759">
        <v>50000000</v>
      </c>
      <c r="G142" s="760"/>
      <c r="H142" s="760"/>
      <c r="I142" s="760"/>
      <c r="J142" s="760"/>
      <c r="K142" s="760"/>
      <c r="L142" s="760"/>
      <c r="M142" s="760"/>
      <c r="N142" s="760"/>
      <c r="O142" s="760"/>
      <c r="P142" s="760"/>
      <c r="Q142" s="760"/>
      <c r="R142" s="760"/>
      <c r="S142" s="760"/>
      <c r="T142" s="760"/>
      <c r="U142" s="760"/>
      <c r="V142" s="760"/>
      <c r="W142" s="760"/>
      <c r="X142" s="760"/>
      <c r="Y142" s="760"/>
      <c r="Z142" s="760"/>
      <c r="AA142" s="760"/>
      <c r="AB142" s="760"/>
      <c r="AC142" s="760"/>
      <c r="AD142" s="760"/>
      <c r="BS142" s="779">
        <f t="shared" si="32"/>
        <v>50000000</v>
      </c>
      <c r="BT142" s="779">
        <v>49517290</v>
      </c>
      <c r="BU142" s="779">
        <v>42800491</v>
      </c>
      <c r="BV142" s="779">
        <v>42800491</v>
      </c>
      <c r="CQ142" s="763">
        <f t="shared" si="34"/>
        <v>50000000</v>
      </c>
      <c r="CR142" s="763">
        <f t="shared" si="34"/>
        <v>49517290</v>
      </c>
      <c r="CS142" s="763">
        <f t="shared" si="34"/>
        <v>42800491</v>
      </c>
      <c r="CT142" s="808">
        <f t="shared" si="33"/>
        <v>42800491</v>
      </c>
      <c r="CU142" s="815"/>
      <c r="CV142" s="815"/>
      <c r="CW142" s="815"/>
      <c r="CX142" s="816"/>
      <c r="CY142" s="816"/>
      <c r="CZ142" s="816"/>
    </row>
    <row r="143" spans="1:104" ht="31.5">
      <c r="A143" s="772" t="s">
        <v>1432</v>
      </c>
      <c r="B143" s="759">
        <v>50000000</v>
      </c>
      <c r="G143" s="760"/>
      <c r="H143" s="760"/>
      <c r="I143" s="760"/>
      <c r="J143" s="760"/>
      <c r="K143" s="760"/>
      <c r="L143" s="760"/>
      <c r="M143" s="760"/>
      <c r="N143" s="760"/>
      <c r="O143" s="760"/>
      <c r="P143" s="760"/>
      <c r="Q143" s="760"/>
      <c r="R143" s="760"/>
      <c r="S143" s="760"/>
      <c r="T143" s="760"/>
      <c r="U143" s="760"/>
      <c r="V143" s="760"/>
      <c r="W143" s="760"/>
      <c r="X143" s="760"/>
      <c r="Y143" s="760"/>
      <c r="Z143" s="760"/>
      <c r="AA143" s="760"/>
      <c r="AB143" s="760"/>
      <c r="AC143" s="760"/>
      <c r="AD143" s="760"/>
      <c r="BS143" s="779">
        <f t="shared" si="32"/>
        <v>50000000</v>
      </c>
      <c r="BT143" s="779">
        <v>49974158</v>
      </c>
      <c r="BU143" s="779">
        <v>48121302</v>
      </c>
      <c r="BV143" s="779">
        <v>47318032</v>
      </c>
      <c r="CQ143" s="763">
        <f t="shared" si="34"/>
        <v>50000000</v>
      </c>
      <c r="CR143" s="763">
        <f t="shared" si="34"/>
        <v>49974158</v>
      </c>
      <c r="CS143" s="763">
        <f t="shared" si="34"/>
        <v>48121302</v>
      </c>
      <c r="CT143" s="808">
        <f t="shared" si="33"/>
        <v>47318032</v>
      </c>
      <c r="CU143" s="815"/>
      <c r="CV143" s="815"/>
      <c r="CW143" s="815"/>
      <c r="CX143" s="816"/>
      <c r="CY143" s="816"/>
      <c r="CZ143" s="816"/>
    </row>
    <row r="144" spans="1:104" ht="31.5">
      <c r="A144" s="772" t="s">
        <v>681</v>
      </c>
      <c r="B144" s="759">
        <v>50000000</v>
      </c>
      <c r="G144" s="760"/>
      <c r="H144" s="760"/>
      <c r="I144" s="760"/>
      <c r="J144" s="760"/>
      <c r="K144" s="760"/>
      <c r="L144" s="760"/>
      <c r="M144" s="760"/>
      <c r="N144" s="760"/>
      <c r="O144" s="760"/>
      <c r="P144" s="760"/>
      <c r="Q144" s="760"/>
      <c r="R144" s="760"/>
      <c r="S144" s="760"/>
      <c r="T144" s="760"/>
      <c r="U144" s="760"/>
      <c r="V144" s="760"/>
      <c r="W144" s="760"/>
      <c r="X144" s="760"/>
      <c r="Y144" s="760"/>
      <c r="Z144" s="760"/>
      <c r="AA144" s="760"/>
      <c r="AB144" s="760"/>
      <c r="AC144" s="760"/>
      <c r="AD144" s="760"/>
      <c r="BS144" s="779">
        <f t="shared" si="32"/>
        <v>50000000</v>
      </c>
      <c r="BT144" s="779">
        <v>49974158</v>
      </c>
      <c r="BU144" s="779">
        <v>45099695</v>
      </c>
      <c r="BV144" s="779">
        <v>44921225</v>
      </c>
      <c r="CQ144" s="763">
        <f t="shared" si="34"/>
        <v>50000000</v>
      </c>
      <c r="CR144" s="763">
        <f t="shared" si="34"/>
        <v>49974158</v>
      </c>
      <c r="CS144" s="763">
        <f t="shared" si="34"/>
        <v>45099695</v>
      </c>
      <c r="CT144" s="808">
        <f t="shared" si="33"/>
        <v>44921225</v>
      </c>
      <c r="CU144" s="815"/>
      <c r="CV144" s="815"/>
      <c r="CW144" s="815"/>
      <c r="CX144" s="816"/>
      <c r="CY144" s="816"/>
      <c r="CZ144" s="816"/>
    </row>
    <row r="145" spans="1:104" ht="31.5">
      <c r="A145" s="772" t="s">
        <v>682</v>
      </c>
      <c r="B145" s="759">
        <v>50000000</v>
      </c>
      <c r="G145" s="760"/>
      <c r="H145" s="760"/>
      <c r="I145" s="760"/>
      <c r="J145" s="760"/>
      <c r="K145" s="760"/>
      <c r="L145" s="760"/>
      <c r="M145" s="760"/>
      <c r="N145" s="760"/>
      <c r="O145" s="760"/>
      <c r="P145" s="760"/>
      <c r="Q145" s="760"/>
      <c r="R145" s="760"/>
      <c r="S145" s="760"/>
      <c r="T145" s="760"/>
      <c r="U145" s="760"/>
      <c r="V145" s="760"/>
      <c r="W145" s="760"/>
      <c r="X145" s="760"/>
      <c r="Y145" s="760"/>
      <c r="Z145" s="760"/>
      <c r="AA145" s="760"/>
      <c r="AB145" s="760"/>
      <c r="AC145" s="760"/>
      <c r="AD145" s="760"/>
      <c r="BS145" s="762">
        <f t="shared" si="32"/>
        <v>50000000</v>
      </c>
      <c r="BT145" s="762">
        <v>48189444</v>
      </c>
      <c r="BU145" s="762">
        <v>40343942</v>
      </c>
      <c r="BV145" s="762">
        <v>39849075</v>
      </c>
      <c r="CQ145" s="763">
        <f t="shared" si="34"/>
        <v>50000000</v>
      </c>
      <c r="CR145" s="763">
        <f t="shared" si="34"/>
        <v>48189444</v>
      </c>
      <c r="CS145" s="763">
        <f t="shared" si="34"/>
        <v>40343942</v>
      </c>
      <c r="CT145" s="808">
        <f t="shared" si="33"/>
        <v>39849075</v>
      </c>
      <c r="CU145" s="815"/>
      <c r="CV145" s="815"/>
      <c r="CW145" s="815"/>
      <c r="CX145" s="816"/>
      <c r="CY145" s="816"/>
      <c r="CZ145" s="816"/>
    </row>
    <row r="146" spans="1:104" ht="31.5">
      <c r="A146" s="772" t="s">
        <v>1433</v>
      </c>
      <c r="B146" s="759">
        <v>85000000</v>
      </c>
      <c r="G146" s="760"/>
      <c r="H146" s="760"/>
      <c r="I146" s="760"/>
      <c r="J146" s="760"/>
      <c r="K146" s="760"/>
      <c r="L146" s="760"/>
      <c r="M146" s="760"/>
      <c r="N146" s="760"/>
      <c r="O146" s="760"/>
      <c r="P146" s="760"/>
      <c r="Q146" s="760"/>
      <c r="R146" s="760"/>
      <c r="S146" s="760"/>
      <c r="T146" s="760"/>
      <c r="U146" s="760"/>
      <c r="V146" s="760"/>
      <c r="W146" s="760"/>
      <c r="X146" s="760"/>
      <c r="Y146" s="760"/>
      <c r="Z146" s="760"/>
      <c r="AA146" s="760"/>
      <c r="AB146" s="760"/>
      <c r="AC146" s="760"/>
      <c r="AD146" s="760"/>
      <c r="BS146" s="762">
        <f t="shared" si="32"/>
        <v>85000000</v>
      </c>
      <c r="BT146" s="762">
        <v>83877190</v>
      </c>
      <c r="BU146" s="762">
        <v>79597592</v>
      </c>
      <c r="BV146" s="762">
        <v>71942464</v>
      </c>
      <c r="CQ146" s="763">
        <f t="shared" si="34"/>
        <v>85000000</v>
      </c>
      <c r="CR146" s="763">
        <f t="shared" si="34"/>
        <v>83877190</v>
      </c>
      <c r="CS146" s="763">
        <f t="shared" si="34"/>
        <v>79597592</v>
      </c>
      <c r="CT146" s="808">
        <f t="shared" si="33"/>
        <v>71942464</v>
      </c>
      <c r="CU146" s="815"/>
      <c r="CV146" s="815"/>
      <c r="CW146" s="815"/>
      <c r="CX146" s="816"/>
      <c r="CY146" s="816"/>
      <c r="CZ146" s="816"/>
    </row>
    <row r="147" spans="1:104" s="765" customFormat="1" ht="31.5">
      <c r="A147" s="772" t="s">
        <v>684</v>
      </c>
      <c r="B147" s="759">
        <v>125000000</v>
      </c>
      <c r="C147" s="764"/>
      <c r="D147" s="764"/>
      <c r="E147" s="764"/>
      <c r="F147" s="764"/>
      <c r="G147" s="764"/>
      <c r="H147" s="764"/>
      <c r="I147" s="764"/>
      <c r="J147" s="764"/>
      <c r="K147" s="764"/>
      <c r="L147" s="764"/>
      <c r="M147" s="764"/>
      <c r="N147" s="764"/>
      <c r="O147" s="764"/>
      <c r="P147" s="764"/>
      <c r="Q147" s="764"/>
      <c r="R147" s="764"/>
      <c r="S147" s="764"/>
      <c r="T147" s="764"/>
      <c r="U147" s="764"/>
      <c r="V147" s="764"/>
      <c r="W147" s="764"/>
      <c r="X147" s="764"/>
      <c r="Y147" s="764"/>
      <c r="Z147" s="764"/>
      <c r="AA147" s="764"/>
      <c r="AB147" s="764"/>
      <c r="AC147" s="764"/>
      <c r="AD147" s="764"/>
      <c r="AE147" s="764"/>
      <c r="AF147" s="764"/>
      <c r="AG147" s="764"/>
      <c r="AH147" s="764"/>
      <c r="AI147" s="764"/>
      <c r="AJ147" s="764"/>
      <c r="AK147" s="764"/>
      <c r="AL147" s="764"/>
      <c r="AM147" s="764"/>
      <c r="AN147" s="764"/>
      <c r="AO147" s="764"/>
      <c r="AP147" s="764"/>
      <c r="AQ147" s="764"/>
      <c r="AR147" s="764"/>
      <c r="AS147" s="764"/>
      <c r="AT147" s="764"/>
      <c r="AU147" s="764"/>
      <c r="AV147" s="764"/>
      <c r="AW147" s="764"/>
      <c r="AX147" s="764"/>
      <c r="AY147" s="764"/>
      <c r="AZ147" s="764"/>
      <c r="BA147" s="764"/>
      <c r="BB147" s="764"/>
      <c r="BC147" s="764"/>
      <c r="BD147" s="764"/>
      <c r="BE147" s="764"/>
      <c r="BF147" s="764"/>
      <c r="BG147" s="764"/>
      <c r="BH147" s="764"/>
      <c r="BI147" s="764"/>
      <c r="BJ147" s="764"/>
      <c r="BK147" s="764"/>
      <c r="BL147" s="764"/>
      <c r="BM147" s="764"/>
      <c r="BN147" s="764"/>
      <c r="BO147" s="764"/>
      <c r="BP147" s="764"/>
      <c r="BQ147" s="764"/>
      <c r="BR147" s="764"/>
      <c r="BS147" s="762">
        <f t="shared" si="32"/>
        <v>125000000</v>
      </c>
      <c r="BT147" s="762">
        <v>124935395</v>
      </c>
      <c r="BU147" s="762">
        <v>106661407.90000001</v>
      </c>
      <c r="BV147" s="762">
        <v>105970591.90000001</v>
      </c>
      <c r="BW147" s="764"/>
      <c r="BX147" s="764"/>
      <c r="BY147" s="764"/>
      <c r="BZ147" s="764"/>
      <c r="CA147" s="764"/>
      <c r="CB147" s="764"/>
      <c r="CC147" s="764"/>
      <c r="CD147" s="764"/>
      <c r="CE147" s="764"/>
      <c r="CF147" s="764"/>
      <c r="CG147" s="764"/>
      <c r="CH147" s="764"/>
      <c r="CI147" s="764"/>
      <c r="CJ147" s="764"/>
      <c r="CK147" s="764"/>
      <c r="CL147" s="764"/>
      <c r="CM147" s="764"/>
      <c r="CN147" s="764"/>
      <c r="CO147" s="764"/>
      <c r="CP147" s="764"/>
      <c r="CQ147" s="763">
        <f t="shared" si="34"/>
        <v>125000000</v>
      </c>
      <c r="CR147" s="763">
        <f t="shared" si="34"/>
        <v>124935395</v>
      </c>
      <c r="CS147" s="763">
        <f t="shared" si="34"/>
        <v>106661407.90000001</v>
      </c>
      <c r="CT147" s="808">
        <f t="shared" si="33"/>
        <v>105970591.90000001</v>
      </c>
      <c r="CU147" s="815"/>
      <c r="CV147" s="815"/>
      <c r="CW147" s="815"/>
      <c r="CX147" s="816"/>
      <c r="CY147" s="816"/>
      <c r="CZ147" s="816"/>
    </row>
    <row r="148" spans="1:104" ht="31.5">
      <c r="A148" s="772" t="s">
        <v>1434</v>
      </c>
      <c r="B148" s="759">
        <v>190000000</v>
      </c>
      <c r="G148" s="760"/>
      <c r="H148" s="760"/>
      <c r="I148" s="760"/>
      <c r="J148" s="760"/>
      <c r="K148" s="760"/>
      <c r="L148" s="760"/>
      <c r="M148" s="760"/>
      <c r="N148" s="760"/>
      <c r="O148" s="769"/>
      <c r="P148" s="769"/>
      <c r="Q148" s="769"/>
      <c r="R148" s="769"/>
      <c r="S148" s="777"/>
      <c r="T148" s="777"/>
      <c r="U148" s="777"/>
      <c r="V148" s="777"/>
      <c r="W148" s="760"/>
      <c r="X148" s="760"/>
      <c r="Y148" s="760"/>
      <c r="Z148" s="760"/>
      <c r="AA148" s="760"/>
      <c r="AB148" s="760"/>
      <c r="AC148" s="760"/>
      <c r="AD148" s="760"/>
      <c r="BS148" s="762">
        <f t="shared" si="32"/>
        <v>190000000</v>
      </c>
      <c r="BT148" s="762">
        <v>187984459</v>
      </c>
      <c r="BU148" s="762">
        <v>165461038</v>
      </c>
      <c r="BV148" s="762">
        <v>159884332</v>
      </c>
      <c r="CQ148" s="763">
        <f t="shared" si="34"/>
        <v>190000000</v>
      </c>
      <c r="CR148" s="763">
        <f t="shared" si="34"/>
        <v>187984459</v>
      </c>
      <c r="CS148" s="763">
        <f t="shared" si="34"/>
        <v>165461038</v>
      </c>
      <c r="CT148" s="808">
        <f t="shared" si="33"/>
        <v>159884332</v>
      </c>
      <c r="CU148" s="815"/>
      <c r="CV148" s="815"/>
      <c r="CW148" s="815"/>
      <c r="CX148" s="816"/>
      <c r="CY148" s="816"/>
      <c r="CZ148" s="816"/>
    </row>
    <row r="149" spans="1:104" ht="31.5">
      <c r="A149" s="772" t="s">
        <v>686</v>
      </c>
      <c r="B149" s="759">
        <v>180000000</v>
      </c>
      <c r="G149" s="791"/>
      <c r="H149" s="791"/>
      <c r="I149" s="791"/>
      <c r="J149" s="791"/>
      <c r="K149" s="791"/>
      <c r="L149" s="791"/>
      <c r="M149" s="791"/>
      <c r="N149" s="791"/>
      <c r="O149" s="791"/>
      <c r="P149" s="791"/>
      <c r="Q149" s="791"/>
      <c r="R149" s="791"/>
      <c r="S149" s="760"/>
      <c r="T149" s="760"/>
      <c r="U149" s="760"/>
      <c r="V149" s="760"/>
      <c r="W149" s="760"/>
      <c r="X149" s="760"/>
      <c r="Y149" s="760"/>
      <c r="Z149" s="760"/>
      <c r="AA149" s="760"/>
      <c r="AB149" s="760"/>
      <c r="AC149" s="760"/>
      <c r="AD149" s="760"/>
      <c r="BS149" s="762">
        <f t="shared" si="32"/>
        <v>180000000</v>
      </c>
      <c r="BT149" s="762">
        <v>179908477</v>
      </c>
      <c r="BU149" s="762">
        <v>177267972</v>
      </c>
      <c r="BV149" s="762">
        <v>177266998</v>
      </c>
      <c r="CQ149" s="763">
        <f t="shared" si="34"/>
        <v>180000000</v>
      </c>
      <c r="CR149" s="763">
        <f t="shared" si="34"/>
        <v>179908477</v>
      </c>
      <c r="CS149" s="763">
        <f t="shared" si="34"/>
        <v>177267972</v>
      </c>
      <c r="CT149" s="808">
        <f t="shared" si="33"/>
        <v>177266998</v>
      </c>
      <c r="CU149" s="815"/>
      <c r="CV149" s="815"/>
      <c r="CW149" s="815"/>
      <c r="CX149" s="816"/>
      <c r="CY149" s="816"/>
      <c r="CZ149" s="816"/>
    </row>
    <row r="150" spans="1:104" ht="31.5">
      <c r="A150" s="772" t="s">
        <v>688</v>
      </c>
      <c r="B150" s="759">
        <v>50000000</v>
      </c>
      <c r="G150" s="760"/>
      <c r="H150" s="760"/>
      <c r="I150" s="760"/>
      <c r="J150" s="760"/>
      <c r="K150" s="760"/>
      <c r="L150" s="760"/>
      <c r="M150" s="760"/>
      <c r="N150" s="760"/>
      <c r="O150" s="760"/>
      <c r="P150" s="760"/>
      <c r="Q150" s="760"/>
      <c r="R150" s="760"/>
      <c r="S150" s="760"/>
      <c r="T150" s="760"/>
      <c r="U150" s="760"/>
      <c r="V150" s="760"/>
      <c r="W150" s="760"/>
      <c r="X150" s="760"/>
      <c r="Y150" s="760"/>
      <c r="Z150" s="760"/>
      <c r="AA150" s="760"/>
      <c r="AB150" s="760"/>
      <c r="AC150" s="760"/>
      <c r="AD150" s="760"/>
      <c r="BS150" s="762">
        <f>+B150</f>
        <v>50000000</v>
      </c>
      <c r="BT150" s="762">
        <v>49150353</v>
      </c>
      <c r="BU150" s="762">
        <v>48404799</v>
      </c>
      <c r="BV150" s="762">
        <v>48404799</v>
      </c>
      <c r="CQ150" s="763">
        <f t="shared" si="34"/>
        <v>50000000</v>
      </c>
      <c r="CR150" s="763">
        <f t="shared" si="34"/>
        <v>49150353</v>
      </c>
      <c r="CS150" s="763">
        <f t="shared" si="34"/>
        <v>48404799</v>
      </c>
      <c r="CT150" s="808">
        <f t="shared" si="33"/>
        <v>48404799</v>
      </c>
      <c r="CU150" s="815"/>
      <c r="CV150" s="815"/>
      <c r="CW150" s="815"/>
      <c r="CX150" s="816"/>
      <c r="CY150" s="816"/>
      <c r="CZ150" s="816"/>
    </row>
    <row r="151" spans="1:104" ht="31.5">
      <c r="A151" s="772" t="s">
        <v>689</v>
      </c>
      <c r="B151" s="759">
        <v>80000000</v>
      </c>
      <c r="G151" s="760"/>
      <c r="H151" s="760"/>
      <c r="I151" s="760"/>
      <c r="J151" s="760"/>
      <c r="K151" s="760"/>
      <c r="L151" s="760"/>
      <c r="M151" s="760"/>
      <c r="N151" s="760"/>
      <c r="O151" s="760"/>
      <c r="P151" s="760"/>
      <c r="Q151" s="760"/>
      <c r="R151" s="760"/>
      <c r="S151" s="760"/>
      <c r="T151" s="760"/>
      <c r="U151" s="760"/>
      <c r="V151" s="760"/>
      <c r="W151" s="760"/>
      <c r="X151" s="760"/>
      <c r="Y151" s="760"/>
      <c r="Z151" s="760"/>
      <c r="AA151" s="760"/>
      <c r="AB151" s="760"/>
      <c r="AC151" s="760"/>
      <c r="AD151" s="760"/>
      <c r="BS151" s="762">
        <f>+B151</f>
        <v>80000000</v>
      </c>
      <c r="BT151" s="762">
        <v>79282350</v>
      </c>
      <c r="BU151" s="762">
        <v>78086357</v>
      </c>
      <c r="BV151" s="762">
        <v>78086357</v>
      </c>
      <c r="CQ151" s="763">
        <f t="shared" si="34"/>
        <v>80000000</v>
      </c>
      <c r="CR151" s="763">
        <f t="shared" si="34"/>
        <v>79282350</v>
      </c>
      <c r="CS151" s="763">
        <f t="shared" si="34"/>
        <v>78086357</v>
      </c>
      <c r="CT151" s="808">
        <f t="shared" si="33"/>
        <v>78086357</v>
      </c>
      <c r="CU151" s="815"/>
      <c r="CV151" s="815"/>
      <c r="CW151" s="815"/>
      <c r="CX151" s="816"/>
      <c r="CY151" s="816"/>
      <c r="CZ151" s="816"/>
    </row>
    <row r="152" spans="1:104">
      <c r="A152" s="786" t="s">
        <v>690</v>
      </c>
      <c r="B152" s="759">
        <v>220000000</v>
      </c>
      <c r="G152" s="760"/>
      <c r="H152" s="760"/>
      <c r="I152" s="760"/>
      <c r="J152" s="760"/>
      <c r="K152" s="760"/>
      <c r="L152" s="760"/>
      <c r="M152" s="760"/>
      <c r="N152" s="760"/>
      <c r="O152" s="760"/>
      <c r="P152" s="760"/>
      <c r="Q152" s="760"/>
      <c r="R152" s="760"/>
      <c r="S152" s="760"/>
      <c r="T152" s="760"/>
      <c r="U152" s="760"/>
      <c r="V152" s="760"/>
      <c r="W152" s="760"/>
      <c r="X152" s="760"/>
      <c r="Y152" s="760"/>
      <c r="Z152" s="760"/>
      <c r="AA152" s="760"/>
      <c r="AB152" s="760"/>
      <c r="AC152" s="760"/>
      <c r="AD152" s="760"/>
      <c r="BK152" s="759">
        <v>43855368.969999999</v>
      </c>
      <c r="BL152" s="792">
        <v>43583546.017448246</v>
      </c>
      <c r="BM152" s="792">
        <v>42930234.180642851</v>
      </c>
      <c r="BN152" s="792">
        <v>42451811.973697394</v>
      </c>
      <c r="BO152" s="759">
        <v>16224093.99</v>
      </c>
      <c r="BP152" s="792">
        <v>16123534.326852355</v>
      </c>
      <c r="BQ152" s="792">
        <v>15881844.588650379</v>
      </c>
      <c r="BR152" s="792">
        <v>15704854.472395834</v>
      </c>
      <c r="BS152" s="762">
        <v>79076602.040000007</v>
      </c>
      <c r="BT152" s="792">
        <v>78586471.961309373</v>
      </c>
      <c r="BU152" s="792">
        <v>77408470.696232304</v>
      </c>
      <c r="BV152" s="792">
        <v>76545816.855795935</v>
      </c>
      <c r="BW152" s="779">
        <v>80843935</v>
      </c>
      <c r="BX152" s="792">
        <v>80342850.694390029</v>
      </c>
      <c r="BY152" s="792">
        <v>79138521.534474477</v>
      </c>
      <c r="BZ152" s="792">
        <v>78256587.698110834</v>
      </c>
      <c r="CQ152" s="763">
        <f t="shared" si="34"/>
        <v>220000000</v>
      </c>
      <c r="CR152" s="763">
        <f t="shared" si="34"/>
        <v>218636403</v>
      </c>
      <c r="CS152" s="763">
        <f t="shared" si="34"/>
        <v>215359071</v>
      </c>
      <c r="CT152" s="808">
        <f t="shared" si="33"/>
        <v>212959071</v>
      </c>
      <c r="CU152" s="815"/>
      <c r="CV152" s="815"/>
      <c r="CW152" s="815"/>
      <c r="CX152" s="816"/>
      <c r="CY152" s="816"/>
      <c r="CZ152" s="816"/>
    </row>
    <row r="153" spans="1:104">
      <c r="A153" s="772" t="s">
        <v>691</v>
      </c>
      <c r="B153" s="759">
        <v>185000000</v>
      </c>
      <c r="G153" s="760"/>
      <c r="H153" s="760"/>
      <c r="I153" s="760"/>
      <c r="J153" s="760"/>
      <c r="K153" s="760"/>
      <c r="L153" s="760"/>
      <c r="M153" s="760"/>
      <c r="N153" s="760"/>
      <c r="O153" s="760"/>
      <c r="P153" s="760"/>
      <c r="Q153" s="760"/>
      <c r="R153" s="760"/>
      <c r="S153" s="760"/>
      <c r="T153" s="760"/>
      <c r="U153" s="760"/>
      <c r="V153" s="760"/>
      <c r="W153" s="760"/>
      <c r="X153" s="760"/>
      <c r="Y153" s="760"/>
      <c r="Z153" s="760"/>
      <c r="AA153" s="760"/>
      <c r="AB153" s="760"/>
      <c r="AC153" s="760"/>
      <c r="AD153" s="760"/>
      <c r="BK153" s="759"/>
      <c r="BL153" s="759"/>
      <c r="BM153" s="759"/>
      <c r="BN153" s="759"/>
      <c r="BO153" s="759"/>
      <c r="BP153" s="759"/>
      <c r="BQ153" s="759"/>
      <c r="BR153" s="759"/>
      <c r="BS153" s="759"/>
      <c r="BT153" s="759"/>
      <c r="BU153" s="759"/>
      <c r="BV153" s="759"/>
      <c r="BW153" s="779">
        <f t="shared" ref="BW153:BW158" si="35">+B153</f>
        <v>185000000</v>
      </c>
      <c r="BX153" s="779">
        <v>184904170</v>
      </c>
      <c r="BY153" s="779">
        <v>181801172</v>
      </c>
      <c r="BZ153" s="779">
        <v>180776462</v>
      </c>
      <c r="CA153" s="759"/>
      <c r="CB153" s="759"/>
      <c r="CC153" s="759"/>
      <c r="CD153" s="759"/>
      <c r="CE153" s="759"/>
      <c r="CF153" s="759"/>
      <c r="CG153" s="759"/>
      <c r="CH153" s="759"/>
      <c r="CI153" s="759"/>
      <c r="CJ153" s="759"/>
      <c r="CK153" s="759"/>
      <c r="CL153" s="759"/>
      <c r="CM153" s="759"/>
      <c r="CN153" s="759"/>
      <c r="CO153" s="759"/>
      <c r="CP153" s="759"/>
      <c r="CQ153" s="763">
        <f t="shared" si="34"/>
        <v>185000000</v>
      </c>
      <c r="CR153" s="763">
        <f t="shared" si="34"/>
        <v>184904170</v>
      </c>
      <c r="CS153" s="763">
        <f t="shared" si="34"/>
        <v>181801172</v>
      </c>
      <c r="CT153" s="808">
        <f t="shared" si="33"/>
        <v>180776462</v>
      </c>
      <c r="CU153" s="815"/>
      <c r="CV153" s="815"/>
      <c r="CW153" s="815"/>
      <c r="CX153" s="816"/>
      <c r="CY153" s="816"/>
      <c r="CZ153" s="816"/>
    </row>
    <row r="154" spans="1:104" ht="31.5" customHeight="1">
      <c r="A154" s="772" t="s">
        <v>692</v>
      </c>
      <c r="B154" s="759">
        <v>140000000</v>
      </c>
      <c r="G154" s="760"/>
      <c r="H154" s="760"/>
      <c r="I154" s="760"/>
      <c r="J154" s="760"/>
      <c r="K154" s="760"/>
      <c r="L154" s="760"/>
      <c r="M154" s="760"/>
      <c r="N154" s="760"/>
      <c r="O154" s="760"/>
      <c r="P154" s="760"/>
      <c r="Q154" s="760"/>
      <c r="R154" s="760"/>
      <c r="S154" s="760"/>
      <c r="T154" s="760"/>
      <c r="U154" s="760"/>
      <c r="V154" s="760"/>
      <c r="W154" s="760"/>
      <c r="X154" s="760"/>
      <c r="Y154" s="760"/>
      <c r="Z154" s="760"/>
      <c r="AA154" s="760"/>
      <c r="AB154" s="760"/>
      <c r="AC154" s="760"/>
      <c r="AD154" s="760"/>
      <c r="AE154" s="777"/>
      <c r="AF154" s="777"/>
      <c r="AG154" s="777"/>
      <c r="AH154" s="777"/>
      <c r="AI154" s="777"/>
      <c r="AJ154" s="777"/>
      <c r="AK154" s="777"/>
      <c r="AL154" s="777"/>
      <c r="AM154" s="777"/>
      <c r="AN154" s="777"/>
      <c r="AO154" s="777"/>
      <c r="AP154" s="777"/>
      <c r="AQ154" s="777"/>
      <c r="AR154" s="777"/>
      <c r="AS154" s="777"/>
      <c r="AT154" s="777"/>
      <c r="BK154" s="759"/>
      <c r="BL154" s="759"/>
      <c r="BM154" s="759"/>
      <c r="BN154" s="759"/>
      <c r="BO154" s="759"/>
      <c r="BP154" s="759"/>
      <c r="BQ154" s="759"/>
      <c r="BR154" s="759"/>
      <c r="BS154" s="759"/>
      <c r="BT154" s="759"/>
      <c r="BU154" s="759"/>
      <c r="BV154" s="759"/>
      <c r="BW154" s="779">
        <f t="shared" si="35"/>
        <v>140000000</v>
      </c>
      <c r="BX154" s="779">
        <v>139927858</v>
      </c>
      <c r="BY154" s="779">
        <v>137753394</v>
      </c>
      <c r="BZ154" s="779">
        <v>137471263</v>
      </c>
      <c r="CA154" s="759"/>
      <c r="CB154" s="759"/>
      <c r="CC154" s="759"/>
      <c r="CD154" s="759"/>
      <c r="CE154" s="759"/>
      <c r="CF154" s="759"/>
      <c r="CG154" s="759"/>
      <c r="CH154" s="759"/>
      <c r="CI154" s="759"/>
      <c r="CJ154" s="759"/>
      <c r="CK154" s="759"/>
      <c r="CL154" s="759"/>
      <c r="CM154" s="759"/>
      <c r="CN154" s="759"/>
      <c r="CO154" s="759"/>
      <c r="CP154" s="759"/>
      <c r="CQ154" s="763">
        <f t="shared" si="34"/>
        <v>140000000</v>
      </c>
      <c r="CR154" s="763">
        <f t="shared" si="34"/>
        <v>139927858</v>
      </c>
      <c r="CS154" s="763">
        <f t="shared" si="34"/>
        <v>137753394</v>
      </c>
      <c r="CT154" s="808">
        <f t="shared" si="33"/>
        <v>137471263</v>
      </c>
      <c r="CU154" s="815"/>
      <c r="CV154" s="815"/>
      <c r="CW154" s="815"/>
      <c r="CX154" s="816"/>
      <c r="CY154" s="816"/>
      <c r="CZ154" s="816"/>
    </row>
    <row r="155" spans="1:104">
      <c r="A155" s="772" t="s">
        <v>693</v>
      </c>
      <c r="B155" s="759">
        <v>100000000</v>
      </c>
      <c r="G155" s="760"/>
      <c r="H155" s="760"/>
      <c r="I155" s="760"/>
      <c r="J155" s="760"/>
      <c r="K155" s="760"/>
      <c r="L155" s="760"/>
      <c r="M155" s="760"/>
      <c r="N155" s="760"/>
      <c r="O155" s="760"/>
      <c r="P155" s="760"/>
      <c r="Q155" s="760"/>
      <c r="R155" s="760"/>
      <c r="S155" s="760"/>
      <c r="T155" s="760"/>
      <c r="U155" s="760"/>
      <c r="V155" s="760"/>
      <c r="W155" s="760"/>
      <c r="X155" s="760"/>
      <c r="Y155" s="760"/>
      <c r="Z155" s="760"/>
      <c r="AA155" s="760"/>
      <c r="AB155" s="760"/>
      <c r="AC155" s="760"/>
      <c r="AD155" s="760"/>
      <c r="AQ155" s="769"/>
      <c r="AR155" s="769"/>
      <c r="AS155" s="769"/>
      <c r="AT155" s="769"/>
      <c r="BK155" s="759"/>
      <c r="BL155" s="759"/>
      <c r="BM155" s="759"/>
      <c r="BN155" s="759"/>
      <c r="BO155" s="759"/>
      <c r="BP155" s="759"/>
      <c r="BQ155" s="759"/>
      <c r="BR155" s="759"/>
      <c r="BS155" s="759"/>
      <c r="BT155" s="759"/>
      <c r="BU155" s="759"/>
      <c r="BV155" s="759"/>
      <c r="BW155" s="779">
        <f t="shared" si="35"/>
        <v>100000000</v>
      </c>
      <c r="BX155" s="779">
        <v>99948316</v>
      </c>
      <c r="BY155" s="779">
        <v>98274789</v>
      </c>
      <c r="BZ155" s="779">
        <v>97722137</v>
      </c>
      <c r="CA155" s="759"/>
      <c r="CB155" s="759"/>
      <c r="CC155" s="759"/>
      <c r="CD155" s="759"/>
      <c r="CE155" s="759"/>
      <c r="CF155" s="759"/>
      <c r="CG155" s="759"/>
      <c r="CH155" s="759"/>
      <c r="CI155" s="759"/>
      <c r="CJ155" s="759"/>
      <c r="CK155" s="759"/>
      <c r="CL155" s="759"/>
      <c r="CM155" s="759"/>
      <c r="CN155" s="759"/>
      <c r="CO155" s="759"/>
      <c r="CP155" s="759"/>
      <c r="CQ155" s="763">
        <f t="shared" si="34"/>
        <v>100000000</v>
      </c>
      <c r="CR155" s="763">
        <f t="shared" si="34"/>
        <v>99948316</v>
      </c>
      <c r="CS155" s="763">
        <f t="shared" si="34"/>
        <v>98274789</v>
      </c>
      <c r="CT155" s="808">
        <f t="shared" si="33"/>
        <v>97722137</v>
      </c>
      <c r="CU155" s="815"/>
      <c r="CV155" s="815"/>
      <c r="CW155" s="815"/>
      <c r="CX155" s="816"/>
      <c r="CY155" s="816"/>
      <c r="CZ155" s="816"/>
    </row>
    <row r="156" spans="1:104" ht="31.5">
      <c r="A156" s="772" t="s">
        <v>1435</v>
      </c>
      <c r="B156" s="759">
        <v>280000000</v>
      </c>
      <c r="G156" s="760"/>
      <c r="H156" s="760"/>
      <c r="I156" s="760"/>
      <c r="J156" s="760"/>
      <c r="K156" s="760"/>
      <c r="L156" s="760"/>
      <c r="M156" s="760"/>
      <c r="N156" s="760"/>
      <c r="O156" s="760"/>
      <c r="P156" s="760"/>
      <c r="Q156" s="760"/>
      <c r="R156" s="760"/>
      <c r="S156" s="760"/>
      <c r="T156" s="760"/>
      <c r="U156" s="760"/>
      <c r="V156" s="760"/>
      <c r="BK156" s="759"/>
      <c r="BL156" s="759"/>
      <c r="BM156" s="759"/>
      <c r="BN156" s="759"/>
      <c r="BO156" s="759"/>
      <c r="BP156" s="759"/>
      <c r="BQ156" s="759"/>
      <c r="BR156" s="759"/>
      <c r="BS156" s="759"/>
      <c r="BT156" s="759"/>
      <c r="BU156" s="759"/>
      <c r="BV156" s="759"/>
      <c r="BW156" s="779">
        <f t="shared" si="35"/>
        <v>280000000</v>
      </c>
      <c r="BX156" s="779">
        <v>279849794</v>
      </c>
      <c r="BY156" s="779">
        <v>275260830</v>
      </c>
      <c r="BZ156" s="779">
        <v>275114570</v>
      </c>
      <c r="CA156" s="759"/>
      <c r="CB156" s="759"/>
      <c r="CC156" s="759"/>
      <c r="CD156" s="759"/>
      <c r="CE156" s="759"/>
      <c r="CF156" s="759"/>
      <c r="CG156" s="759"/>
      <c r="CH156" s="759"/>
      <c r="CI156" s="759"/>
      <c r="CJ156" s="759"/>
      <c r="CK156" s="759"/>
      <c r="CL156" s="759"/>
      <c r="CM156" s="759"/>
      <c r="CN156" s="759"/>
      <c r="CO156" s="759"/>
      <c r="CP156" s="759"/>
      <c r="CQ156" s="763">
        <f t="shared" si="34"/>
        <v>280000000</v>
      </c>
      <c r="CR156" s="763">
        <f t="shared" si="34"/>
        <v>279849794</v>
      </c>
      <c r="CS156" s="763">
        <f t="shared" si="34"/>
        <v>275260830</v>
      </c>
      <c r="CT156" s="808">
        <f t="shared" si="33"/>
        <v>275114570</v>
      </c>
      <c r="CU156" s="815"/>
      <c r="CV156" s="815"/>
      <c r="CW156" s="815"/>
      <c r="CX156" s="816"/>
      <c r="CY156" s="816"/>
      <c r="CZ156" s="816"/>
    </row>
    <row r="157" spans="1:104" ht="31.5">
      <c r="A157" s="772" t="s">
        <v>1436</v>
      </c>
      <c r="B157" s="759">
        <v>596990838</v>
      </c>
      <c r="G157" s="760"/>
      <c r="H157" s="760"/>
      <c r="I157" s="760"/>
      <c r="J157" s="760"/>
      <c r="K157" s="760"/>
      <c r="L157" s="760"/>
      <c r="M157" s="760"/>
      <c r="N157" s="760"/>
      <c r="O157" s="760"/>
      <c r="P157" s="760"/>
      <c r="Q157" s="760"/>
      <c r="R157" s="760"/>
      <c r="S157" s="760"/>
      <c r="T157" s="760"/>
      <c r="U157" s="760"/>
      <c r="V157" s="760"/>
      <c r="BK157" s="759"/>
      <c r="BL157" s="759"/>
      <c r="BM157" s="759"/>
      <c r="BN157" s="759"/>
      <c r="BO157" s="759"/>
      <c r="BP157" s="759"/>
      <c r="BQ157" s="759"/>
      <c r="BR157" s="759"/>
      <c r="BS157" s="759"/>
      <c r="BT157" s="759"/>
      <c r="BU157" s="759"/>
      <c r="BV157" s="759"/>
      <c r="BW157" s="779">
        <f t="shared" si="35"/>
        <v>596990838</v>
      </c>
      <c r="BX157" s="779">
        <v>596890161.70000005</v>
      </c>
      <c r="BY157" s="779">
        <v>592985606</v>
      </c>
      <c r="BZ157" s="779">
        <v>592984535</v>
      </c>
      <c r="CA157" s="759"/>
      <c r="CB157" s="759"/>
      <c r="CC157" s="759"/>
      <c r="CD157" s="759"/>
      <c r="CE157" s="759"/>
      <c r="CF157" s="759"/>
      <c r="CG157" s="759"/>
      <c r="CH157" s="759"/>
      <c r="CI157" s="759"/>
      <c r="CJ157" s="759"/>
      <c r="CK157" s="759"/>
      <c r="CL157" s="759"/>
      <c r="CM157" s="759"/>
      <c r="CN157" s="759"/>
      <c r="CO157" s="759"/>
      <c r="CP157" s="759"/>
      <c r="CQ157" s="763">
        <f t="shared" si="34"/>
        <v>596990838</v>
      </c>
      <c r="CR157" s="763">
        <f t="shared" si="34"/>
        <v>596890161.70000005</v>
      </c>
      <c r="CS157" s="763">
        <f t="shared" si="34"/>
        <v>592985606</v>
      </c>
      <c r="CT157" s="808">
        <f t="shared" si="33"/>
        <v>592984535</v>
      </c>
      <c r="CU157" s="815"/>
      <c r="CV157" s="815"/>
      <c r="CW157" s="815"/>
      <c r="CX157" s="816"/>
      <c r="CY157" s="816"/>
      <c r="CZ157" s="816"/>
    </row>
    <row r="158" spans="1:104" ht="31.5">
      <c r="A158" s="772" t="s">
        <v>1437</v>
      </c>
      <c r="B158" s="759">
        <v>600000000</v>
      </c>
      <c r="G158" s="760"/>
      <c r="H158" s="760"/>
      <c r="I158" s="760"/>
      <c r="J158" s="760"/>
      <c r="K158" s="760"/>
      <c r="L158" s="760"/>
      <c r="M158" s="760"/>
      <c r="N158" s="760"/>
      <c r="O158" s="760"/>
      <c r="P158" s="760"/>
      <c r="Q158" s="760"/>
      <c r="R158" s="760"/>
      <c r="S158" s="777"/>
      <c r="T158" s="777"/>
      <c r="U158" s="777"/>
      <c r="V158" s="777"/>
      <c r="BW158" s="779">
        <f t="shared" si="35"/>
        <v>600000000</v>
      </c>
      <c r="BX158" s="779">
        <v>597169033.03999996</v>
      </c>
      <c r="BY158" s="779">
        <v>552895501.95000005</v>
      </c>
      <c r="BZ158" s="779">
        <v>537907620.95000005</v>
      </c>
      <c r="CQ158" s="763">
        <f t="shared" si="34"/>
        <v>600000000</v>
      </c>
      <c r="CR158" s="763">
        <f t="shared" si="34"/>
        <v>597169033.03999996</v>
      </c>
      <c r="CS158" s="763">
        <f t="shared" si="34"/>
        <v>552895501.95000005</v>
      </c>
      <c r="CT158" s="808">
        <f t="shared" si="33"/>
        <v>537907620.95000005</v>
      </c>
      <c r="CU158" s="815"/>
      <c r="CV158" s="815"/>
      <c r="CW158" s="815"/>
      <c r="CX158" s="816"/>
      <c r="CY158" s="816"/>
      <c r="CZ158" s="816"/>
    </row>
    <row r="159" spans="1:104" s="765" customFormat="1" ht="23.25" customHeight="1" thickBot="1">
      <c r="A159" s="793" t="s">
        <v>1438</v>
      </c>
      <c r="B159" s="767">
        <v>24223450000</v>
      </c>
      <c r="C159" s="794"/>
      <c r="D159" s="794"/>
      <c r="E159" s="794"/>
      <c r="F159" s="794"/>
      <c r="G159" s="795"/>
      <c r="H159" s="795"/>
      <c r="I159" s="795"/>
      <c r="J159" s="795"/>
      <c r="K159" s="795"/>
      <c r="L159" s="795"/>
      <c r="M159" s="795"/>
      <c r="N159" s="795"/>
      <c r="O159" s="795"/>
      <c r="P159" s="795"/>
      <c r="Q159" s="795"/>
      <c r="R159" s="795"/>
      <c r="S159" s="795"/>
      <c r="T159" s="795"/>
      <c r="U159" s="795"/>
      <c r="V159" s="795"/>
      <c r="W159" s="795"/>
      <c r="X159" s="795"/>
      <c r="Y159" s="795"/>
      <c r="Z159" s="795"/>
      <c r="AA159" s="795"/>
      <c r="AB159" s="795"/>
      <c r="AC159" s="795"/>
      <c r="AD159" s="795"/>
      <c r="AE159" s="795"/>
      <c r="AF159" s="795"/>
      <c r="AG159" s="795"/>
      <c r="AH159" s="795"/>
      <c r="AI159" s="795"/>
      <c r="AJ159" s="795"/>
      <c r="AK159" s="795"/>
      <c r="AL159" s="795"/>
      <c r="AM159" s="795"/>
      <c r="AN159" s="795"/>
      <c r="AO159" s="795"/>
      <c r="AP159" s="795"/>
      <c r="AQ159" s="795"/>
      <c r="AR159" s="795"/>
      <c r="AS159" s="795"/>
      <c r="AT159" s="795"/>
      <c r="AU159" s="795"/>
      <c r="AV159" s="795"/>
      <c r="AW159" s="795"/>
      <c r="AX159" s="795"/>
      <c r="AY159" s="795"/>
      <c r="AZ159" s="795"/>
      <c r="BA159" s="795"/>
      <c r="BB159" s="795"/>
      <c r="BC159" s="795"/>
      <c r="BD159" s="795"/>
      <c r="BE159" s="795"/>
      <c r="BF159" s="795"/>
      <c r="BG159" s="795"/>
      <c r="BH159" s="795"/>
      <c r="BI159" s="795"/>
      <c r="BJ159" s="795"/>
      <c r="BK159" s="795"/>
      <c r="BL159" s="795"/>
      <c r="BM159" s="795"/>
      <c r="BN159" s="795"/>
      <c r="BO159" s="795"/>
      <c r="BP159" s="795"/>
      <c r="BQ159" s="795"/>
      <c r="BR159" s="795"/>
      <c r="BS159" s="795"/>
      <c r="BT159" s="795"/>
      <c r="BU159" s="795"/>
      <c r="BV159" s="795"/>
      <c r="BW159" s="759">
        <v>24223450000</v>
      </c>
      <c r="BX159" s="796">
        <v>23747240643</v>
      </c>
      <c r="BY159" s="796">
        <v>20520865554.009998</v>
      </c>
      <c r="BZ159" s="796">
        <v>20260887206.009998</v>
      </c>
      <c r="CA159" s="795"/>
      <c r="CB159" s="795"/>
      <c r="CC159" s="795"/>
      <c r="CD159" s="795"/>
      <c r="CE159" s="795"/>
      <c r="CF159" s="795"/>
      <c r="CG159" s="795"/>
      <c r="CH159" s="795"/>
      <c r="CI159" s="795"/>
      <c r="CJ159" s="795"/>
      <c r="CK159" s="795"/>
      <c r="CL159" s="795"/>
      <c r="CM159" s="795"/>
      <c r="CQ159" s="763">
        <f t="shared" si="34"/>
        <v>24223450000</v>
      </c>
      <c r="CR159" s="763">
        <f t="shared" si="34"/>
        <v>23747240643</v>
      </c>
      <c r="CS159" s="763">
        <f t="shared" si="34"/>
        <v>20520865554.009998</v>
      </c>
      <c r="CT159" s="808">
        <f t="shared" si="33"/>
        <v>20260887206.009998</v>
      </c>
      <c r="CU159" s="815"/>
      <c r="CV159" s="815"/>
      <c r="CW159" s="815"/>
      <c r="CX159" s="816"/>
      <c r="CY159" s="816"/>
      <c r="CZ159" s="816"/>
    </row>
    <row r="160" spans="1:104">
      <c r="A160" s="798"/>
      <c r="B160" s="799">
        <f>SUM(B4:B159)</f>
        <v>155439506137.99899</v>
      </c>
      <c r="C160" s="800">
        <f>SUM(C4:C159)</f>
        <v>10022113022.27</v>
      </c>
      <c r="D160" s="800">
        <f t="shared" ref="D160:F160" si="36">SUM(D4:D159)</f>
        <v>10022113022.27</v>
      </c>
      <c r="E160" s="800">
        <f t="shared" si="36"/>
        <v>10022113022.27</v>
      </c>
      <c r="F160" s="800">
        <f t="shared" si="36"/>
        <v>10022113022.27</v>
      </c>
      <c r="G160" s="800">
        <f>SUM(G4:G159)</f>
        <v>3813285725</v>
      </c>
      <c r="H160" s="800">
        <f t="shared" ref="H160:J160" si="37">SUM(H4:H159)</f>
        <v>3813285725</v>
      </c>
      <c r="I160" s="800">
        <f t="shared" si="37"/>
        <v>3813285725</v>
      </c>
      <c r="J160" s="800">
        <f t="shared" si="37"/>
        <v>3813285725</v>
      </c>
      <c r="K160" s="800">
        <f>SUM(K4:K159)</f>
        <v>6210491301</v>
      </c>
      <c r="L160" s="800">
        <f t="shared" ref="L160:R160" si="38">SUM(L4:L159)</f>
        <v>6205735653.0268669</v>
      </c>
      <c r="M160" s="800">
        <f t="shared" si="38"/>
        <v>6149616089.8706064</v>
      </c>
      <c r="N160" s="800">
        <f t="shared" si="38"/>
        <v>5994252501.7252665</v>
      </c>
      <c r="O160" s="800">
        <f t="shared" si="38"/>
        <v>533456409.49400002</v>
      </c>
      <c r="P160" s="800">
        <f t="shared" si="38"/>
        <v>531897807.80358958</v>
      </c>
      <c r="Q160" s="800">
        <f t="shared" si="38"/>
        <v>240656153.39675766</v>
      </c>
      <c r="R160" s="800">
        <f t="shared" si="38"/>
        <v>204885468.68980902</v>
      </c>
      <c r="S160" s="800">
        <f>SUM(S4:S159)</f>
        <v>7226087698.6000004</v>
      </c>
      <c r="T160" s="800">
        <f t="shared" ref="T160:V160" si="39">SUM(T4:T159)</f>
        <v>7218593017.0787477</v>
      </c>
      <c r="U160" s="800">
        <f t="shared" si="39"/>
        <v>6003691988.9190445</v>
      </c>
      <c r="V160" s="800">
        <f t="shared" si="39"/>
        <v>5775977086.43332</v>
      </c>
      <c r="W160" s="800">
        <f>SUM(W4:W159)</f>
        <v>72602217.099999994</v>
      </c>
      <c r="X160" s="800">
        <f t="shared" ref="X160:Z160" si="40">SUM(X4:X159)</f>
        <v>72515094.439479992</v>
      </c>
      <c r="Y160" s="800">
        <f t="shared" si="40"/>
        <v>21265189.388589997</v>
      </c>
      <c r="Z160" s="800">
        <f t="shared" si="40"/>
        <v>21207107.614909999</v>
      </c>
      <c r="AA160" s="800">
        <f>SUM(AA4:AA159)</f>
        <v>53092908.93</v>
      </c>
      <c r="AB160" s="800">
        <f t="shared" ref="AB160:AD160" si="41">SUM(AB4:AB159)</f>
        <v>53029197.439284004</v>
      </c>
      <c r="AC160" s="800">
        <f t="shared" si="41"/>
        <v>15550913.025597</v>
      </c>
      <c r="AD160" s="800">
        <f t="shared" si="41"/>
        <v>15508438.698453002</v>
      </c>
      <c r="AE160" s="800">
        <f>SUM(AE4:AE159)</f>
        <v>19552150.484999999</v>
      </c>
      <c r="AF160" s="800">
        <f t="shared" ref="AF160:AH160" si="42">SUM(AF4:AF159)</f>
        <v>19528687.904417999</v>
      </c>
      <c r="AG160" s="800">
        <f t="shared" si="42"/>
        <v>5726824.8770564999</v>
      </c>
      <c r="AH160" s="800">
        <f t="shared" si="42"/>
        <v>5711183.1566685</v>
      </c>
      <c r="AI160" s="800">
        <f>SUM(AI4:AI159)</f>
        <v>673672072.63</v>
      </c>
      <c r="AJ160" s="800">
        <f t="shared" ref="AJ160:AL160" si="43">SUM(AJ4:AJ159)</f>
        <v>672863666.14284396</v>
      </c>
      <c r="AK160" s="800">
        <f t="shared" si="43"/>
        <v>197318550.073327</v>
      </c>
      <c r="AL160" s="800">
        <f t="shared" si="43"/>
        <v>196779612.415223</v>
      </c>
      <c r="AM160" s="800">
        <f>SUM(AM4:AM159)</f>
        <v>6295939992</v>
      </c>
      <c r="AN160" s="800">
        <f t="shared" ref="AN160:AP160" si="44">SUM(AN4:AN159)</f>
        <v>6243825465.8479996</v>
      </c>
      <c r="AO160" s="800">
        <f t="shared" si="44"/>
        <v>5218606997.3584003</v>
      </c>
      <c r="AP160" s="800">
        <f t="shared" si="44"/>
        <v>4949638047.5960007</v>
      </c>
      <c r="AQ160" s="800">
        <f>SUM(AQ4:AQ159)</f>
        <v>62959400.100000001</v>
      </c>
      <c r="AR160" s="800">
        <f t="shared" ref="AR160:AT160" si="45">SUM(AR4:AR159)</f>
        <v>62896440.699900001</v>
      </c>
      <c r="AS160" s="800">
        <f t="shared" si="45"/>
        <v>52268893.963020004</v>
      </c>
      <c r="AT160" s="800">
        <f t="shared" si="45"/>
        <v>50398999.780050002</v>
      </c>
      <c r="AU160" s="800">
        <f>SUM(AU4:AU159)</f>
        <v>4197128919.3000002</v>
      </c>
      <c r="AV160" s="800">
        <f t="shared" ref="AV160:BJ160" si="46">SUM(AV4:AV159)</f>
        <v>4192931790.3807001</v>
      </c>
      <c r="AW160" s="800">
        <f t="shared" si="46"/>
        <v>3484456428.8028603</v>
      </c>
      <c r="AX160" s="800">
        <f t="shared" si="46"/>
        <v>3359801699.8996501</v>
      </c>
      <c r="AY160" s="800">
        <f t="shared" si="46"/>
        <v>450000000</v>
      </c>
      <c r="AZ160" s="800">
        <f t="shared" si="46"/>
        <v>449550000</v>
      </c>
      <c r="BA160" s="800">
        <f t="shared" si="46"/>
        <v>373590000</v>
      </c>
      <c r="BB160" s="800">
        <f t="shared" si="46"/>
        <v>360225000</v>
      </c>
      <c r="BC160" s="801">
        <f>SUM(BC4:BC159)</f>
        <v>167552412.09</v>
      </c>
      <c r="BD160" s="800">
        <f t="shared" si="46"/>
        <v>166689497.06144705</v>
      </c>
      <c r="BE160" s="800">
        <f t="shared" si="46"/>
        <v>162092808.56076917</v>
      </c>
      <c r="BF160" s="800">
        <f t="shared" si="46"/>
        <v>150637906.28142163</v>
      </c>
      <c r="BG160" s="801">
        <f>SUM(BG4:BG159)</f>
        <v>42660880.789999999</v>
      </c>
      <c r="BH160" s="800">
        <f t="shared" si="46"/>
        <v>42441172.1346258</v>
      </c>
      <c r="BI160" s="800">
        <f t="shared" si="46"/>
        <v>41270799.36762052</v>
      </c>
      <c r="BJ160" s="800">
        <f t="shared" si="46"/>
        <v>38354242.008017391</v>
      </c>
      <c r="BK160" s="800">
        <f>SUM(BK4:BK159)</f>
        <v>43855368.969999999</v>
      </c>
      <c r="BL160" s="800">
        <f t="shared" ref="BL160:BN160" si="47">SUM(BL4:BL159)</f>
        <v>43583546.017448246</v>
      </c>
      <c r="BM160" s="800">
        <f t="shared" si="47"/>
        <v>42930234.180642851</v>
      </c>
      <c r="BN160" s="800">
        <f t="shared" si="47"/>
        <v>42451811.973697394</v>
      </c>
      <c r="BO160" s="800">
        <f>SUM(BO4:BO159)</f>
        <v>16224093.99</v>
      </c>
      <c r="BP160" s="800">
        <f t="shared" ref="BP160:BR160" si="48">SUM(BP4:BP159)</f>
        <v>16123534.326852355</v>
      </c>
      <c r="BQ160" s="800">
        <f t="shared" si="48"/>
        <v>15881844.588650379</v>
      </c>
      <c r="BR160" s="800">
        <f t="shared" si="48"/>
        <v>15704854.472395834</v>
      </c>
      <c r="BS160" s="801">
        <f>SUM(BS4:BS159)</f>
        <v>69074073886.249985</v>
      </c>
      <c r="BT160" s="801">
        <f t="shared" ref="BT160:BV160" si="49">SUM(BT4:BT159)</f>
        <v>68523404526.657402</v>
      </c>
      <c r="BU160" s="801">
        <f t="shared" si="49"/>
        <v>47408512715.611382</v>
      </c>
      <c r="BV160" s="801">
        <f t="shared" si="49"/>
        <v>44195415725.383995</v>
      </c>
      <c r="BW160" s="800">
        <f>SUM(BW4:BW159)</f>
        <v>26826284773</v>
      </c>
      <c r="BX160" s="800">
        <f t="shared" ref="BX160:BZ160" si="50">SUM(BX4:BX159)</f>
        <v>26321545687.434391</v>
      </c>
      <c r="BY160" s="800">
        <f t="shared" si="50"/>
        <v>22898655435.494473</v>
      </c>
      <c r="BZ160" s="800">
        <f t="shared" si="50"/>
        <v>22585874316.658108</v>
      </c>
      <c r="CA160" s="800">
        <f>SUM(CA4:CA159)</f>
        <v>0</v>
      </c>
      <c r="CB160" s="800">
        <f t="shared" ref="CB160:CD160" si="51">SUM(CB4:CB159)</f>
        <v>0</v>
      </c>
      <c r="CC160" s="800">
        <f t="shared" si="51"/>
        <v>0</v>
      </c>
      <c r="CD160" s="800">
        <f t="shared" si="51"/>
        <v>0</v>
      </c>
      <c r="CE160" s="800">
        <f>SUM(CE4:CE159)</f>
        <v>14416666667</v>
      </c>
      <c r="CF160" s="800">
        <f t="shared" ref="CF160:CL160" si="52">SUM(CF4:CF159)</f>
        <v>14402250000.333</v>
      </c>
      <c r="CG160" s="800">
        <f t="shared" si="52"/>
        <v>11968716666.943401</v>
      </c>
      <c r="CH160" s="800">
        <f t="shared" si="52"/>
        <v>11540541666.9335</v>
      </c>
      <c r="CI160" s="800">
        <f t="shared" si="52"/>
        <v>0</v>
      </c>
      <c r="CJ160" s="800">
        <f t="shared" si="52"/>
        <v>0</v>
      </c>
      <c r="CK160" s="800">
        <f t="shared" si="52"/>
        <v>0</v>
      </c>
      <c r="CL160" s="800">
        <f t="shared" si="52"/>
        <v>0</v>
      </c>
      <c r="CM160" s="800">
        <f>SUM(CM4:CM159)</f>
        <v>5221806239</v>
      </c>
      <c r="CN160" s="800">
        <f t="shared" ref="CN160:CP160" si="53">SUM(CN4:CN159)</f>
        <v>5216584432.7609997</v>
      </c>
      <c r="CO160" s="800">
        <f t="shared" si="53"/>
        <v>4335143539.6178007</v>
      </c>
      <c r="CP160" s="800">
        <f t="shared" si="53"/>
        <v>4180055894.3195</v>
      </c>
      <c r="CQ160" s="802">
        <f t="shared" ref="CQ160:CT160" si="54">+C160+G160+K160+O160+S160+W160+AA160+AE160+AI160+AM160+AQ160+AU160+AY160+BC160+BG160+BK160+BO160+BS160+BW160+CA160+CE160+CM160</f>
        <v>155439506137.99899</v>
      </c>
      <c r="CR160" s="802">
        <f t="shared" si="54"/>
        <v>154291387964.75998</v>
      </c>
      <c r="CS160" s="802">
        <f t="shared" si="54"/>
        <v>122471350821.31001</v>
      </c>
      <c r="CT160" s="809">
        <f t="shared" si="54"/>
        <v>117518820311.30998</v>
      </c>
      <c r="CU160" s="817"/>
      <c r="CV160" s="817"/>
      <c r="CW160" s="817"/>
    </row>
    <row r="161" spans="2:99">
      <c r="B161" s="762"/>
      <c r="CQ161" s="797"/>
    </row>
    <row r="162" spans="2:99">
      <c r="B162" s="762"/>
      <c r="C162" s="803"/>
      <c r="D162" s="803"/>
      <c r="E162" s="803"/>
      <c r="F162" s="803"/>
      <c r="G162" s="803"/>
      <c r="H162" s="803"/>
      <c r="I162" s="803"/>
      <c r="J162" s="803"/>
      <c r="K162" s="803"/>
      <c r="L162" s="803"/>
      <c r="M162" s="803"/>
      <c r="N162" s="803"/>
      <c r="O162" s="803"/>
      <c r="P162" s="803"/>
      <c r="Q162" s="803"/>
      <c r="R162" s="803"/>
      <c r="S162" s="803"/>
      <c r="T162" s="803"/>
      <c r="U162" s="803"/>
      <c r="V162" s="803"/>
      <c r="W162" s="803"/>
      <c r="X162" s="803"/>
      <c r="Y162" s="803"/>
      <c r="Z162" s="803"/>
      <c r="AA162" s="803"/>
      <c r="AB162" s="803"/>
      <c r="AC162" s="803"/>
      <c r="AD162" s="803"/>
      <c r="AE162" s="803"/>
      <c r="AF162" s="803"/>
      <c r="AG162" s="803"/>
      <c r="AH162" s="803"/>
      <c r="AI162" s="803"/>
      <c r="AJ162" s="803"/>
      <c r="AK162" s="803"/>
      <c r="AL162" s="803"/>
      <c r="AM162" s="803"/>
      <c r="AN162" s="803"/>
      <c r="AO162" s="803"/>
      <c r="AP162" s="803"/>
      <c r="AQ162" s="803"/>
      <c r="AR162" s="803"/>
      <c r="AS162" s="803"/>
      <c r="AT162" s="803"/>
      <c r="AU162" s="803"/>
      <c r="AV162" s="803"/>
      <c r="AW162" s="803"/>
      <c r="AX162" s="803"/>
      <c r="AY162" s="803"/>
      <c r="AZ162" s="803"/>
      <c r="BA162" s="803"/>
      <c r="BB162" s="803"/>
      <c r="BC162" s="803"/>
      <c r="BD162" s="803"/>
      <c r="BE162" s="803"/>
      <c r="BF162" s="804"/>
      <c r="BG162" s="803"/>
      <c r="BH162" s="803"/>
      <c r="BI162" s="803"/>
      <c r="BJ162" s="804"/>
      <c r="BK162" s="803"/>
      <c r="BL162" s="803"/>
      <c r="BM162" s="803"/>
      <c r="BN162" s="803"/>
      <c r="BO162" s="803"/>
      <c r="BP162" s="803"/>
      <c r="BQ162" s="803"/>
      <c r="BR162" s="803"/>
      <c r="BS162" s="803"/>
      <c r="BT162" s="803"/>
      <c r="BU162" s="803"/>
      <c r="BV162" s="803"/>
      <c r="BW162" s="803"/>
      <c r="BX162" s="803"/>
      <c r="BY162" s="803"/>
      <c r="BZ162" s="803"/>
      <c r="CA162" s="803"/>
      <c r="CB162" s="803"/>
      <c r="CC162" s="803"/>
      <c r="CD162" s="803"/>
      <c r="CE162" s="803"/>
      <c r="CF162" s="803"/>
      <c r="CG162" s="803"/>
      <c r="CH162" s="803"/>
      <c r="CI162" s="803"/>
      <c r="CJ162" s="803"/>
      <c r="CK162" s="803"/>
      <c r="CL162" s="803"/>
      <c r="CM162" s="803"/>
      <c r="CN162" s="803"/>
      <c r="CO162" s="803"/>
      <c r="CP162" s="803"/>
      <c r="CQ162" s="797"/>
      <c r="CR162" s="797"/>
      <c r="CS162" s="797"/>
      <c r="CT162" s="811"/>
      <c r="CU162" s="817"/>
    </row>
    <row r="163" spans="2:99">
      <c r="B163" s="805"/>
      <c r="C163" s="803"/>
      <c r="D163" s="803"/>
      <c r="E163" s="803"/>
      <c r="F163" s="803"/>
      <c r="G163" s="803"/>
      <c r="H163" s="803"/>
      <c r="I163" s="803"/>
      <c r="J163" s="803"/>
      <c r="K163" s="803"/>
      <c r="L163" s="803"/>
      <c r="M163" s="803"/>
      <c r="N163" s="803"/>
      <c r="O163" s="803"/>
      <c r="P163" s="803"/>
      <c r="Q163" s="803"/>
      <c r="R163" s="803"/>
      <c r="S163" s="803"/>
      <c r="T163" s="803"/>
      <c r="U163" s="803"/>
      <c r="V163" s="803"/>
      <c r="W163" s="803"/>
      <c r="X163" s="803"/>
      <c r="Y163" s="803"/>
      <c r="Z163" s="803"/>
      <c r="AA163" s="803"/>
      <c r="AB163" s="803"/>
      <c r="AC163" s="803"/>
      <c r="AD163" s="803"/>
      <c r="AE163" s="803"/>
      <c r="AF163" s="803"/>
      <c r="AG163" s="803"/>
      <c r="AH163" s="803"/>
      <c r="AI163" s="803"/>
      <c r="AJ163" s="803"/>
      <c r="AK163" s="803"/>
      <c r="AL163" s="803"/>
      <c r="AM163" s="803"/>
      <c r="AN163" s="803"/>
      <c r="AO163" s="803"/>
      <c r="AP163" s="803"/>
      <c r="AQ163" s="803"/>
      <c r="AR163" s="803"/>
      <c r="AS163" s="803"/>
      <c r="AT163" s="803"/>
      <c r="AU163" s="803"/>
      <c r="AV163" s="803"/>
      <c r="AW163" s="803"/>
      <c r="AX163" s="803"/>
      <c r="AY163" s="803"/>
      <c r="AZ163" s="803"/>
      <c r="BA163" s="803"/>
      <c r="BB163" s="803"/>
      <c r="BC163" s="803"/>
      <c r="BD163" s="803"/>
      <c r="BE163" s="803"/>
      <c r="BF163" s="803"/>
      <c r="BG163" s="803"/>
      <c r="BH163" s="803"/>
      <c r="BI163" s="803"/>
      <c r="BJ163" s="803"/>
      <c r="BK163" s="803"/>
      <c r="BL163" s="803"/>
      <c r="BM163" s="803"/>
      <c r="BN163" s="803"/>
      <c r="BO163" s="803"/>
      <c r="BP163" s="803"/>
      <c r="BQ163" s="803"/>
      <c r="BR163" s="803"/>
      <c r="BS163" s="803"/>
      <c r="BT163" s="803"/>
      <c r="BU163" s="803"/>
      <c r="BV163" s="803"/>
      <c r="BW163" s="803"/>
      <c r="BX163" s="803"/>
      <c r="BY163" s="803"/>
      <c r="BZ163" s="803"/>
      <c r="CA163" s="803"/>
      <c r="CB163" s="803"/>
      <c r="CC163" s="803"/>
      <c r="CD163" s="803"/>
      <c r="CE163" s="803"/>
      <c r="CF163" s="803"/>
      <c r="CG163" s="803"/>
      <c r="CH163" s="803"/>
      <c r="CI163" s="803"/>
      <c r="CJ163" s="803"/>
      <c r="CK163" s="803"/>
      <c r="CL163" s="803"/>
      <c r="CM163" s="803"/>
      <c r="CN163" s="803"/>
      <c r="CO163" s="803"/>
      <c r="CP163" s="803"/>
      <c r="CR163" s="803"/>
      <c r="CS163" s="803"/>
      <c r="CT163" s="812"/>
    </row>
    <row r="166" spans="2:99">
      <c r="N166" s="803"/>
    </row>
  </sheetData>
  <mergeCells count="26">
    <mergeCell ref="AA1:AD1"/>
    <mergeCell ref="C1:F1"/>
    <mergeCell ref="G1:J1"/>
    <mergeCell ref="K1:N1"/>
    <mergeCell ref="O1:R1"/>
    <mergeCell ref="S1:V1"/>
    <mergeCell ref="W1:Z1"/>
    <mergeCell ref="AE1:AH1"/>
    <mergeCell ref="AI1:AL1"/>
    <mergeCell ref="AM1:AP1"/>
    <mergeCell ref="AQ1:AT1"/>
    <mergeCell ref="AU1:AX1"/>
    <mergeCell ref="AY1:BB1"/>
    <mergeCell ref="BC1:BF1"/>
    <mergeCell ref="BG1:BJ1"/>
    <mergeCell ref="BK1:BN1"/>
    <mergeCell ref="BO1:BR1"/>
    <mergeCell ref="CM1:CP1"/>
    <mergeCell ref="CQ1:CT1"/>
    <mergeCell ref="CU1:CW1"/>
    <mergeCell ref="CX1:CZ1"/>
    <mergeCell ref="BS1:BV1"/>
    <mergeCell ref="BW1:BZ1"/>
    <mergeCell ref="CA1:CD1"/>
    <mergeCell ref="CE1:CH1"/>
    <mergeCell ref="CI1:CL1"/>
  </mergeCells>
  <printOptions horizontalCentered="1" verticalCentered="1"/>
  <pageMargins left="0.78740157480314965" right="0.78740157480314965" top="0.98425196850393704" bottom="0.98425196850393704" header="0" footer="0"/>
  <pageSetup paperSize="9" scale="10" orientation="landscape" r:id="rId1"/>
  <headerFooter alignWithMargins="0"/>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DF637A-16CF-4D91-8FF7-F4E950117BDF}">
  <dimension ref="A1:DH176"/>
  <sheetViews>
    <sheetView zoomScale="87" zoomScaleNormal="87" workbookViewId="0">
      <pane xSplit="2" ySplit="4" topLeftCell="CS159" activePane="bottomRight" state="frozen"/>
      <selection activeCell="L28" sqref="L28"/>
      <selection pane="topRight" activeCell="L28" sqref="L28"/>
      <selection pane="bottomLeft" activeCell="L28" sqref="L28"/>
      <selection pane="bottomRight" activeCell="L28" sqref="L28"/>
    </sheetView>
  </sheetViews>
  <sheetFormatPr baseColWidth="10" defaultColWidth="8.85546875" defaultRowHeight="15.75"/>
  <cols>
    <col min="1" max="1" width="24.42578125" style="750" customWidth="1"/>
    <col min="2" max="2" width="24.28515625" style="750" customWidth="1"/>
    <col min="3" max="6" width="32.42578125" style="750" customWidth="1"/>
    <col min="7" max="7" width="31.42578125" style="750" customWidth="1"/>
    <col min="8" max="10" width="26.28515625" style="750" customWidth="1"/>
    <col min="11" max="11" width="36.28515625" style="750" customWidth="1"/>
    <col min="12" max="14" width="28.28515625" style="750" customWidth="1"/>
    <col min="15" max="15" width="37" style="750" customWidth="1"/>
    <col min="16" max="17" width="30.5703125" style="750" customWidth="1"/>
    <col min="18" max="18" width="25.7109375" style="750" customWidth="1"/>
    <col min="19" max="19" width="37.28515625" style="750" customWidth="1"/>
    <col min="20" max="22" width="29.28515625" style="750" customWidth="1"/>
    <col min="23" max="30" width="27.140625" style="750" customWidth="1"/>
    <col min="31" max="34" width="24.85546875" style="750" customWidth="1"/>
    <col min="35" max="35" width="28.28515625" style="750" customWidth="1"/>
    <col min="36" max="38" width="24.85546875" style="750" customWidth="1"/>
    <col min="39" max="39" width="35.140625" style="750" customWidth="1"/>
    <col min="40" max="42" width="24.85546875" style="750" customWidth="1"/>
    <col min="43" max="43" width="31.7109375" style="750" customWidth="1"/>
    <col min="44" max="44" width="25.42578125" style="750" customWidth="1"/>
    <col min="45" max="46" width="23.42578125" style="750" customWidth="1"/>
    <col min="47" max="47" width="35.140625" style="750" customWidth="1"/>
    <col min="48" max="50" width="26.5703125" style="750" customWidth="1"/>
    <col min="51" max="51" width="34" style="750" customWidth="1"/>
    <col min="52" max="54" width="24.28515625" style="750" customWidth="1"/>
    <col min="55" max="55" width="35.42578125" style="750" customWidth="1"/>
    <col min="56" max="58" width="28.28515625" style="750" customWidth="1"/>
    <col min="59" max="59" width="29.42578125" style="750" customWidth="1"/>
    <col min="60" max="62" width="24" style="750" customWidth="1"/>
    <col min="63" max="63" width="27.7109375" style="750" customWidth="1"/>
    <col min="64" max="66" width="24" style="750" customWidth="1"/>
    <col min="67" max="67" width="27.140625" style="750" customWidth="1"/>
    <col min="68" max="70" width="24" style="750" customWidth="1"/>
    <col min="71" max="71" width="36.5703125" style="750" customWidth="1"/>
    <col min="72" max="74" width="24" style="750" customWidth="1"/>
    <col min="75" max="75" width="33.7109375" style="750" customWidth="1"/>
    <col min="76" max="78" width="24" style="750" customWidth="1"/>
    <col min="79" max="79" width="25.28515625" style="750" customWidth="1"/>
    <col min="80" max="82" width="18.42578125" style="750" customWidth="1"/>
    <col min="83" max="83" width="31.85546875" style="750" customWidth="1"/>
    <col min="84" max="90" width="21" style="750" customWidth="1"/>
    <col min="91" max="91" width="27.28515625" style="750" customWidth="1"/>
    <col min="92" max="94" width="21" style="750" customWidth="1"/>
    <col min="95" max="95" width="33" style="750" customWidth="1"/>
    <col min="96" max="98" width="21" style="750" customWidth="1"/>
    <col min="99" max="99" width="30.7109375" style="750" customWidth="1"/>
    <col min="100" max="101" width="22.28515625" style="750" customWidth="1"/>
    <col min="102" max="102" width="23.28515625" style="750" customWidth="1"/>
    <col min="103" max="103" width="20.7109375" style="750" customWidth="1"/>
    <col min="104" max="104" width="22.85546875" style="750" customWidth="1"/>
    <col min="105" max="105" width="19.28515625" style="750" customWidth="1"/>
    <col min="106" max="109" width="21" style="750" customWidth="1"/>
    <col min="110" max="110" width="18.28515625" style="750" customWidth="1"/>
    <col min="111" max="111" width="19.28515625" style="750" customWidth="1"/>
    <col min="112" max="337" width="8.85546875" style="750"/>
    <col min="338" max="338" width="69.42578125" style="750" customWidth="1"/>
    <col min="339" max="339" width="29.140625" style="750" customWidth="1"/>
    <col min="340" max="340" width="28.140625" style="750" customWidth="1"/>
    <col min="341" max="341" width="31.42578125" style="750" customWidth="1"/>
    <col min="342" max="342" width="26.42578125" style="750" customWidth="1"/>
    <col min="343" max="343" width="28.85546875" style="750" customWidth="1"/>
    <col min="344" max="344" width="23.5703125" style="750" customWidth="1"/>
    <col min="345" max="345" width="27.140625" style="750" bestFit="1" customWidth="1"/>
    <col min="346" max="346" width="24.85546875" style="750" bestFit="1" customWidth="1"/>
    <col min="347" max="347" width="23.42578125" style="750" bestFit="1" customWidth="1"/>
    <col min="348" max="348" width="26.5703125" style="750" customWidth="1"/>
    <col min="349" max="349" width="24.28515625" style="750" customWidth="1"/>
    <col min="350" max="350" width="28.28515625" style="750" bestFit="1" customWidth="1"/>
    <col min="351" max="351" width="8.85546875" style="750"/>
    <col min="352" max="352" width="16" style="750" customWidth="1"/>
    <col min="353" max="593" width="8.85546875" style="750"/>
    <col min="594" max="594" width="69.42578125" style="750" customWidth="1"/>
    <col min="595" max="595" width="29.140625" style="750" customWidth="1"/>
    <col min="596" max="596" width="28.140625" style="750" customWidth="1"/>
    <col min="597" max="597" width="31.42578125" style="750" customWidth="1"/>
    <col min="598" max="598" width="26.42578125" style="750" customWidth="1"/>
    <col min="599" max="599" width="28.85546875" style="750" customWidth="1"/>
    <col min="600" max="600" width="23.5703125" style="750" customWidth="1"/>
    <col min="601" max="601" width="27.140625" style="750" bestFit="1" customWidth="1"/>
    <col min="602" max="602" width="24.85546875" style="750" bestFit="1" customWidth="1"/>
    <col min="603" max="603" width="23.42578125" style="750" bestFit="1" customWidth="1"/>
    <col min="604" max="604" width="26.5703125" style="750" customWidth="1"/>
    <col min="605" max="605" width="24.28515625" style="750" customWidth="1"/>
    <col min="606" max="606" width="28.28515625" style="750" bestFit="1" customWidth="1"/>
    <col min="607" max="607" width="8.85546875" style="750"/>
    <col min="608" max="608" width="16" style="750" customWidth="1"/>
    <col min="609" max="849" width="8.85546875" style="750"/>
    <col min="850" max="850" width="69.42578125" style="750" customWidth="1"/>
    <col min="851" max="851" width="29.140625" style="750" customWidth="1"/>
    <col min="852" max="852" width="28.140625" style="750" customWidth="1"/>
    <col min="853" max="853" width="31.42578125" style="750" customWidth="1"/>
    <col min="854" max="854" width="26.42578125" style="750" customWidth="1"/>
    <col min="855" max="855" width="28.85546875" style="750" customWidth="1"/>
    <col min="856" max="856" width="23.5703125" style="750" customWidth="1"/>
    <col min="857" max="857" width="27.140625" style="750" bestFit="1" customWidth="1"/>
    <col min="858" max="858" width="24.85546875" style="750" bestFit="1" customWidth="1"/>
    <col min="859" max="859" width="23.42578125" style="750" bestFit="1" customWidth="1"/>
    <col min="860" max="860" width="26.5703125" style="750" customWidth="1"/>
    <col min="861" max="861" width="24.28515625" style="750" customWidth="1"/>
    <col min="862" max="862" width="28.28515625" style="750" bestFit="1" customWidth="1"/>
    <col min="863" max="863" width="8.85546875" style="750"/>
    <col min="864" max="864" width="16" style="750" customWidth="1"/>
    <col min="865" max="1105" width="8.85546875" style="750"/>
    <col min="1106" max="1106" width="69.42578125" style="750" customWidth="1"/>
    <col min="1107" max="1107" width="29.140625" style="750" customWidth="1"/>
    <col min="1108" max="1108" width="28.140625" style="750" customWidth="1"/>
    <col min="1109" max="1109" width="31.42578125" style="750" customWidth="1"/>
    <col min="1110" max="1110" width="26.42578125" style="750" customWidth="1"/>
    <col min="1111" max="1111" width="28.85546875" style="750" customWidth="1"/>
    <col min="1112" max="1112" width="23.5703125" style="750" customWidth="1"/>
    <col min="1113" max="1113" width="27.140625" style="750" bestFit="1" customWidth="1"/>
    <col min="1114" max="1114" width="24.85546875" style="750" bestFit="1" customWidth="1"/>
    <col min="1115" max="1115" width="23.42578125" style="750" bestFit="1" customWidth="1"/>
    <col min="1116" max="1116" width="26.5703125" style="750" customWidth="1"/>
    <col min="1117" max="1117" width="24.28515625" style="750" customWidth="1"/>
    <col min="1118" max="1118" width="28.28515625" style="750" bestFit="1" customWidth="1"/>
    <col min="1119" max="1119" width="8.85546875" style="750"/>
    <col min="1120" max="1120" width="16" style="750" customWidth="1"/>
    <col min="1121" max="1361" width="8.85546875" style="750"/>
    <col min="1362" max="1362" width="69.42578125" style="750" customWidth="1"/>
    <col min="1363" max="1363" width="29.140625" style="750" customWidth="1"/>
    <col min="1364" max="1364" width="28.140625" style="750" customWidth="1"/>
    <col min="1365" max="1365" width="31.42578125" style="750" customWidth="1"/>
    <col min="1366" max="1366" width="26.42578125" style="750" customWidth="1"/>
    <col min="1367" max="1367" width="28.85546875" style="750" customWidth="1"/>
    <col min="1368" max="1368" width="23.5703125" style="750" customWidth="1"/>
    <col min="1369" max="1369" width="27.140625" style="750" bestFit="1" customWidth="1"/>
    <col min="1370" max="1370" width="24.85546875" style="750" bestFit="1" customWidth="1"/>
    <col min="1371" max="1371" width="23.42578125" style="750" bestFit="1" customWidth="1"/>
    <col min="1372" max="1372" width="26.5703125" style="750" customWidth="1"/>
    <col min="1373" max="1373" width="24.28515625" style="750" customWidth="1"/>
    <col min="1374" max="1374" width="28.28515625" style="750" bestFit="1" customWidth="1"/>
    <col min="1375" max="1375" width="8.85546875" style="750"/>
    <col min="1376" max="1376" width="16" style="750" customWidth="1"/>
    <col min="1377" max="1617" width="8.85546875" style="750"/>
    <col min="1618" max="1618" width="69.42578125" style="750" customWidth="1"/>
    <col min="1619" max="1619" width="29.140625" style="750" customWidth="1"/>
    <col min="1620" max="1620" width="28.140625" style="750" customWidth="1"/>
    <col min="1621" max="1621" width="31.42578125" style="750" customWidth="1"/>
    <col min="1622" max="1622" width="26.42578125" style="750" customWidth="1"/>
    <col min="1623" max="1623" width="28.85546875" style="750" customWidth="1"/>
    <col min="1624" max="1624" width="23.5703125" style="750" customWidth="1"/>
    <col min="1625" max="1625" width="27.140625" style="750" bestFit="1" customWidth="1"/>
    <col min="1626" max="1626" width="24.85546875" style="750" bestFit="1" customWidth="1"/>
    <col min="1627" max="1627" width="23.42578125" style="750" bestFit="1" customWidth="1"/>
    <col min="1628" max="1628" width="26.5703125" style="750" customWidth="1"/>
    <col min="1629" max="1629" width="24.28515625" style="750" customWidth="1"/>
    <col min="1630" max="1630" width="28.28515625" style="750" bestFit="1" customWidth="1"/>
    <col min="1631" max="1631" width="8.85546875" style="750"/>
    <col min="1632" max="1632" width="16" style="750" customWidth="1"/>
    <col min="1633" max="1873" width="8.85546875" style="750"/>
    <col min="1874" max="1874" width="69.42578125" style="750" customWidth="1"/>
    <col min="1875" max="1875" width="29.140625" style="750" customWidth="1"/>
    <col min="1876" max="1876" width="28.140625" style="750" customWidth="1"/>
    <col min="1877" max="1877" width="31.42578125" style="750" customWidth="1"/>
    <col min="1878" max="1878" width="26.42578125" style="750" customWidth="1"/>
    <col min="1879" max="1879" width="28.85546875" style="750" customWidth="1"/>
    <col min="1880" max="1880" width="23.5703125" style="750" customWidth="1"/>
    <col min="1881" max="1881" width="27.140625" style="750" bestFit="1" customWidth="1"/>
    <col min="1882" max="1882" width="24.85546875" style="750" bestFit="1" customWidth="1"/>
    <col min="1883" max="1883" width="23.42578125" style="750" bestFit="1" customWidth="1"/>
    <col min="1884" max="1884" width="26.5703125" style="750" customWidth="1"/>
    <col min="1885" max="1885" width="24.28515625" style="750" customWidth="1"/>
    <col min="1886" max="1886" width="28.28515625" style="750" bestFit="1" customWidth="1"/>
    <col min="1887" max="1887" width="8.85546875" style="750"/>
    <col min="1888" max="1888" width="16" style="750" customWidth="1"/>
    <col min="1889" max="2129" width="8.85546875" style="750"/>
    <col min="2130" max="2130" width="69.42578125" style="750" customWidth="1"/>
    <col min="2131" max="2131" width="29.140625" style="750" customWidth="1"/>
    <col min="2132" max="2132" width="28.140625" style="750" customWidth="1"/>
    <col min="2133" max="2133" width="31.42578125" style="750" customWidth="1"/>
    <col min="2134" max="2134" width="26.42578125" style="750" customWidth="1"/>
    <col min="2135" max="2135" width="28.85546875" style="750" customWidth="1"/>
    <col min="2136" max="2136" width="23.5703125" style="750" customWidth="1"/>
    <col min="2137" max="2137" width="27.140625" style="750" bestFit="1" customWidth="1"/>
    <col min="2138" max="2138" width="24.85546875" style="750" bestFit="1" customWidth="1"/>
    <col min="2139" max="2139" width="23.42578125" style="750" bestFit="1" customWidth="1"/>
    <col min="2140" max="2140" width="26.5703125" style="750" customWidth="1"/>
    <col min="2141" max="2141" width="24.28515625" style="750" customWidth="1"/>
    <col min="2142" max="2142" width="28.28515625" style="750" bestFit="1" customWidth="1"/>
    <col min="2143" max="2143" width="8.85546875" style="750"/>
    <col min="2144" max="2144" width="16" style="750" customWidth="1"/>
    <col min="2145" max="2385" width="8.85546875" style="750"/>
    <col min="2386" max="2386" width="69.42578125" style="750" customWidth="1"/>
    <col min="2387" max="2387" width="29.140625" style="750" customWidth="1"/>
    <col min="2388" max="2388" width="28.140625" style="750" customWidth="1"/>
    <col min="2389" max="2389" width="31.42578125" style="750" customWidth="1"/>
    <col min="2390" max="2390" width="26.42578125" style="750" customWidth="1"/>
    <col min="2391" max="2391" width="28.85546875" style="750" customWidth="1"/>
    <col min="2392" max="2392" width="23.5703125" style="750" customWidth="1"/>
    <col min="2393" max="2393" width="27.140625" style="750" bestFit="1" customWidth="1"/>
    <col min="2394" max="2394" width="24.85546875" style="750" bestFit="1" customWidth="1"/>
    <col min="2395" max="2395" width="23.42578125" style="750" bestFit="1" customWidth="1"/>
    <col min="2396" max="2396" width="26.5703125" style="750" customWidth="1"/>
    <col min="2397" max="2397" width="24.28515625" style="750" customWidth="1"/>
    <col min="2398" max="2398" width="28.28515625" style="750" bestFit="1" customWidth="1"/>
    <col min="2399" max="2399" width="8.85546875" style="750"/>
    <col min="2400" max="2400" width="16" style="750" customWidth="1"/>
    <col min="2401" max="2641" width="8.85546875" style="750"/>
    <col min="2642" max="2642" width="69.42578125" style="750" customWidth="1"/>
    <col min="2643" max="2643" width="29.140625" style="750" customWidth="1"/>
    <col min="2644" max="2644" width="28.140625" style="750" customWidth="1"/>
    <col min="2645" max="2645" width="31.42578125" style="750" customWidth="1"/>
    <col min="2646" max="2646" width="26.42578125" style="750" customWidth="1"/>
    <col min="2647" max="2647" width="28.85546875" style="750" customWidth="1"/>
    <col min="2648" max="2648" width="23.5703125" style="750" customWidth="1"/>
    <col min="2649" max="2649" width="27.140625" style="750" bestFit="1" customWidth="1"/>
    <col min="2650" max="2650" width="24.85546875" style="750" bestFit="1" customWidth="1"/>
    <col min="2651" max="2651" width="23.42578125" style="750" bestFit="1" customWidth="1"/>
    <col min="2652" max="2652" width="26.5703125" style="750" customWidth="1"/>
    <col min="2653" max="2653" width="24.28515625" style="750" customWidth="1"/>
    <col min="2654" max="2654" width="28.28515625" style="750" bestFit="1" customWidth="1"/>
    <col min="2655" max="2655" width="8.85546875" style="750"/>
    <col min="2656" max="2656" width="16" style="750" customWidth="1"/>
    <col min="2657" max="2897" width="8.85546875" style="750"/>
    <col min="2898" max="2898" width="69.42578125" style="750" customWidth="1"/>
    <col min="2899" max="2899" width="29.140625" style="750" customWidth="1"/>
    <col min="2900" max="2900" width="28.140625" style="750" customWidth="1"/>
    <col min="2901" max="2901" width="31.42578125" style="750" customWidth="1"/>
    <col min="2902" max="2902" width="26.42578125" style="750" customWidth="1"/>
    <col min="2903" max="2903" width="28.85546875" style="750" customWidth="1"/>
    <col min="2904" max="2904" width="23.5703125" style="750" customWidth="1"/>
    <col min="2905" max="2905" width="27.140625" style="750" bestFit="1" customWidth="1"/>
    <col min="2906" max="2906" width="24.85546875" style="750" bestFit="1" customWidth="1"/>
    <col min="2907" max="2907" width="23.42578125" style="750" bestFit="1" customWidth="1"/>
    <col min="2908" max="2908" width="26.5703125" style="750" customWidth="1"/>
    <col min="2909" max="2909" width="24.28515625" style="750" customWidth="1"/>
    <col min="2910" max="2910" width="28.28515625" style="750" bestFit="1" customWidth="1"/>
    <col min="2911" max="2911" width="8.85546875" style="750"/>
    <col min="2912" max="2912" width="16" style="750" customWidth="1"/>
    <col min="2913" max="3153" width="8.85546875" style="750"/>
    <col min="3154" max="3154" width="69.42578125" style="750" customWidth="1"/>
    <col min="3155" max="3155" width="29.140625" style="750" customWidth="1"/>
    <col min="3156" max="3156" width="28.140625" style="750" customWidth="1"/>
    <col min="3157" max="3157" width="31.42578125" style="750" customWidth="1"/>
    <col min="3158" max="3158" width="26.42578125" style="750" customWidth="1"/>
    <col min="3159" max="3159" width="28.85546875" style="750" customWidth="1"/>
    <col min="3160" max="3160" width="23.5703125" style="750" customWidth="1"/>
    <col min="3161" max="3161" width="27.140625" style="750" bestFit="1" customWidth="1"/>
    <col min="3162" max="3162" width="24.85546875" style="750" bestFit="1" customWidth="1"/>
    <col min="3163" max="3163" width="23.42578125" style="750" bestFit="1" customWidth="1"/>
    <col min="3164" max="3164" width="26.5703125" style="750" customWidth="1"/>
    <col min="3165" max="3165" width="24.28515625" style="750" customWidth="1"/>
    <col min="3166" max="3166" width="28.28515625" style="750" bestFit="1" customWidth="1"/>
    <col min="3167" max="3167" width="8.85546875" style="750"/>
    <col min="3168" max="3168" width="16" style="750" customWidth="1"/>
    <col min="3169" max="3409" width="8.85546875" style="750"/>
    <col min="3410" max="3410" width="69.42578125" style="750" customWidth="1"/>
    <col min="3411" max="3411" width="29.140625" style="750" customWidth="1"/>
    <col min="3412" max="3412" width="28.140625" style="750" customWidth="1"/>
    <col min="3413" max="3413" width="31.42578125" style="750" customWidth="1"/>
    <col min="3414" max="3414" width="26.42578125" style="750" customWidth="1"/>
    <col min="3415" max="3415" width="28.85546875" style="750" customWidth="1"/>
    <col min="3416" max="3416" width="23.5703125" style="750" customWidth="1"/>
    <col min="3417" max="3417" width="27.140625" style="750" bestFit="1" customWidth="1"/>
    <col min="3418" max="3418" width="24.85546875" style="750" bestFit="1" customWidth="1"/>
    <col min="3419" max="3419" width="23.42578125" style="750" bestFit="1" customWidth="1"/>
    <col min="3420" max="3420" width="26.5703125" style="750" customWidth="1"/>
    <col min="3421" max="3421" width="24.28515625" style="750" customWidth="1"/>
    <col min="3422" max="3422" width="28.28515625" style="750" bestFit="1" customWidth="1"/>
    <col min="3423" max="3423" width="8.85546875" style="750"/>
    <col min="3424" max="3424" width="16" style="750" customWidth="1"/>
    <col min="3425" max="3665" width="8.85546875" style="750"/>
    <col min="3666" max="3666" width="69.42578125" style="750" customWidth="1"/>
    <col min="3667" max="3667" width="29.140625" style="750" customWidth="1"/>
    <col min="3668" max="3668" width="28.140625" style="750" customWidth="1"/>
    <col min="3669" max="3669" width="31.42578125" style="750" customWidth="1"/>
    <col min="3670" max="3670" width="26.42578125" style="750" customWidth="1"/>
    <col min="3671" max="3671" width="28.85546875" style="750" customWidth="1"/>
    <col min="3672" max="3672" width="23.5703125" style="750" customWidth="1"/>
    <col min="3673" max="3673" width="27.140625" style="750" bestFit="1" customWidth="1"/>
    <col min="3674" max="3674" width="24.85546875" style="750" bestFit="1" customWidth="1"/>
    <col min="3675" max="3675" width="23.42578125" style="750" bestFit="1" customWidth="1"/>
    <col min="3676" max="3676" width="26.5703125" style="750" customWidth="1"/>
    <col min="3677" max="3677" width="24.28515625" style="750" customWidth="1"/>
    <col min="3678" max="3678" width="28.28515625" style="750" bestFit="1" customWidth="1"/>
    <col min="3679" max="3679" width="8.85546875" style="750"/>
    <col min="3680" max="3680" width="16" style="750" customWidth="1"/>
    <col min="3681" max="3921" width="8.85546875" style="750"/>
    <col min="3922" max="3922" width="69.42578125" style="750" customWidth="1"/>
    <col min="3923" max="3923" width="29.140625" style="750" customWidth="1"/>
    <col min="3924" max="3924" width="28.140625" style="750" customWidth="1"/>
    <col min="3925" max="3925" width="31.42578125" style="750" customWidth="1"/>
    <col min="3926" max="3926" width="26.42578125" style="750" customWidth="1"/>
    <col min="3927" max="3927" width="28.85546875" style="750" customWidth="1"/>
    <col min="3928" max="3928" width="23.5703125" style="750" customWidth="1"/>
    <col min="3929" max="3929" width="27.140625" style="750" bestFit="1" customWidth="1"/>
    <col min="3930" max="3930" width="24.85546875" style="750" bestFit="1" customWidth="1"/>
    <col min="3931" max="3931" width="23.42578125" style="750" bestFit="1" customWidth="1"/>
    <col min="3932" max="3932" width="26.5703125" style="750" customWidth="1"/>
    <col min="3933" max="3933" width="24.28515625" style="750" customWidth="1"/>
    <col min="3934" max="3934" width="28.28515625" style="750" bestFit="1" customWidth="1"/>
    <col min="3935" max="3935" width="8.85546875" style="750"/>
    <col min="3936" max="3936" width="16" style="750" customWidth="1"/>
    <col min="3937" max="4177" width="8.85546875" style="750"/>
    <col min="4178" max="4178" width="69.42578125" style="750" customWidth="1"/>
    <col min="4179" max="4179" width="29.140625" style="750" customWidth="1"/>
    <col min="4180" max="4180" width="28.140625" style="750" customWidth="1"/>
    <col min="4181" max="4181" width="31.42578125" style="750" customWidth="1"/>
    <col min="4182" max="4182" width="26.42578125" style="750" customWidth="1"/>
    <col min="4183" max="4183" width="28.85546875" style="750" customWidth="1"/>
    <col min="4184" max="4184" width="23.5703125" style="750" customWidth="1"/>
    <col min="4185" max="4185" width="27.140625" style="750" bestFit="1" customWidth="1"/>
    <col min="4186" max="4186" width="24.85546875" style="750" bestFit="1" customWidth="1"/>
    <col min="4187" max="4187" width="23.42578125" style="750" bestFit="1" customWidth="1"/>
    <col min="4188" max="4188" width="26.5703125" style="750" customWidth="1"/>
    <col min="4189" max="4189" width="24.28515625" style="750" customWidth="1"/>
    <col min="4190" max="4190" width="28.28515625" style="750" bestFit="1" customWidth="1"/>
    <col min="4191" max="4191" width="8.85546875" style="750"/>
    <col min="4192" max="4192" width="16" style="750" customWidth="1"/>
    <col min="4193" max="4433" width="8.85546875" style="750"/>
    <col min="4434" max="4434" width="69.42578125" style="750" customWidth="1"/>
    <col min="4435" max="4435" width="29.140625" style="750" customWidth="1"/>
    <col min="4436" max="4436" width="28.140625" style="750" customWidth="1"/>
    <col min="4437" max="4437" width="31.42578125" style="750" customWidth="1"/>
    <col min="4438" max="4438" width="26.42578125" style="750" customWidth="1"/>
    <col min="4439" max="4439" width="28.85546875" style="750" customWidth="1"/>
    <col min="4440" max="4440" width="23.5703125" style="750" customWidth="1"/>
    <col min="4441" max="4441" width="27.140625" style="750" bestFit="1" customWidth="1"/>
    <col min="4442" max="4442" width="24.85546875" style="750" bestFit="1" customWidth="1"/>
    <col min="4443" max="4443" width="23.42578125" style="750" bestFit="1" customWidth="1"/>
    <col min="4444" max="4444" width="26.5703125" style="750" customWidth="1"/>
    <col min="4445" max="4445" width="24.28515625" style="750" customWidth="1"/>
    <col min="4446" max="4446" width="28.28515625" style="750" bestFit="1" customWidth="1"/>
    <col min="4447" max="4447" width="8.85546875" style="750"/>
    <col min="4448" max="4448" width="16" style="750" customWidth="1"/>
    <col min="4449" max="4689" width="8.85546875" style="750"/>
    <col min="4690" max="4690" width="69.42578125" style="750" customWidth="1"/>
    <col min="4691" max="4691" width="29.140625" style="750" customWidth="1"/>
    <col min="4692" max="4692" width="28.140625" style="750" customWidth="1"/>
    <col min="4693" max="4693" width="31.42578125" style="750" customWidth="1"/>
    <col min="4694" max="4694" width="26.42578125" style="750" customWidth="1"/>
    <col min="4695" max="4695" width="28.85546875" style="750" customWidth="1"/>
    <col min="4696" max="4696" width="23.5703125" style="750" customWidth="1"/>
    <col min="4697" max="4697" width="27.140625" style="750" bestFit="1" customWidth="1"/>
    <col min="4698" max="4698" width="24.85546875" style="750" bestFit="1" customWidth="1"/>
    <col min="4699" max="4699" width="23.42578125" style="750" bestFit="1" customWidth="1"/>
    <col min="4700" max="4700" width="26.5703125" style="750" customWidth="1"/>
    <col min="4701" max="4701" width="24.28515625" style="750" customWidth="1"/>
    <col min="4702" max="4702" width="28.28515625" style="750" bestFit="1" customWidth="1"/>
    <col min="4703" max="4703" width="8.85546875" style="750"/>
    <col min="4704" max="4704" width="16" style="750" customWidth="1"/>
    <col min="4705" max="4945" width="8.85546875" style="750"/>
    <col min="4946" max="4946" width="69.42578125" style="750" customWidth="1"/>
    <col min="4947" max="4947" width="29.140625" style="750" customWidth="1"/>
    <col min="4948" max="4948" width="28.140625" style="750" customWidth="1"/>
    <col min="4949" max="4949" width="31.42578125" style="750" customWidth="1"/>
    <col min="4950" max="4950" width="26.42578125" style="750" customWidth="1"/>
    <col min="4951" max="4951" width="28.85546875" style="750" customWidth="1"/>
    <col min="4952" max="4952" width="23.5703125" style="750" customWidth="1"/>
    <col min="4953" max="4953" width="27.140625" style="750" bestFit="1" customWidth="1"/>
    <col min="4954" max="4954" width="24.85546875" style="750" bestFit="1" customWidth="1"/>
    <col min="4955" max="4955" width="23.42578125" style="750" bestFit="1" customWidth="1"/>
    <col min="4956" max="4956" width="26.5703125" style="750" customWidth="1"/>
    <col min="4957" max="4957" width="24.28515625" style="750" customWidth="1"/>
    <col min="4958" max="4958" width="28.28515625" style="750" bestFit="1" customWidth="1"/>
    <col min="4959" max="4959" width="8.85546875" style="750"/>
    <col min="4960" max="4960" width="16" style="750" customWidth="1"/>
    <col min="4961" max="5201" width="8.85546875" style="750"/>
    <col min="5202" max="5202" width="69.42578125" style="750" customWidth="1"/>
    <col min="5203" max="5203" width="29.140625" style="750" customWidth="1"/>
    <col min="5204" max="5204" width="28.140625" style="750" customWidth="1"/>
    <col min="5205" max="5205" width="31.42578125" style="750" customWidth="1"/>
    <col min="5206" max="5206" width="26.42578125" style="750" customWidth="1"/>
    <col min="5207" max="5207" width="28.85546875" style="750" customWidth="1"/>
    <col min="5208" max="5208" width="23.5703125" style="750" customWidth="1"/>
    <col min="5209" max="5209" width="27.140625" style="750" bestFit="1" customWidth="1"/>
    <col min="5210" max="5210" width="24.85546875" style="750" bestFit="1" customWidth="1"/>
    <col min="5211" max="5211" width="23.42578125" style="750" bestFit="1" customWidth="1"/>
    <col min="5212" max="5212" width="26.5703125" style="750" customWidth="1"/>
    <col min="5213" max="5213" width="24.28515625" style="750" customWidth="1"/>
    <col min="5214" max="5214" width="28.28515625" style="750" bestFit="1" customWidth="1"/>
    <col min="5215" max="5215" width="8.85546875" style="750"/>
    <col min="5216" max="5216" width="16" style="750" customWidth="1"/>
    <col min="5217" max="5457" width="8.85546875" style="750"/>
    <col min="5458" max="5458" width="69.42578125" style="750" customWidth="1"/>
    <col min="5459" max="5459" width="29.140625" style="750" customWidth="1"/>
    <col min="5460" max="5460" width="28.140625" style="750" customWidth="1"/>
    <col min="5461" max="5461" width="31.42578125" style="750" customWidth="1"/>
    <col min="5462" max="5462" width="26.42578125" style="750" customWidth="1"/>
    <col min="5463" max="5463" width="28.85546875" style="750" customWidth="1"/>
    <col min="5464" max="5464" width="23.5703125" style="750" customWidth="1"/>
    <col min="5465" max="5465" width="27.140625" style="750" bestFit="1" customWidth="1"/>
    <col min="5466" max="5466" width="24.85546875" style="750" bestFit="1" customWidth="1"/>
    <col min="5467" max="5467" width="23.42578125" style="750" bestFit="1" customWidth="1"/>
    <col min="5468" max="5468" width="26.5703125" style="750" customWidth="1"/>
    <col min="5469" max="5469" width="24.28515625" style="750" customWidth="1"/>
    <col min="5470" max="5470" width="28.28515625" style="750" bestFit="1" customWidth="1"/>
    <col min="5471" max="5471" width="8.85546875" style="750"/>
    <col min="5472" max="5472" width="16" style="750" customWidth="1"/>
    <col min="5473" max="5713" width="8.85546875" style="750"/>
    <col min="5714" max="5714" width="69.42578125" style="750" customWidth="1"/>
    <col min="5715" max="5715" width="29.140625" style="750" customWidth="1"/>
    <col min="5716" max="5716" width="28.140625" style="750" customWidth="1"/>
    <col min="5717" max="5717" width="31.42578125" style="750" customWidth="1"/>
    <col min="5718" max="5718" width="26.42578125" style="750" customWidth="1"/>
    <col min="5719" max="5719" width="28.85546875" style="750" customWidth="1"/>
    <col min="5720" max="5720" width="23.5703125" style="750" customWidth="1"/>
    <col min="5721" max="5721" width="27.140625" style="750" bestFit="1" customWidth="1"/>
    <col min="5722" max="5722" width="24.85546875" style="750" bestFit="1" customWidth="1"/>
    <col min="5723" max="5723" width="23.42578125" style="750" bestFit="1" customWidth="1"/>
    <col min="5724" max="5724" width="26.5703125" style="750" customWidth="1"/>
    <col min="5725" max="5725" width="24.28515625" style="750" customWidth="1"/>
    <col min="5726" max="5726" width="28.28515625" style="750" bestFit="1" customWidth="1"/>
    <col min="5727" max="5727" width="8.85546875" style="750"/>
    <col min="5728" max="5728" width="16" style="750" customWidth="1"/>
    <col min="5729" max="5969" width="8.85546875" style="750"/>
    <col min="5970" max="5970" width="69.42578125" style="750" customWidth="1"/>
    <col min="5971" max="5971" width="29.140625" style="750" customWidth="1"/>
    <col min="5972" max="5972" width="28.140625" style="750" customWidth="1"/>
    <col min="5973" max="5973" width="31.42578125" style="750" customWidth="1"/>
    <col min="5974" max="5974" width="26.42578125" style="750" customWidth="1"/>
    <col min="5975" max="5975" width="28.85546875" style="750" customWidth="1"/>
    <col min="5976" max="5976" width="23.5703125" style="750" customWidth="1"/>
    <col min="5977" max="5977" width="27.140625" style="750" bestFit="1" customWidth="1"/>
    <col min="5978" max="5978" width="24.85546875" style="750" bestFit="1" customWidth="1"/>
    <col min="5979" max="5979" width="23.42578125" style="750" bestFit="1" customWidth="1"/>
    <col min="5980" max="5980" width="26.5703125" style="750" customWidth="1"/>
    <col min="5981" max="5981" width="24.28515625" style="750" customWidth="1"/>
    <col min="5982" max="5982" width="28.28515625" style="750" bestFit="1" customWidth="1"/>
    <col min="5983" max="5983" width="8.85546875" style="750"/>
    <col min="5984" max="5984" width="16" style="750" customWidth="1"/>
    <col min="5985" max="6225" width="8.85546875" style="750"/>
    <col min="6226" max="6226" width="69.42578125" style="750" customWidth="1"/>
    <col min="6227" max="6227" width="29.140625" style="750" customWidth="1"/>
    <col min="6228" max="6228" width="28.140625" style="750" customWidth="1"/>
    <col min="6229" max="6229" width="31.42578125" style="750" customWidth="1"/>
    <col min="6230" max="6230" width="26.42578125" style="750" customWidth="1"/>
    <col min="6231" max="6231" width="28.85546875" style="750" customWidth="1"/>
    <col min="6232" max="6232" width="23.5703125" style="750" customWidth="1"/>
    <col min="6233" max="6233" width="27.140625" style="750" bestFit="1" customWidth="1"/>
    <col min="6234" max="6234" width="24.85546875" style="750" bestFit="1" customWidth="1"/>
    <col min="6235" max="6235" width="23.42578125" style="750" bestFit="1" customWidth="1"/>
    <col min="6236" max="6236" width="26.5703125" style="750" customWidth="1"/>
    <col min="6237" max="6237" width="24.28515625" style="750" customWidth="1"/>
    <col min="6238" max="6238" width="28.28515625" style="750" bestFit="1" customWidth="1"/>
    <col min="6239" max="6239" width="8.85546875" style="750"/>
    <col min="6240" max="6240" width="16" style="750" customWidth="1"/>
    <col min="6241" max="6481" width="8.85546875" style="750"/>
    <col min="6482" max="6482" width="69.42578125" style="750" customWidth="1"/>
    <col min="6483" max="6483" width="29.140625" style="750" customWidth="1"/>
    <col min="6484" max="6484" width="28.140625" style="750" customWidth="1"/>
    <col min="6485" max="6485" width="31.42578125" style="750" customWidth="1"/>
    <col min="6486" max="6486" width="26.42578125" style="750" customWidth="1"/>
    <col min="6487" max="6487" width="28.85546875" style="750" customWidth="1"/>
    <col min="6488" max="6488" width="23.5703125" style="750" customWidth="1"/>
    <col min="6489" max="6489" width="27.140625" style="750" bestFit="1" customWidth="1"/>
    <col min="6490" max="6490" width="24.85546875" style="750" bestFit="1" customWidth="1"/>
    <col min="6491" max="6491" width="23.42578125" style="750" bestFit="1" customWidth="1"/>
    <col min="6492" max="6492" width="26.5703125" style="750" customWidth="1"/>
    <col min="6493" max="6493" width="24.28515625" style="750" customWidth="1"/>
    <col min="6494" max="6494" width="28.28515625" style="750" bestFit="1" customWidth="1"/>
    <col min="6495" max="6495" width="8.85546875" style="750"/>
    <col min="6496" max="6496" width="16" style="750" customWidth="1"/>
    <col min="6497" max="6737" width="8.85546875" style="750"/>
    <col min="6738" max="6738" width="69.42578125" style="750" customWidth="1"/>
    <col min="6739" max="6739" width="29.140625" style="750" customWidth="1"/>
    <col min="6740" max="6740" width="28.140625" style="750" customWidth="1"/>
    <col min="6741" max="6741" width="31.42578125" style="750" customWidth="1"/>
    <col min="6742" max="6742" width="26.42578125" style="750" customWidth="1"/>
    <col min="6743" max="6743" width="28.85546875" style="750" customWidth="1"/>
    <col min="6744" max="6744" width="23.5703125" style="750" customWidth="1"/>
    <col min="6745" max="6745" width="27.140625" style="750" bestFit="1" customWidth="1"/>
    <col min="6746" max="6746" width="24.85546875" style="750" bestFit="1" customWidth="1"/>
    <col min="6747" max="6747" width="23.42578125" style="750" bestFit="1" customWidth="1"/>
    <col min="6748" max="6748" width="26.5703125" style="750" customWidth="1"/>
    <col min="6749" max="6749" width="24.28515625" style="750" customWidth="1"/>
    <col min="6750" max="6750" width="28.28515625" style="750" bestFit="1" customWidth="1"/>
    <col min="6751" max="6751" width="8.85546875" style="750"/>
    <col min="6752" max="6752" width="16" style="750" customWidth="1"/>
    <col min="6753" max="6993" width="8.85546875" style="750"/>
    <col min="6994" max="6994" width="69.42578125" style="750" customWidth="1"/>
    <col min="6995" max="6995" width="29.140625" style="750" customWidth="1"/>
    <col min="6996" max="6996" width="28.140625" style="750" customWidth="1"/>
    <col min="6997" max="6997" width="31.42578125" style="750" customWidth="1"/>
    <col min="6998" max="6998" width="26.42578125" style="750" customWidth="1"/>
    <col min="6999" max="6999" width="28.85546875" style="750" customWidth="1"/>
    <col min="7000" max="7000" width="23.5703125" style="750" customWidth="1"/>
    <col min="7001" max="7001" width="27.140625" style="750" bestFit="1" customWidth="1"/>
    <col min="7002" max="7002" width="24.85546875" style="750" bestFit="1" customWidth="1"/>
    <col min="7003" max="7003" width="23.42578125" style="750" bestFit="1" customWidth="1"/>
    <col min="7004" max="7004" width="26.5703125" style="750" customWidth="1"/>
    <col min="7005" max="7005" width="24.28515625" style="750" customWidth="1"/>
    <col min="7006" max="7006" width="28.28515625" style="750" bestFit="1" customWidth="1"/>
    <col min="7007" max="7007" width="8.85546875" style="750"/>
    <col min="7008" max="7008" width="16" style="750" customWidth="1"/>
    <col min="7009" max="7249" width="8.85546875" style="750"/>
    <col min="7250" max="7250" width="69.42578125" style="750" customWidth="1"/>
    <col min="7251" max="7251" width="29.140625" style="750" customWidth="1"/>
    <col min="7252" max="7252" width="28.140625" style="750" customWidth="1"/>
    <col min="7253" max="7253" width="31.42578125" style="750" customWidth="1"/>
    <col min="7254" max="7254" width="26.42578125" style="750" customWidth="1"/>
    <col min="7255" max="7255" width="28.85546875" style="750" customWidth="1"/>
    <col min="7256" max="7256" width="23.5703125" style="750" customWidth="1"/>
    <col min="7257" max="7257" width="27.140625" style="750" bestFit="1" customWidth="1"/>
    <col min="7258" max="7258" width="24.85546875" style="750" bestFit="1" customWidth="1"/>
    <col min="7259" max="7259" width="23.42578125" style="750" bestFit="1" customWidth="1"/>
    <col min="7260" max="7260" width="26.5703125" style="750" customWidth="1"/>
    <col min="7261" max="7261" width="24.28515625" style="750" customWidth="1"/>
    <col min="7262" max="7262" width="28.28515625" style="750" bestFit="1" customWidth="1"/>
    <col min="7263" max="7263" width="8.85546875" style="750"/>
    <col min="7264" max="7264" width="16" style="750" customWidth="1"/>
    <col min="7265" max="7505" width="8.85546875" style="750"/>
    <col min="7506" max="7506" width="69.42578125" style="750" customWidth="1"/>
    <col min="7507" max="7507" width="29.140625" style="750" customWidth="1"/>
    <col min="7508" max="7508" width="28.140625" style="750" customWidth="1"/>
    <col min="7509" max="7509" width="31.42578125" style="750" customWidth="1"/>
    <col min="7510" max="7510" width="26.42578125" style="750" customWidth="1"/>
    <col min="7511" max="7511" width="28.85546875" style="750" customWidth="1"/>
    <col min="7512" max="7512" width="23.5703125" style="750" customWidth="1"/>
    <col min="7513" max="7513" width="27.140625" style="750" bestFit="1" customWidth="1"/>
    <col min="7514" max="7514" width="24.85546875" style="750" bestFit="1" customWidth="1"/>
    <col min="7515" max="7515" width="23.42578125" style="750" bestFit="1" customWidth="1"/>
    <col min="7516" max="7516" width="26.5703125" style="750" customWidth="1"/>
    <col min="7517" max="7517" width="24.28515625" style="750" customWidth="1"/>
    <col min="7518" max="7518" width="28.28515625" style="750" bestFit="1" customWidth="1"/>
    <col min="7519" max="7519" width="8.85546875" style="750"/>
    <col min="7520" max="7520" width="16" style="750" customWidth="1"/>
    <col min="7521" max="7761" width="8.85546875" style="750"/>
    <col min="7762" max="7762" width="69.42578125" style="750" customWidth="1"/>
    <col min="7763" max="7763" width="29.140625" style="750" customWidth="1"/>
    <col min="7764" max="7764" width="28.140625" style="750" customWidth="1"/>
    <col min="7765" max="7765" width="31.42578125" style="750" customWidth="1"/>
    <col min="7766" max="7766" width="26.42578125" style="750" customWidth="1"/>
    <col min="7767" max="7767" width="28.85546875" style="750" customWidth="1"/>
    <col min="7768" max="7768" width="23.5703125" style="750" customWidth="1"/>
    <col min="7769" max="7769" width="27.140625" style="750" bestFit="1" customWidth="1"/>
    <col min="7770" max="7770" width="24.85546875" style="750" bestFit="1" customWidth="1"/>
    <col min="7771" max="7771" width="23.42578125" style="750" bestFit="1" customWidth="1"/>
    <col min="7772" max="7772" width="26.5703125" style="750" customWidth="1"/>
    <col min="7773" max="7773" width="24.28515625" style="750" customWidth="1"/>
    <col min="7774" max="7774" width="28.28515625" style="750" bestFit="1" customWidth="1"/>
    <col min="7775" max="7775" width="8.85546875" style="750"/>
    <col min="7776" max="7776" width="16" style="750" customWidth="1"/>
    <col min="7777" max="8017" width="8.85546875" style="750"/>
    <col min="8018" max="8018" width="69.42578125" style="750" customWidth="1"/>
    <col min="8019" max="8019" width="29.140625" style="750" customWidth="1"/>
    <col min="8020" max="8020" width="28.140625" style="750" customWidth="1"/>
    <col min="8021" max="8021" width="31.42578125" style="750" customWidth="1"/>
    <col min="8022" max="8022" width="26.42578125" style="750" customWidth="1"/>
    <col min="8023" max="8023" width="28.85546875" style="750" customWidth="1"/>
    <col min="8024" max="8024" width="23.5703125" style="750" customWidth="1"/>
    <col min="8025" max="8025" width="27.140625" style="750" bestFit="1" customWidth="1"/>
    <col min="8026" max="8026" width="24.85546875" style="750" bestFit="1" customWidth="1"/>
    <col min="8027" max="8027" width="23.42578125" style="750" bestFit="1" customWidth="1"/>
    <col min="8028" max="8028" width="26.5703125" style="750" customWidth="1"/>
    <col min="8029" max="8029" width="24.28515625" style="750" customWidth="1"/>
    <col min="8030" max="8030" width="28.28515625" style="750" bestFit="1" customWidth="1"/>
    <col min="8031" max="8031" width="8.85546875" style="750"/>
    <col min="8032" max="8032" width="16" style="750" customWidth="1"/>
    <col min="8033" max="8273" width="8.85546875" style="750"/>
    <col min="8274" max="8274" width="69.42578125" style="750" customWidth="1"/>
    <col min="8275" max="8275" width="29.140625" style="750" customWidth="1"/>
    <col min="8276" max="8276" width="28.140625" style="750" customWidth="1"/>
    <col min="8277" max="8277" width="31.42578125" style="750" customWidth="1"/>
    <col min="8278" max="8278" width="26.42578125" style="750" customWidth="1"/>
    <col min="8279" max="8279" width="28.85546875" style="750" customWidth="1"/>
    <col min="8280" max="8280" width="23.5703125" style="750" customWidth="1"/>
    <col min="8281" max="8281" width="27.140625" style="750" bestFit="1" customWidth="1"/>
    <col min="8282" max="8282" width="24.85546875" style="750" bestFit="1" customWidth="1"/>
    <col min="8283" max="8283" width="23.42578125" style="750" bestFit="1" customWidth="1"/>
    <col min="8284" max="8284" width="26.5703125" style="750" customWidth="1"/>
    <col min="8285" max="8285" width="24.28515625" style="750" customWidth="1"/>
    <col min="8286" max="8286" width="28.28515625" style="750" bestFit="1" customWidth="1"/>
    <col min="8287" max="8287" width="8.85546875" style="750"/>
    <col min="8288" max="8288" width="16" style="750" customWidth="1"/>
    <col min="8289" max="8529" width="8.85546875" style="750"/>
    <col min="8530" max="8530" width="69.42578125" style="750" customWidth="1"/>
    <col min="8531" max="8531" width="29.140625" style="750" customWidth="1"/>
    <col min="8532" max="8532" width="28.140625" style="750" customWidth="1"/>
    <col min="8533" max="8533" width="31.42578125" style="750" customWidth="1"/>
    <col min="8534" max="8534" width="26.42578125" style="750" customWidth="1"/>
    <col min="8535" max="8535" width="28.85546875" style="750" customWidth="1"/>
    <col min="8536" max="8536" width="23.5703125" style="750" customWidth="1"/>
    <col min="8537" max="8537" width="27.140625" style="750" bestFit="1" customWidth="1"/>
    <col min="8538" max="8538" width="24.85546875" style="750" bestFit="1" customWidth="1"/>
    <col min="8539" max="8539" width="23.42578125" style="750" bestFit="1" customWidth="1"/>
    <col min="8540" max="8540" width="26.5703125" style="750" customWidth="1"/>
    <col min="8541" max="8541" width="24.28515625" style="750" customWidth="1"/>
    <col min="8542" max="8542" width="28.28515625" style="750" bestFit="1" customWidth="1"/>
    <col min="8543" max="8543" width="8.85546875" style="750"/>
    <col min="8544" max="8544" width="16" style="750" customWidth="1"/>
    <col min="8545" max="8785" width="8.85546875" style="750"/>
    <col min="8786" max="8786" width="69.42578125" style="750" customWidth="1"/>
    <col min="8787" max="8787" width="29.140625" style="750" customWidth="1"/>
    <col min="8788" max="8788" width="28.140625" style="750" customWidth="1"/>
    <col min="8789" max="8789" width="31.42578125" style="750" customWidth="1"/>
    <col min="8790" max="8790" width="26.42578125" style="750" customWidth="1"/>
    <col min="8791" max="8791" width="28.85546875" style="750" customWidth="1"/>
    <col min="8792" max="8792" width="23.5703125" style="750" customWidth="1"/>
    <col min="8793" max="8793" width="27.140625" style="750" bestFit="1" customWidth="1"/>
    <col min="8794" max="8794" width="24.85546875" style="750" bestFit="1" customWidth="1"/>
    <col min="8795" max="8795" width="23.42578125" style="750" bestFit="1" customWidth="1"/>
    <col min="8796" max="8796" width="26.5703125" style="750" customWidth="1"/>
    <col min="8797" max="8797" width="24.28515625" style="750" customWidth="1"/>
    <col min="8798" max="8798" width="28.28515625" style="750" bestFit="1" customWidth="1"/>
    <col min="8799" max="8799" width="8.85546875" style="750"/>
    <col min="8800" max="8800" width="16" style="750" customWidth="1"/>
    <col min="8801" max="9041" width="8.85546875" style="750"/>
    <col min="9042" max="9042" width="69.42578125" style="750" customWidth="1"/>
    <col min="9043" max="9043" width="29.140625" style="750" customWidth="1"/>
    <col min="9044" max="9044" width="28.140625" style="750" customWidth="1"/>
    <col min="9045" max="9045" width="31.42578125" style="750" customWidth="1"/>
    <col min="9046" max="9046" width="26.42578125" style="750" customWidth="1"/>
    <col min="9047" max="9047" width="28.85546875" style="750" customWidth="1"/>
    <col min="9048" max="9048" width="23.5703125" style="750" customWidth="1"/>
    <col min="9049" max="9049" width="27.140625" style="750" bestFit="1" customWidth="1"/>
    <col min="9050" max="9050" width="24.85546875" style="750" bestFit="1" customWidth="1"/>
    <col min="9051" max="9051" width="23.42578125" style="750" bestFit="1" customWidth="1"/>
    <col min="9052" max="9052" width="26.5703125" style="750" customWidth="1"/>
    <col min="9053" max="9053" width="24.28515625" style="750" customWidth="1"/>
    <col min="9054" max="9054" width="28.28515625" style="750" bestFit="1" customWidth="1"/>
    <col min="9055" max="9055" width="8.85546875" style="750"/>
    <col min="9056" max="9056" width="16" style="750" customWidth="1"/>
    <col min="9057" max="9297" width="8.85546875" style="750"/>
    <col min="9298" max="9298" width="69.42578125" style="750" customWidth="1"/>
    <col min="9299" max="9299" width="29.140625" style="750" customWidth="1"/>
    <col min="9300" max="9300" width="28.140625" style="750" customWidth="1"/>
    <col min="9301" max="9301" width="31.42578125" style="750" customWidth="1"/>
    <col min="9302" max="9302" width="26.42578125" style="750" customWidth="1"/>
    <col min="9303" max="9303" width="28.85546875" style="750" customWidth="1"/>
    <col min="9304" max="9304" width="23.5703125" style="750" customWidth="1"/>
    <col min="9305" max="9305" width="27.140625" style="750" bestFit="1" customWidth="1"/>
    <col min="9306" max="9306" width="24.85546875" style="750" bestFit="1" customWidth="1"/>
    <col min="9307" max="9307" width="23.42578125" style="750" bestFit="1" customWidth="1"/>
    <col min="9308" max="9308" width="26.5703125" style="750" customWidth="1"/>
    <col min="9309" max="9309" width="24.28515625" style="750" customWidth="1"/>
    <col min="9310" max="9310" width="28.28515625" style="750" bestFit="1" customWidth="1"/>
    <col min="9311" max="9311" width="8.85546875" style="750"/>
    <col min="9312" max="9312" width="16" style="750" customWidth="1"/>
    <col min="9313" max="9553" width="8.85546875" style="750"/>
    <col min="9554" max="9554" width="69.42578125" style="750" customWidth="1"/>
    <col min="9555" max="9555" width="29.140625" style="750" customWidth="1"/>
    <col min="9556" max="9556" width="28.140625" style="750" customWidth="1"/>
    <col min="9557" max="9557" width="31.42578125" style="750" customWidth="1"/>
    <col min="9558" max="9558" width="26.42578125" style="750" customWidth="1"/>
    <col min="9559" max="9559" width="28.85546875" style="750" customWidth="1"/>
    <col min="9560" max="9560" width="23.5703125" style="750" customWidth="1"/>
    <col min="9561" max="9561" width="27.140625" style="750" bestFit="1" customWidth="1"/>
    <col min="9562" max="9562" width="24.85546875" style="750" bestFit="1" customWidth="1"/>
    <col min="9563" max="9563" width="23.42578125" style="750" bestFit="1" customWidth="1"/>
    <col min="9564" max="9564" width="26.5703125" style="750" customWidth="1"/>
    <col min="9565" max="9565" width="24.28515625" style="750" customWidth="1"/>
    <col min="9566" max="9566" width="28.28515625" style="750" bestFit="1" customWidth="1"/>
    <col min="9567" max="9567" width="8.85546875" style="750"/>
    <col min="9568" max="9568" width="16" style="750" customWidth="1"/>
    <col min="9569" max="9809" width="8.85546875" style="750"/>
    <col min="9810" max="9810" width="69.42578125" style="750" customWidth="1"/>
    <col min="9811" max="9811" width="29.140625" style="750" customWidth="1"/>
    <col min="9812" max="9812" width="28.140625" style="750" customWidth="1"/>
    <col min="9813" max="9813" width="31.42578125" style="750" customWidth="1"/>
    <col min="9814" max="9814" width="26.42578125" style="750" customWidth="1"/>
    <col min="9815" max="9815" width="28.85546875" style="750" customWidth="1"/>
    <col min="9816" max="9816" width="23.5703125" style="750" customWidth="1"/>
    <col min="9817" max="9817" width="27.140625" style="750" bestFit="1" customWidth="1"/>
    <col min="9818" max="9818" width="24.85546875" style="750" bestFit="1" customWidth="1"/>
    <col min="9819" max="9819" width="23.42578125" style="750" bestFit="1" customWidth="1"/>
    <col min="9820" max="9820" width="26.5703125" style="750" customWidth="1"/>
    <col min="9821" max="9821" width="24.28515625" style="750" customWidth="1"/>
    <col min="9822" max="9822" width="28.28515625" style="750" bestFit="1" customWidth="1"/>
    <col min="9823" max="9823" width="8.85546875" style="750"/>
    <col min="9824" max="9824" width="16" style="750" customWidth="1"/>
    <col min="9825" max="10065" width="8.85546875" style="750"/>
    <col min="10066" max="10066" width="69.42578125" style="750" customWidth="1"/>
    <col min="10067" max="10067" width="29.140625" style="750" customWidth="1"/>
    <col min="10068" max="10068" width="28.140625" style="750" customWidth="1"/>
    <col min="10069" max="10069" width="31.42578125" style="750" customWidth="1"/>
    <col min="10070" max="10070" width="26.42578125" style="750" customWidth="1"/>
    <col min="10071" max="10071" width="28.85546875" style="750" customWidth="1"/>
    <col min="10072" max="10072" width="23.5703125" style="750" customWidth="1"/>
    <col min="10073" max="10073" width="27.140625" style="750" bestFit="1" customWidth="1"/>
    <col min="10074" max="10074" width="24.85546875" style="750" bestFit="1" customWidth="1"/>
    <col min="10075" max="10075" width="23.42578125" style="750" bestFit="1" customWidth="1"/>
    <col min="10076" max="10076" width="26.5703125" style="750" customWidth="1"/>
    <col min="10077" max="10077" width="24.28515625" style="750" customWidth="1"/>
    <col min="10078" max="10078" width="28.28515625" style="750" bestFit="1" customWidth="1"/>
    <col min="10079" max="10079" width="8.85546875" style="750"/>
    <col min="10080" max="10080" width="16" style="750" customWidth="1"/>
    <col min="10081" max="10321" width="8.85546875" style="750"/>
    <col min="10322" max="10322" width="69.42578125" style="750" customWidth="1"/>
    <col min="10323" max="10323" width="29.140625" style="750" customWidth="1"/>
    <col min="10324" max="10324" width="28.140625" style="750" customWidth="1"/>
    <col min="10325" max="10325" width="31.42578125" style="750" customWidth="1"/>
    <col min="10326" max="10326" width="26.42578125" style="750" customWidth="1"/>
    <col min="10327" max="10327" width="28.85546875" style="750" customWidth="1"/>
    <col min="10328" max="10328" width="23.5703125" style="750" customWidth="1"/>
    <col min="10329" max="10329" width="27.140625" style="750" bestFit="1" customWidth="1"/>
    <col min="10330" max="10330" width="24.85546875" style="750" bestFit="1" customWidth="1"/>
    <col min="10331" max="10331" width="23.42578125" style="750" bestFit="1" customWidth="1"/>
    <col min="10332" max="10332" width="26.5703125" style="750" customWidth="1"/>
    <col min="10333" max="10333" width="24.28515625" style="750" customWidth="1"/>
    <col min="10334" max="10334" width="28.28515625" style="750" bestFit="1" customWidth="1"/>
    <col min="10335" max="10335" width="8.85546875" style="750"/>
    <col min="10336" max="10336" width="16" style="750" customWidth="1"/>
    <col min="10337" max="10577" width="8.85546875" style="750"/>
    <col min="10578" max="10578" width="69.42578125" style="750" customWidth="1"/>
    <col min="10579" max="10579" width="29.140625" style="750" customWidth="1"/>
    <col min="10580" max="10580" width="28.140625" style="750" customWidth="1"/>
    <col min="10581" max="10581" width="31.42578125" style="750" customWidth="1"/>
    <col min="10582" max="10582" width="26.42578125" style="750" customWidth="1"/>
    <col min="10583" max="10583" width="28.85546875" style="750" customWidth="1"/>
    <col min="10584" max="10584" width="23.5703125" style="750" customWidth="1"/>
    <col min="10585" max="10585" width="27.140625" style="750" bestFit="1" customWidth="1"/>
    <col min="10586" max="10586" width="24.85546875" style="750" bestFit="1" customWidth="1"/>
    <col min="10587" max="10587" width="23.42578125" style="750" bestFit="1" customWidth="1"/>
    <col min="10588" max="10588" width="26.5703125" style="750" customWidth="1"/>
    <col min="10589" max="10589" width="24.28515625" style="750" customWidth="1"/>
    <col min="10590" max="10590" width="28.28515625" style="750" bestFit="1" customWidth="1"/>
    <col min="10591" max="10591" width="8.85546875" style="750"/>
    <col min="10592" max="10592" width="16" style="750" customWidth="1"/>
    <col min="10593" max="10833" width="8.85546875" style="750"/>
    <col min="10834" max="10834" width="69.42578125" style="750" customWidth="1"/>
    <col min="10835" max="10835" width="29.140625" style="750" customWidth="1"/>
    <col min="10836" max="10836" width="28.140625" style="750" customWidth="1"/>
    <col min="10837" max="10837" width="31.42578125" style="750" customWidth="1"/>
    <col min="10838" max="10838" width="26.42578125" style="750" customWidth="1"/>
    <col min="10839" max="10839" width="28.85546875" style="750" customWidth="1"/>
    <col min="10840" max="10840" width="23.5703125" style="750" customWidth="1"/>
    <col min="10841" max="10841" width="27.140625" style="750" bestFit="1" customWidth="1"/>
    <col min="10842" max="10842" width="24.85546875" style="750" bestFit="1" customWidth="1"/>
    <col min="10843" max="10843" width="23.42578125" style="750" bestFit="1" customWidth="1"/>
    <col min="10844" max="10844" width="26.5703125" style="750" customWidth="1"/>
    <col min="10845" max="10845" width="24.28515625" style="750" customWidth="1"/>
    <col min="10846" max="10846" width="28.28515625" style="750" bestFit="1" customWidth="1"/>
    <col min="10847" max="10847" width="8.85546875" style="750"/>
    <col min="10848" max="10848" width="16" style="750" customWidth="1"/>
    <col min="10849" max="11089" width="8.85546875" style="750"/>
    <col min="11090" max="11090" width="69.42578125" style="750" customWidth="1"/>
    <col min="11091" max="11091" width="29.140625" style="750" customWidth="1"/>
    <col min="11092" max="11092" width="28.140625" style="750" customWidth="1"/>
    <col min="11093" max="11093" width="31.42578125" style="750" customWidth="1"/>
    <col min="11094" max="11094" width="26.42578125" style="750" customWidth="1"/>
    <col min="11095" max="11095" width="28.85546875" style="750" customWidth="1"/>
    <col min="11096" max="11096" width="23.5703125" style="750" customWidth="1"/>
    <col min="11097" max="11097" width="27.140625" style="750" bestFit="1" customWidth="1"/>
    <col min="11098" max="11098" width="24.85546875" style="750" bestFit="1" customWidth="1"/>
    <col min="11099" max="11099" width="23.42578125" style="750" bestFit="1" customWidth="1"/>
    <col min="11100" max="11100" width="26.5703125" style="750" customWidth="1"/>
    <col min="11101" max="11101" width="24.28515625" style="750" customWidth="1"/>
    <col min="11102" max="11102" width="28.28515625" style="750" bestFit="1" customWidth="1"/>
    <col min="11103" max="11103" width="8.85546875" style="750"/>
    <col min="11104" max="11104" width="16" style="750" customWidth="1"/>
    <col min="11105" max="11345" width="8.85546875" style="750"/>
    <col min="11346" max="11346" width="69.42578125" style="750" customWidth="1"/>
    <col min="11347" max="11347" width="29.140625" style="750" customWidth="1"/>
    <col min="11348" max="11348" width="28.140625" style="750" customWidth="1"/>
    <col min="11349" max="11349" width="31.42578125" style="750" customWidth="1"/>
    <col min="11350" max="11350" width="26.42578125" style="750" customWidth="1"/>
    <col min="11351" max="11351" width="28.85546875" style="750" customWidth="1"/>
    <col min="11352" max="11352" width="23.5703125" style="750" customWidth="1"/>
    <col min="11353" max="11353" width="27.140625" style="750" bestFit="1" customWidth="1"/>
    <col min="11354" max="11354" width="24.85546875" style="750" bestFit="1" customWidth="1"/>
    <col min="11355" max="11355" width="23.42578125" style="750" bestFit="1" customWidth="1"/>
    <col min="11356" max="11356" width="26.5703125" style="750" customWidth="1"/>
    <col min="11357" max="11357" width="24.28515625" style="750" customWidth="1"/>
    <col min="11358" max="11358" width="28.28515625" style="750" bestFit="1" customWidth="1"/>
    <col min="11359" max="11359" width="8.85546875" style="750"/>
    <col min="11360" max="11360" width="16" style="750" customWidth="1"/>
    <col min="11361" max="11601" width="8.85546875" style="750"/>
    <col min="11602" max="11602" width="69.42578125" style="750" customWidth="1"/>
    <col min="11603" max="11603" width="29.140625" style="750" customWidth="1"/>
    <col min="11604" max="11604" width="28.140625" style="750" customWidth="1"/>
    <col min="11605" max="11605" width="31.42578125" style="750" customWidth="1"/>
    <col min="11606" max="11606" width="26.42578125" style="750" customWidth="1"/>
    <col min="11607" max="11607" width="28.85546875" style="750" customWidth="1"/>
    <col min="11608" max="11608" width="23.5703125" style="750" customWidth="1"/>
    <col min="11609" max="11609" width="27.140625" style="750" bestFit="1" customWidth="1"/>
    <col min="11610" max="11610" width="24.85546875" style="750" bestFit="1" customWidth="1"/>
    <col min="11611" max="11611" width="23.42578125" style="750" bestFit="1" customWidth="1"/>
    <col min="11612" max="11612" width="26.5703125" style="750" customWidth="1"/>
    <col min="11613" max="11613" width="24.28515625" style="750" customWidth="1"/>
    <col min="11614" max="11614" width="28.28515625" style="750" bestFit="1" customWidth="1"/>
    <col min="11615" max="11615" width="8.85546875" style="750"/>
    <col min="11616" max="11616" width="16" style="750" customWidth="1"/>
    <col min="11617" max="11857" width="8.85546875" style="750"/>
    <col min="11858" max="11858" width="69.42578125" style="750" customWidth="1"/>
    <col min="11859" max="11859" width="29.140625" style="750" customWidth="1"/>
    <col min="11860" max="11860" width="28.140625" style="750" customWidth="1"/>
    <col min="11861" max="11861" width="31.42578125" style="750" customWidth="1"/>
    <col min="11862" max="11862" width="26.42578125" style="750" customWidth="1"/>
    <col min="11863" max="11863" width="28.85546875" style="750" customWidth="1"/>
    <col min="11864" max="11864" width="23.5703125" style="750" customWidth="1"/>
    <col min="11865" max="11865" width="27.140625" style="750" bestFit="1" customWidth="1"/>
    <col min="11866" max="11866" width="24.85546875" style="750" bestFit="1" customWidth="1"/>
    <col min="11867" max="11867" width="23.42578125" style="750" bestFit="1" customWidth="1"/>
    <col min="11868" max="11868" width="26.5703125" style="750" customWidth="1"/>
    <col min="11869" max="11869" width="24.28515625" style="750" customWidth="1"/>
    <col min="11870" max="11870" width="28.28515625" style="750" bestFit="1" customWidth="1"/>
    <col min="11871" max="11871" width="8.85546875" style="750"/>
    <col min="11872" max="11872" width="16" style="750" customWidth="1"/>
    <col min="11873" max="12113" width="8.85546875" style="750"/>
    <col min="12114" max="12114" width="69.42578125" style="750" customWidth="1"/>
    <col min="12115" max="12115" width="29.140625" style="750" customWidth="1"/>
    <col min="12116" max="12116" width="28.140625" style="750" customWidth="1"/>
    <col min="12117" max="12117" width="31.42578125" style="750" customWidth="1"/>
    <col min="12118" max="12118" width="26.42578125" style="750" customWidth="1"/>
    <col min="12119" max="12119" width="28.85546875" style="750" customWidth="1"/>
    <col min="12120" max="12120" width="23.5703125" style="750" customWidth="1"/>
    <col min="12121" max="12121" width="27.140625" style="750" bestFit="1" customWidth="1"/>
    <col min="12122" max="12122" width="24.85546875" style="750" bestFit="1" customWidth="1"/>
    <col min="12123" max="12123" width="23.42578125" style="750" bestFit="1" customWidth="1"/>
    <col min="12124" max="12124" width="26.5703125" style="750" customWidth="1"/>
    <col min="12125" max="12125" width="24.28515625" style="750" customWidth="1"/>
    <col min="12126" max="12126" width="28.28515625" style="750" bestFit="1" customWidth="1"/>
    <col min="12127" max="12127" width="8.85546875" style="750"/>
    <col min="12128" max="12128" width="16" style="750" customWidth="1"/>
    <col min="12129" max="12369" width="8.85546875" style="750"/>
    <col min="12370" max="12370" width="69.42578125" style="750" customWidth="1"/>
    <col min="12371" max="12371" width="29.140625" style="750" customWidth="1"/>
    <col min="12372" max="12372" width="28.140625" style="750" customWidth="1"/>
    <col min="12373" max="12373" width="31.42578125" style="750" customWidth="1"/>
    <col min="12374" max="12374" width="26.42578125" style="750" customWidth="1"/>
    <col min="12375" max="12375" width="28.85546875" style="750" customWidth="1"/>
    <col min="12376" max="12376" width="23.5703125" style="750" customWidth="1"/>
    <col min="12377" max="12377" width="27.140625" style="750" bestFit="1" customWidth="1"/>
    <col min="12378" max="12378" width="24.85546875" style="750" bestFit="1" customWidth="1"/>
    <col min="12379" max="12379" width="23.42578125" style="750" bestFit="1" customWidth="1"/>
    <col min="12380" max="12380" width="26.5703125" style="750" customWidth="1"/>
    <col min="12381" max="12381" width="24.28515625" style="750" customWidth="1"/>
    <col min="12382" max="12382" width="28.28515625" style="750" bestFit="1" customWidth="1"/>
    <col min="12383" max="12383" width="8.85546875" style="750"/>
    <col min="12384" max="12384" width="16" style="750" customWidth="1"/>
    <col min="12385" max="12625" width="8.85546875" style="750"/>
    <col min="12626" max="12626" width="69.42578125" style="750" customWidth="1"/>
    <col min="12627" max="12627" width="29.140625" style="750" customWidth="1"/>
    <col min="12628" max="12628" width="28.140625" style="750" customWidth="1"/>
    <col min="12629" max="12629" width="31.42578125" style="750" customWidth="1"/>
    <col min="12630" max="12630" width="26.42578125" style="750" customWidth="1"/>
    <col min="12631" max="12631" width="28.85546875" style="750" customWidth="1"/>
    <col min="12632" max="12632" width="23.5703125" style="750" customWidth="1"/>
    <col min="12633" max="12633" width="27.140625" style="750" bestFit="1" customWidth="1"/>
    <col min="12634" max="12634" width="24.85546875" style="750" bestFit="1" customWidth="1"/>
    <col min="12635" max="12635" width="23.42578125" style="750" bestFit="1" customWidth="1"/>
    <col min="12636" max="12636" width="26.5703125" style="750" customWidth="1"/>
    <col min="12637" max="12637" width="24.28515625" style="750" customWidth="1"/>
    <col min="12638" max="12638" width="28.28515625" style="750" bestFit="1" customWidth="1"/>
    <col min="12639" max="12639" width="8.85546875" style="750"/>
    <col min="12640" max="12640" width="16" style="750" customWidth="1"/>
    <col min="12641" max="12881" width="8.85546875" style="750"/>
    <col min="12882" max="12882" width="69.42578125" style="750" customWidth="1"/>
    <col min="12883" max="12883" width="29.140625" style="750" customWidth="1"/>
    <col min="12884" max="12884" width="28.140625" style="750" customWidth="1"/>
    <col min="12885" max="12885" width="31.42578125" style="750" customWidth="1"/>
    <col min="12886" max="12886" width="26.42578125" style="750" customWidth="1"/>
    <col min="12887" max="12887" width="28.85546875" style="750" customWidth="1"/>
    <col min="12888" max="12888" width="23.5703125" style="750" customWidth="1"/>
    <col min="12889" max="12889" width="27.140625" style="750" bestFit="1" customWidth="1"/>
    <col min="12890" max="12890" width="24.85546875" style="750" bestFit="1" customWidth="1"/>
    <col min="12891" max="12891" width="23.42578125" style="750" bestFit="1" customWidth="1"/>
    <col min="12892" max="12892" width="26.5703125" style="750" customWidth="1"/>
    <col min="12893" max="12893" width="24.28515625" style="750" customWidth="1"/>
    <col min="12894" max="12894" width="28.28515625" style="750" bestFit="1" customWidth="1"/>
    <col min="12895" max="12895" width="8.85546875" style="750"/>
    <col min="12896" max="12896" width="16" style="750" customWidth="1"/>
    <col min="12897" max="13137" width="8.85546875" style="750"/>
    <col min="13138" max="13138" width="69.42578125" style="750" customWidth="1"/>
    <col min="13139" max="13139" width="29.140625" style="750" customWidth="1"/>
    <col min="13140" max="13140" width="28.140625" style="750" customWidth="1"/>
    <col min="13141" max="13141" width="31.42578125" style="750" customWidth="1"/>
    <col min="13142" max="13142" width="26.42578125" style="750" customWidth="1"/>
    <col min="13143" max="13143" width="28.85546875" style="750" customWidth="1"/>
    <col min="13144" max="13144" width="23.5703125" style="750" customWidth="1"/>
    <col min="13145" max="13145" width="27.140625" style="750" bestFit="1" customWidth="1"/>
    <col min="13146" max="13146" width="24.85546875" style="750" bestFit="1" customWidth="1"/>
    <col min="13147" max="13147" width="23.42578125" style="750" bestFit="1" customWidth="1"/>
    <col min="13148" max="13148" width="26.5703125" style="750" customWidth="1"/>
    <col min="13149" max="13149" width="24.28515625" style="750" customWidth="1"/>
    <col min="13150" max="13150" width="28.28515625" style="750" bestFit="1" customWidth="1"/>
    <col min="13151" max="13151" width="8.85546875" style="750"/>
    <col min="13152" max="13152" width="16" style="750" customWidth="1"/>
    <col min="13153" max="13393" width="8.85546875" style="750"/>
    <col min="13394" max="13394" width="69.42578125" style="750" customWidth="1"/>
    <col min="13395" max="13395" width="29.140625" style="750" customWidth="1"/>
    <col min="13396" max="13396" width="28.140625" style="750" customWidth="1"/>
    <col min="13397" max="13397" width="31.42578125" style="750" customWidth="1"/>
    <col min="13398" max="13398" width="26.42578125" style="750" customWidth="1"/>
    <col min="13399" max="13399" width="28.85546875" style="750" customWidth="1"/>
    <col min="13400" max="13400" width="23.5703125" style="750" customWidth="1"/>
    <col min="13401" max="13401" width="27.140625" style="750" bestFit="1" customWidth="1"/>
    <col min="13402" max="13402" width="24.85546875" style="750" bestFit="1" customWidth="1"/>
    <col min="13403" max="13403" width="23.42578125" style="750" bestFit="1" customWidth="1"/>
    <col min="13404" max="13404" width="26.5703125" style="750" customWidth="1"/>
    <col min="13405" max="13405" width="24.28515625" style="750" customWidth="1"/>
    <col min="13406" max="13406" width="28.28515625" style="750" bestFit="1" customWidth="1"/>
    <col min="13407" max="13407" width="8.85546875" style="750"/>
    <col min="13408" max="13408" width="16" style="750" customWidth="1"/>
    <col min="13409" max="13649" width="8.85546875" style="750"/>
    <col min="13650" max="13650" width="69.42578125" style="750" customWidth="1"/>
    <col min="13651" max="13651" width="29.140625" style="750" customWidth="1"/>
    <col min="13652" max="13652" width="28.140625" style="750" customWidth="1"/>
    <col min="13653" max="13653" width="31.42578125" style="750" customWidth="1"/>
    <col min="13654" max="13654" width="26.42578125" style="750" customWidth="1"/>
    <col min="13655" max="13655" width="28.85546875" style="750" customWidth="1"/>
    <col min="13656" max="13656" width="23.5703125" style="750" customWidth="1"/>
    <col min="13657" max="13657" width="27.140625" style="750" bestFit="1" customWidth="1"/>
    <col min="13658" max="13658" width="24.85546875" style="750" bestFit="1" customWidth="1"/>
    <col min="13659" max="13659" width="23.42578125" style="750" bestFit="1" customWidth="1"/>
    <col min="13660" max="13660" width="26.5703125" style="750" customWidth="1"/>
    <col min="13661" max="13661" width="24.28515625" style="750" customWidth="1"/>
    <col min="13662" max="13662" width="28.28515625" style="750" bestFit="1" customWidth="1"/>
    <col min="13663" max="13663" width="8.85546875" style="750"/>
    <col min="13664" max="13664" width="16" style="750" customWidth="1"/>
    <col min="13665" max="13905" width="8.85546875" style="750"/>
    <col min="13906" max="13906" width="69.42578125" style="750" customWidth="1"/>
    <col min="13907" max="13907" width="29.140625" style="750" customWidth="1"/>
    <col min="13908" max="13908" width="28.140625" style="750" customWidth="1"/>
    <col min="13909" max="13909" width="31.42578125" style="750" customWidth="1"/>
    <col min="13910" max="13910" width="26.42578125" style="750" customWidth="1"/>
    <col min="13911" max="13911" width="28.85546875" style="750" customWidth="1"/>
    <col min="13912" max="13912" width="23.5703125" style="750" customWidth="1"/>
    <col min="13913" max="13913" width="27.140625" style="750" bestFit="1" customWidth="1"/>
    <col min="13914" max="13914" width="24.85546875" style="750" bestFit="1" customWidth="1"/>
    <col min="13915" max="13915" width="23.42578125" style="750" bestFit="1" customWidth="1"/>
    <col min="13916" max="13916" width="26.5703125" style="750" customWidth="1"/>
    <col min="13917" max="13917" width="24.28515625" style="750" customWidth="1"/>
    <col min="13918" max="13918" width="28.28515625" style="750" bestFit="1" customWidth="1"/>
    <col min="13919" max="13919" width="8.85546875" style="750"/>
    <col min="13920" max="13920" width="16" style="750" customWidth="1"/>
    <col min="13921" max="14161" width="8.85546875" style="750"/>
    <col min="14162" max="14162" width="69.42578125" style="750" customWidth="1"/>
    <col min="14163" max="14163" width="29.140625" style="750" customWidth="1"/>
    <col min="14164" max="14164" width="28.140625" style="750" customWidth="1"/>
    <col min="14165" max="14165" width="31.42578125" style="750" customWidth="1"/>
    <col min="14166" max="14166" width="26.42578125" style="750" customWidth="1"/>
    <col min="14167" max="14167" width="28.85546875" style="750" customWidth="1"/>
    <col min="14168" max="14168" width="23.5703125" style="750" customWidth="1"/>
    <col min="14169" max="14169" width="27.140625" style="750" bestFit="1" customWidth="1"/>
    <col min="14170" max="14170" width="24.85546875" style="750" bestFit="1" customWidth="1"/>
    <col min="14171" max="14171" width="23.42578125" style="750" bestFit="1" customWidth="1"/>
    <col min="14172" max="14172" width="26.5703125" style="750" customWidth="1"/>
    <col min="14173" max="14173" width="24.28515625" style="750" customWidth="1"/>
    <col min="14174" max="14174" width="28.28515625" style="750" bestFit="1" customWidth="1"/>
    <col min="14175" max="14175" width="8.85546875" style="750"/>
    <col min="14176" max="14176" width="16" style="750" customWidth="1"/>
    <col min="14177" max="14417" width="8.85546875" style="750"/>
    <col min="14418" max="14418" width="69.42578125" style="750" customWidth="1"/>
    <col min="14419" max="14419" width="29.140625" style="750" customWidth="1"/>
    <col min="14420" max="14420" width="28.140625" style="750" customWidth="1"/>
    <col min="14421" max="14421" width="31.42578125" style="750" customWidth="1"/>
    <col min="14422" max="14422" width="26.42578125" style="750" customWidth="1"/>
    <col min="14423" max="14423" width="28.85546875" style="750" customWidth="1"/>
    <col min="14424" max="14424" width="23.5703125" style="750" customWidth="1"/>
    <col min="14425" max="14425" width="27.140625" style="750" bestFit="1" customWidth="1"/>
    <col min="14426" max="14426" width="24.85546875" style="750" bestFit="1" customWidth="1"/>
    <col min="14427" max="14427" width="23.42578125" style="750" bestFit="1" customWidth="1"/>
    <col min="14428" max="14428" width="26.5703125" style="750" customWidth="1"/>
    <col min="14429" max="14429" width="24.28515625" style="750" customWidth="1"/>
    <col min="14430" max="14430" width="28.28515625" style="750" bestFit="1" customWidth="1"/>
    <col min="14431" max="14431" width="8.85546875" style="750"/>
    <col min="14432" max="14432" width="16" style="750" customWidth="1"/>
    <col min="14433" max="14673" width="8.85546875" style="750"/>
    <col min="14674" max="14674" width="69.42578125" style="750" customWidth="1"/>
    <col min="14675" max="14675" width="29.140625" style="750" customWidth="1"/>
    <col min="14676" max="14676" width="28.140625" style="750" customWidth="1"/>
    <col min="14677" max="14677" width="31.42578125" style="750" customWidth="1"/>
    <col min="14678" max="14678" width="26.42578125" style="750" customWidth="1"/>
    <col min="14679" max="14679" width="28.85546875" style="750" customWidth="1"/>
    <col min="14680" max="14680" width="23.5703125" style="750" customWidth="1"/>
    <col min="14681" max="14681" width="27.140625" style="750" bestFit="1" customWidth="1"/>
    <col min="14682" max="14682" width="24.85546875" style="750" bestFit="1" customWidth="1"/>
    <col min="14683" max="14683" width="23.42578125" style="750" bestFit="1" customWidth="1"/>
    <col min="14684" max="14684" width="26.5703125" style="750" customWidth="1"/>
    <col min="14685" max="14685" width="24.28515625" style="750" customWidth="1"/>
    <col min="14686" max="14686" width="28.28515625" style="750" bestFit="1" customWidth="1"/>
    <col min="14687" max="14687" width="8.85546875" style="750"/>
    <col min="14688" max="14688" width="16" style="750" customWidth="1"/>
    <col min="14689" max="14929" width="8.85546875" style="750"/>
    <col min="14930" max="14930" width="69.42578125" style="750" customWidth="1"/>
    <col min="14931" max="14931" width="29.140625" style="750" customWidth="1"/>
    <col min="14932" max="14932" width="28.140625" style="750" customWidth="1"/>
    <col min="14933" max="14933" width="31.42578125" style="750" customWidth="1"/>
    <col min="14934" max="14934" width="26.42578125" style="750" customWidth="1"/>
    <col min="14935" max="14935" width="28.85546875" style="750" customWidth="1"/>
    <col min="14936" max="14936" width="23.5703125" style="750" customWidth="1"/>
    <col min="14937" max="14937" width="27.140625" style="750" bestFit="1" customWidth="1"/>
    <col min="14938" max="14938" width="24.85546875" style="750" bestFit="1" customWidth="1"/>
    <col min="14939" max="14939" width="23.42578125" style="750" bestFit="1" customWidth="1"/>
    <col min="14940" max="14940" width="26.5703125" style="750" customWidth="1"/>
    <col min="14941" max="14941" width="24.28515625" style="750" customWidth="1"/>
    <col min="14942" max="14942" width="28.28515625" style="750" bestFit="1" customWidth="1"/>
    <col min="14943" max="14943" width="8.85546875" style="750"/>
    <col min="14944" max="14944" width="16" style="750" customWidth="1"/>
    <col min="14945" max="15185" width="8.85546875" style="750"/>
    <col min="15186" max="15186" width="69.42578125" style="750" customWidth="1"/>
    <col min="15187" max="15187" width="29.140625" style="750" customWidth="1"/>
    <col min="15188" max="15188" width="28.140625" style="750" customWidth="1"/>
    <col min="15189" max="15189" width="31.42578125" style="750" customWidth="1"/>
    <col min="15190" max="15190" width="26.42578125" style="750" customWidth="1"/>
    <col min="15191" max="15191" width="28.85546875" style="750" customWidth="1"/>
    <col min="15192" max="15192" width="23.5703125" style="750" customWidth="1"/>
    <col min="15193" max="15193" width="27.140625" style="750" bestFit="1" customWidth="1"/>
    <col min="15194" max="15194" width="24.85546875" style="750" bestFit="1" customWidth="1"/>
    <col min="15195" max="15195" width="23.42578125" style="750" bestFit="1" customWidth="1"/>
    <col min="15196" max="15196" width="26.5703125" style="750" customWidth="1"/>
    <col min="15197" max="15197" width="24.28515625" style="750" customWidth="1"/>
    <col min="15198" max="15198" width="28.28515625" style="750" bestFit="1" customWidth="1"/>
    <col min="15199" max="15199" width="8.85546875" style="750"/>
    <col min="15200" max="15200" width="16" style="750" customWidth="1"/>
    <col min="15201" max="15441" width="8.85546875" style="750"/>
    <col min="15442" max="15442" width="69.42578125" style="750" customWidth="1"/>
    <col min="15443" max="15443" width="29.140625" style="750" customWidth="1"/>
    <col min="15444" max="15444" width="28.140625" style="750" customWidth="1"/>
    <col min="15445" max="15445" width="31.42578125" style="750" customWidth="1"/>
    <col min="15446" max="15446" width="26.42578125" style="750" customWidth="1"/>
    <col min="15447" max="15447" width="28.85546875" style="750" customWidth="1"/>
    <col min="15448" max="15448" width="23.5703125" style="750" customWidth="1"/>
    <col min="15449" max="15449" width="27.140625" style="750" bestFit="1" customWidth="1"/>
    <col min="15450" max="15450" width="24.85546875" style="750" bestFit="1" customWidth="1"/>
    <col min="15451" max="15451" width="23.42578125" style="750" bestFit="1" customWidth="1"/>
    <col min="15452" max="15452" width="26.5703125" style="750" customWidth="1"/>
    <col min="15453" max="15453" width="24.28515625" style="750" customWidth="1"/>
    <col min="15454" max="15454" width="28.28515625" style="750" bestFit="1" customWidth="1"/>
    <col min="15455" max="15455" width="8.85546875" style="750"/>
    <col min="15456" max="15456" width="16" style="750" customWidth="1"/>
    <col min="15457" max="15697" width="8.85546875" style="750"/>
    <col min="15698" max="15698" width="69.42578125" style="750" customWidth="1"/>
    <col min="15699" max="15699" width="29.140625" style="750" customWidth="1"/>
    <col min="15700" max="15700" width="28.140625" style="750" customWidth="1"/>
    <col min="15701" max="15701" width="31.42578125" style="750" customWidth="1"/>
    <col min="15702" max="15702" width="26.42578125" style="750" customWidth="1"/>
    <col min="15703" max="15703" width="28.85546875" style="750" customWidth="1"/>
    <col min="15704" max="15704" width="23.5703125" style="750" customWidth="1"/>
    <col min="15705" max="15705" width="27.140625" style="750" bestFit="1" customWidth="1"/>
    <col min="15706" max="15706" width="24.85546875" style="750" bestFit="1" customWidth="1"/>
    <col min="15707" max="15707" width="23.42578125" style="750" bestFit="1" customWidth="1"/>
    <col min="15708" max="15708" width="26.5703125" style="750" customWidth="1"/>
    <col min="15709" max="15709" width="24.28515625" style="750" customWidth="1"/>
    <col min="15710" max="15710" width="28.28515625" style="750" bestFit="1" customWidth="1"/>
    <col min="15711" max="15711" width="8.85546875" style="750"/>
    <col min="15712" max="15712" width="16" style="750" customWidth="1"/>
    <col min="15713" max="15953" width="8.85546875" style="750"/>
    <col min="15954" max="15954" width="69.42578125" style="750" customWidth="1"/>
    <col min="15955" max="15955" width="29.140625" style="750" customWidth="1"/>
    <col min="15956" max="15956" width="28.140625" style="750" customWidth="1"/>
    <col min="15957" max="15957" width="31.42578125" style="750" customWidth="1"/>
    <col min="15958" max="15958" width="26.42578125" style="750" customWidth="1"/>
    <col min="15959" max="15959" width="28.85546875" style="750" customWidth="1"/>
    <col min="15960" max="15960" width="23.5703125" style="750" customWidth="1"/>
    <col min="15961" max="15961" width="27.140625" style="750" bestFit="1" customWidth="1"/>
    <col min="15962" max="15962" width="24.85546875" style="750" bestFit="1" customWidth="1"/>
    <col min="15963" max="15963" width="23.42578125" style="750" bestFit="1" customWidth="1"/>
    <col min="15964" max="15964" width="26.5703125" style="750" customWidth="1"/>
    <col min="15965" max="15965" width="24.28515625" style="750" customWidth="1"/>
    <col min="15966" max="15966" width="28.28515625" style="750" bestFit="1" customWidth="1"/>
    <col min="15967" max="15967" width="8.85546875" style="750"/>
    <col min="15968" max="15968" width="16" style="750" customWidth="1"/>
    <col min="15969" max="16209" width="8.85546875" style="750"/>
    <col min="16210" max="16210" width="69.42578125" style="750" customWidth="1"/>
    <col min="16211" max="16211" width="29.140625" style="750" customWidth="1"/>
    <col min="16212" max="16212" width="28.140625" style="750" customWidth="1"/>
    <col min="16213" max="16213" width="31.42578125" style="750" customWidth="1"/>
    <col min="16214" max="16214" width="26.42578125" style="750" customWidth="1"/>
    <col min="16215" max="16215" width="28.85546875" style="750" customWidth="1"/>
    <col min="16216" max="16216" width="23.5703125" style="750" customWidth="1"/>
    <col min="16217" max="16217" width="27.140625" style="750" bestFit="1" customWidth="1"/>
    <col min="16218" max="16218" width="24.85546875" style="750" bestFit="1" customWidth="1"/>
    <col min="16219" max="16219" width="23.42578125" style="750" bestFit="1" customWidth="1"/>
    <col min="16220" max="16220" width="26.5703125" style="750" customWidth="1"/>
    <col min="16221" max="16221" width="24.28515625" style="750" customWidth="1"/>
    <col min="16222" max="16222" width="28.28515625" style="750" bestFit="1" customWidth="1"/>
    <col min="16223" max="16223" width="8.85546875" style="750"/>
    <col min="16224" max="16224" width="16" style="750" customWidth="1"/>
    <col min="16225" max="16384" width="8.85546875" style="750"/>
  </cols>
  <sheetData>
    <row r="1" spans="1:109" ht="16.5" thickBot="1">
      <c r="C1" s="1883">
        <v>10022113021.27</v>
      </c>
      <c r="G1" s="1884">
        <f>+G4</f>
        <v>3813285725</v>
      </c>
      <c r="K1" s="1883">
        <v>7015601994.3000002</v>
      </c>
      <c r="L1" s="2161">
        <f>+K163-K161</f>
        <v>0</v>
      </c>
      <c r="O1" s="1885">
        <v>635459625.07000005</v>
      </c>
      <c r="P1" s="2162">
        <f>+O163-O161</f>
        <v>-4.0000677108764648E-3</v>
      </c>
      <c r="S1" s="1886">
        <v>3385331453</v>
      </c>
      <c r="T1" s="1906">
        <f>+S161-S1</f>
        <v>0</v>
      </c>
      <c r="W1" s="1884">
        <f>+W4</f>
        <v>72602217.099999994</v>
      </c>
      <c r="AA1" s="1884">
        <f>+AA4</f>
        <v>53092908.93</v>
      </c>
      <c r="AE1" s="1884">
        <f>+AE4</f>
        <v>19552150.484999999</v>
      </c>
      <c r="AI1" s="1887">
        <v>375616617</v>
      </c>
      <c r="AM1" s="1884">
        <f>+AM4</f>
        <v>6295939992</v>
      </c>
      <c r="AQ1" s="1884">
        <f>+AQ4</f>
        <v>62959400.100000001</v>
      </c>
      <c r="AU1" s="1884">
        <f>+AU4</f>
        <v>4197128919.3000002</v>
      </c>
      <c r="AY1" s="1884">
        <f>+AY4</f>
        <v>450000000</v>
      </c>
      <c r="BC1" s="1884">
        <f>+BC4</f>
        <v>167552412.09</v>
      </c>
      <c r="BG1" s="1884">
        <f>+BG4</f>
        <v>42660880.789999999</v>
      </c>
      <c r="BK1" s="1884">
        <f>+BK4</f>
        <v>43855368.969999999</v>
      </c>
      <c r="BO1" s="1885">
        <v>0</v>
      </c>
      <c r="BS1" s="1887">
        <v>65172331569</v>
      </c>
      <c r="BT1" s="1906">
        <f>+BS161-BS1</f>
        <v>0</v>
      </c>
      <c r="BW1" s="1884">
        <f>+BW4</f>
        <v>21776284773</v>
      </c>
      <c r="CA1" s="1887">
        <v>331242317.45999998</v>
      </c>
      <c r="CE1" s="1884">
        <f>+CE4</f>
        <v>14416666667</v>
      </c>
      <c r="CM1" s="1883">
        <v>3912227256</v>
      </c>
      <c r="CQ1" s="1884">
        <f>+CQ4</f>
        <v>5221806239</v>
      </c>
      <c r="CU1" s="1888">
        <f>+C1+G1+K1+O1+S1+W1+AA1+AE1+AI1+AM1+AQ1+AU1+AY1+BC1+BG1+BK1+BO1+BS1+BW1+CA1+CE1+CQ1+CM1</f>
        <v>147483311506.86499</v>
      </c>
    </row>
    <row r="2" spans="1:109" ht="117" customHeight="1" thickBot="1">
      <c r="A2" s="748"/>
      <c r="B2" s="749" t="s">
        <v>1334</v>
      </c>
      <c r="C2" s="1910" t="s">
        <v>2070</v>
      </c>
      <c r="D2" s="1910" t="s">
        <v>2071</v>
      </c>
      <c r="E2" s="1910" t="s">
        <v>2072</v>
      </c>
      <c r="F2" s="1910" t="s">
        <v>2073</v>
      </c>
      <c r="G2" s="1882" t="s">
        <v>2075</v>
      </c>
      <c r="H2" s="1882" t="s">
        <v>2076</v>
      </c>
      <c r="I2" s="1882" t="s">
        <v>2077</v>
      </c>
      <c r="J2" s="1882" t="s">
        <v>2078</v>
      </c>
      <c r="K2" s="1882" t="s">
        <v>2079</v>
      </c>
      <c r="L2" s="1882" t="s">
        <v>2080</v>
      </c>
      <c r="M2" s="1882" t="s">
        <v>2081</v>
      </c>
      <c r="N2" s="1882" t="s">
        <v>2082</v>
      </c>
      <c r="O2" s="1882" t="s">
        <v>2083</v>
      </c>
      <c r="P2" s="1882" t="s">
        <v>2084</v>
      </c>
      <c r="Q2" s="1882" t="s">
        <v>2085</v>
      </c>
      <c r="R2" s="1882" t="s">
        <v>2086</v>
      </c>
      <c r="S2" s="1882" t="s">
        <v>2087</v>
      </c>
      <c r="T2" s="1882" t="s">
        <v>2088</v>
      </c>
      <c r="U2" s="1882" t="s">
        <v>2089</v>
      </c>
      <c r="V2" s="1882" t="s">
        <v>2090</v>
      </c>
      <c r="W2" s="1882" t="s">
        <v>2091</v>
      </c>
      <c r="X2" s="1882" t="s">
        <v>2092</v>
      </c>
      <c r="Y2" s="1882" t="s">
        <v>2093</v>
      </c>
      <c r="Z2" s="1882" t="s">
        <v>2094</v>
      </c>
      <c r="AA2" s="1882" t="s">
        <v>2095</v>
      </c>
      <c r="AB2" s="1882" t="s">
        <v>2096</v>
      </c>
      <c r="AC2" s="1882" t="s">
        <v>2097</v>
      </c>
      <c r="AD2" s="1882" t="s">
        <v>2098</v>
      </c>
      <c r="AE2" s="1882" t="s">
        <v>2099</v>
      </c>
      <c r="AF2" s="1882" t="s">
        <v>2100</v>
      </c>
      <c r="AG2" s="1882" t="s">
        <v>2101</v>
      </c>
      <c r="AH2" s="1882" t="s">
        <v>2102</v>
      </c>
      <c r="AI2" s="1882" t="s">
        <v>2103</v>
      </c>
      <c r="AJ2" s="1882" t="s">
        <v>2104</v>
      </c>
      <c r="AK2" s="1882" t="s">
        <v>2105</v>
      </c>
      <c r="AL2" s="1882" t="s">
        <v>2106</v>
      </c>
      <c r="AM2" s="1882" t="s">
        <v>2107</v>
      </c>
      <c r="AN2" s="1882" t="s">
        <v>2108</v>
      </c>
      <c r="AO2" s="1882" t="s">
        <v>2109</v>
      </c>
      <c r="AP2" s="1882" t="s">
        <v>2110</v>
      </c>
      <c r="AQ2" s="1882" t="s">
        <v>2111</v>
      </c>
      <c r="AR2" s="1882" t="s">
        <v>2112</v>
      </c>
      <c r="AS2" s="1882" t="s">
        <v>2113</v>
      </c>
      <c r="AT2" s="1882" t="s">
        <v>2114</v>
      </c>
      <c r="AU2" s="1882" t="s">
        <v>2115</v>
      </c>
      <c r="AV2" s="1882" t="s">
        <v>2116</v>
      </c>
      <c r="AW2" s="1882" t="s">
        <v>2117</v>
      </c>
      <c r="AX2" s="1882" t="s">
        <v>2118</v>
      </c>
      <c r="AY2" s="1882" t="s">
        <v>2119</v>
      </c>
      <c r="AZ2" s="1882" t="s">
        <v>2120</v>
      </c>
      <c r="BA2" s="1882" t="s">
        <v>2121</v>
      </c>
      <c r="BB2" s="1882" t="s">
        <v>2122</v>
      </c>
      <c r="BC2" s="1882" t="s">
        <v>2123</v>
      </c>
      <c r="BD2" s="1882" t="s">
        <v>2124</v>
      </c>
      <c r="BE2" s="1882" t="s">
        <v>2125</v>
      </c>
      <c r="BF2" s="1882" t="s">
        <v>2126</v>
      </c>
      <c r="BG2" s="1882" t="s">
        <v>2127</v>
      </c>
      <c r="BH2" s="1882" t="s">
        <v>2128</v>
      </c>
      <c r="BI2" s="1882" t="s">
        <v>2129</v>
      </c>
      <c r="BJ2" s="1882" t="s">
        <v>2130</v>
      </c>
      <c r="BK2" s="1882" t="s">
        <v>2131</v>
      </c>
      <c r="BL2" s="1882" t="s">
        <v>2132</v>
      </c>
      <c r="BM2" s="1882" t="s">
        <v>2133</v>
      </c>
      <c r="BN2" s="1882" t="s">
        <v>2134</v>
      </c>
      <c r="BO2" s="1928" t="s">
        <v>2135</v>
      </c>
      <c r="BP2" s="1882" t="s">
        <v>2136</v>
      </c>
      <c r="BQ2" s="1882" t="s">
        <v>2137</v>
      </c>
      <c r="BR2" s="1882" t="s">
        <v>2138</v>
      </c>
      <c r="BS2" s="1882" t="s">
        <v>2139</v>
      </c>
      <c r="BT2" s="1882" t="s">
        <v>2140</v>
      </c>
      <c r="BU2" s="1882" t="s">
        <v>2141</v>
      </c>
      <c r="BV2" s="1882" t="s">
        <v>2142</v>
      </c>
      <c r="BW2" s="1882" t="s">
        <v>2143</v>
      </c>
      <c r="BX2" s="1882" t="s">
        <v>2144</v>
      </c>
      <c r="BY2" s="1882" t="s">
        <v>2145</v>
      </c>
      <c r="BZ2" s="1882" t="s">
        <v>2146</v>
      </c>
      <c r="CA2" s="1882" t="s">
        <v>2147</v>
      </c>
      <c r="CB2" s="1882" t="s">
        <v>2148</v>
      </c>
      <c r="CC2" s="1882" t="s">
        <v>2149</v>
      </c>
      <c r="CD2" s="1882" t="s">
        <v>2150</v>
      </c>
      <c r="CE2" s="1882" t="s">
        <v>2151</v>
      </c>
      <c r="CF2" s="1882" t="s">
        <v>2152</v>
      </c>
      <c r="CG2" s="1882" t="s">
        <v>2153</v>
      </c>
      <c r="CH2" s="1882" t="s">
        <v>2154</v>
      </c>
      <c r="CI2" s="1924" t="s">
        <v>2159</v>
      </c>
      <c r="CJ2" s="1924" t="s">
        <v>2160</v>
      </c>
      <c r="CK2" s="1924" t="s">
        <v>2161</v>
      </c>
      <c r="CL2" s="1924" t="s">
        <v>2162</v>
      </c>
      <c r="CM2" s="1924" t="s">
        <v>2155</v>
      </c>
      <c r="CN2" s="1924" t="s">
        <v>2156</v>
      </c>
      <c r="CO2" s="1924" t="s">
        <v>2157</v>
      </c>
      <c r="CP2" s="1924" t="s">
        <v>2158</v>
      </c>
      <c r="CQ2" s="2160" t="s">
        <v>2250</v>
      </c>
      <c r="CR2" s="2160" t="s">
        <v>2251</v>
      </c>
      <c r="CS2" s="2160" t="s">
        <v>2252</v>
      </c>
      <c r="CT2" s="2160" t="s">
        <v>2253</v>
      </c>
      <c r="CU2" s="2364" t="s">
        <v>1347</v>
      </c>
      <c r="CV2" s="2364"/>
      <c r="CW2" s="2364"/>
      <c r="CX2" s="2364"/>
      <c r="CY2" s="2370" t="s">
        <v>2067</v>
      </c>
      <c r="CZ2" s="2371"/>
      <c r="DA2" s="2371"/>
      <c r="DB2" s="2371" t="s">
        <v>2064</v>
      </c>
      <c r="DC2" s="2371"/>
      <c r="DD2" s="2371"/>
    </row>
    <row r="3" spans="1:109" ht="18.75" customHeight="1" thickBot="1">
      <c r="A3" s="748"/>
      <c r="B3" s="751"/>
      <c r="C3" s="752" t="s">
        <v>204</v>
      </c>
      <c r="D3" s="753" t="s">
        <v>205</v>
      </c>
      <c r="E3" s="753" t="s">
        <v>206</v>
      </c>
      <c r="F3" s="753" t="s">
        <v>207</v>
      </c>
      <c r="G3" s="752" t="s">
        <v>204</v>
      </c>
      <c r="H3" s="753" t="s">
        <v>205</v>
      </c>
      <c r="I3" s="753" t="s">
        <v>206</v>
      </c>
      <c r="J3" s="753" t="s">
        <v>207</v>
      </c>
      <c r="K3" s="752" t="s">
        <v>204</v>
      </c>
      <c r="L3" s="753" t="s">
        <v>205</v>
      </c>
      <c r="M3" s="753" t="s">
        <v>206</v>
      </c>
      <c r="N3" s="753" t="s">
        <v>207</v>
      </c>
      <c r="O3" s="752" t="s">
        <v>204</v>
      </c>
      <c r="P3" s="753" t="s">
        <v>205</v>
      </c>
      <c r="Q3" s="753" t="s">
        <v>206</v>
      </c>
      <c r="R3" s="753" t="s">
        <v>207</v>
      </c>
      <c r="S3" s="752" t="s">
        <v>204</v>
      </c>
      <c r="T3" s="753" t="s">
        <v>205</v>
      </c>
      <c r="U3" s="753" t="s">
        <v>206</v>
      </c>
      <c r="V3" s="753" t="s">
        <v>207</v>
      </c>
      <c r="W3" s="752" t="s">
        <v>204</v>
      </c>
      <c r="X3" s="753" t="s">
        <v>205</v>
      </c>
      <c r="Y3" s="753" t="s">
        <v>206</v>
      </c>
      <c r="Z3" s="753" t="s">
        <v>207</v>
      </c>
      <c r="AA3" s="752" t="s">
        <v>204</v>
      </c>
      <c r="AB3" s="753" t="s">
        <v>205</v>
      </c>
      <c r="AC3" s="753" t="s">
        <v>206</v>
      </c>
      <c r="AD3" s="753" t="s">
        <v>207</v>
      </c>
      <c r="AE3" s="752" t="s">
        <v>204</v>
      </c>
      <c r="AF3" s="753" t="s">
        <v>205</v>
      </c>
      <c r="AG3" s="753" t="s">
        <v>206</v>
      </c>
      <c r="AH3" s="753" t="s">
        <v>207</v>
      </c>
      <c r="AI3" s="752" t="s">
        <v>204</v>
      </c>
      <c r="AJ3" s="753" t="s">
        <v>205</v>
      </c>
      <c r="AK3" s="753" t="s">
        <v>206</v>
      </c>
      <c r="AL3" s="753" t="s">
        <v>207</v>
      </c>
      <c r="AM3" s="752" t="s">
        <v>204</v>
      </c>
      <c r="AN3" s="753" t="s">
        <v>205</v>
      </c>
      <c r="AO3" s="753" t="s">
        <v>206</v>
      </c>
      <c r="AP3" s="753" t="s">
        <v>207</v>
      </c>
      <c r="AQ3" s="752" t="s">
        <v>204</v>
      </c>
      <c r="AR3" s="753" t="s">
        <v>205</v>
      </c>
      <c r="AS3" s="753" t="s">
        <v>206</v>
      </c>
      <c r="AT3" s="753" t="s">
        <v>207</v>
      </c>
      <c r="AU3" s="752" t="s">
        <v>204</v>
      </c>
      <c r="AV3" s="753" t="s">
        <v>205</v>
      </c>
      <c r="AW3" s="753" t="s">
        <v>206</v>
      </c>
      <c r="AX3" s="753" t="s">
        <v>207</v>
      </c>
      <c r="AY3" s="752" t="s">
        <v>204</v>
      </c>
      <c r="AZ3" s="753" t="s">
        <v>205</v>
      </c>
      <c r="BA3" s="753" t="s">
        <v>206</v>
      </c>
      <c r="BB3" s="753" t="s">
        <v>207</v>
      </c>
      <c r="BC3" s="752" t="s">
        <v>204</v>
      </c>
      <c r="BD3" s="753" t="s">
        <v>205</v>
      </c>
      <c r="BE3" s="753" t="s">
        <v>206</v>
      </c>
      <c r="BF3" s="753" t="s">
        <v>207</v>
      </c>
      <c r="BG3" s="752" t="s">
        <v>204</v>
      </c>
      <c r="BH3" s="753" t="s">
        <v>205</v>
      </c>
      <c r="BI3" s="753" t="s">
        <v>206</v>
      </c>
      <c r="BJ3" s="753" t="s">
        <v>207</v>
      </c>
      <c r="BK3" s="752" t="s">
        <v>204</v>
      </c>
      <c r="BL3" s="753" t="s">
        <v>205</v>
      </c>
      <c r="BM3" s="753" t="s">
        <v>206</v>
      </c>
      <c r="BN3" s="753" t="s">
        <v>207</v>
      </c>
      <c r="BO3" s="752" t="s">
        <v>204</v>
      </c>
      <c r="BP3" s="753" t="s">
        <v>205</v>
      </c>
      <c r="BQ3" s="753" t="s">
        <v>206</v>
      </c>
      <c r="BR3" s="753" t="s">
        <v>207</v>
      </c>
      <c r="BS3" s="752" t="s">
        <v>204</v>
      </c>
      <c r="BT3" s="753" t="s">
        <v>205</v>
      </c>
      <c r="BU3" s="753" t="s">
        <v>206</v>
      </c>
      <c r="BV3" s="753" t="s">
        <v>207</v>
      </c>
      <c r="BW3" s="752" t="s">
        <v>204</v>
      </c>
      <c r="BX3" s="753" t="s">
        <v>205</v>
      </c>
      <c r="BY3" s="753" t="s">
        <v>206</v>
      </c>
      <c r="BZ3" s="753" t="s">
        <v>207</v>
      </c>
      <c r="CA3" s="752" t="s">
        <v>204</v>
      </c>
      <c r="CB3" s="753" t="s">
        <v>205</v>
      </c>
      <c r="CC3" s="753" t="s">
        <v>206</v>
      </c>
      <c r="CD3" s="753" t="s">
        <v>207</v>
      </c>
      <c r="CE3" s="752" t="s">
        <v>204</v>
      </c>
      <c r="CF3" s="753" t="s">
        <v>205</v>
      </c>
      <c r="CG3" s="753" t="s">
        <v>206</v>
      </c>
      <c r="CH3" s="753" t="s">
        <v>207</v>
      </c>
      <c r="CI3" s="752" t="s">
        <v>204</v>
      </c>
      <c r="CJ3" s="753" t="s">
        <v>205</v>
      </c>
      <c r="CK3" s="753" t="s">
        <v>206</v>
      </c>
      <c r="CL3" s="753" t="s">
        <v>207</v>
      </c>
      <c r="CM3" s="752" t="s">
        <v>204</v>
      </c>
      <c r="CN3" s="753" t="s">
        <v>205</v>
      </c>
      <c r="CO3" s="753" t="s">
        <v>206</v>
      </c>
      <c r="CP3" s="753" t="s">
        <v>207</v>
      </c>
      <c r="CQ3" s="752" t="s">
        <v>204</v>
      </c>
      <c r="CR3" s="753" t="s">
        <v>205</v>
      </c>
      <c r="CS3" s="753" t="s">
        <v>206</v>
      </c>
      <c r="CT3" s="753" t="s">
        <v>207</v>
      </c>
      <c r="CU3" s="752" t="s">
        <v>204</v>
      </c>
      <c r="CV3" s="753" t="s">
        <v>205</v>
      </c>
      <c r="CW3" s="753" t="s">
        <v>206</v>
      </c>
      <c r="CX3" s="753" t="s">
        <v>207</v>
      </c>
      <c r="CY3" s="753" t="s">
        <v>205</v>
      </c>
      <c r="CZ3" s="753" t="s">
        <v>206</v>
      </c>
      <c r="DA3" s="753" t="s">
        <v>207</v>
      </c>
      <c r="DB3" s="753" t="s">
        <v>205</v>
      </c>
      <c r="DC3" s="753" t="s">
        <v>206</v>
      </c>
      <c r="DD3" s="753" t="s">
        <v>207</v>
      </c>
    </row>
    <row r="4" spans="1:109" s="757" customFormat="1">
      <c r="A4" s="754" t="s">
        <v>1348</v>
      </c>
      <c r="B4" s="1889">
        <f>SUBTOTAL(9,B5:B160)</f>
        <v>155439506137.99899</v>
      </c>
      <c r="C4" s="1889">
        <f>SUBTOTAL(9,C5:C160)</f>
        <v>10022113022.27</v>
      </c>
      <c r="D4" s="1889">
        <f>SUBTOTAL(9,D5:D160)</f>
        <v>10022113022.27</v>
      </c>
      <c r="E4" s="1889">
        <f t="shared" ref="E4:F4" si="0">SUBTOTAL(9,E5:E160)</f>
        <v>10022113022.27</v>
      </c>
      <c r="F4" s="1889">
        <f t="shared" si="0"/>
        <v>10022113022.27</v>
      </c>
      <c r="G4" s="1889">
        <f>SUBTOTAL(9,G5:G160)</f>
        <v>3813285725</v>
      </c>
      <c r="H4" s="1889">
        <f>SUBTOTAL(9,H5:H160)</f>
        <v>3813285725</v>
      </c>
      <c r="I4" s="1889">
        <f t="shared" ref="I4:J4" si="1">SUBTOTAL(9,I5:I160)</f>
        <v>3813285725</v>
      </c>
      <c r="J4" s="1889">
        <f t="shared" si="1"/>
        <v>3813285725</v>
      </c>
      <c r="K4" s="1889">
        <f>SUBTOTAL(9,K5:K160)</f>
        <v>6657467074.9700003</v>
      </c>
      <c r="L4" s="1889">
        <f>SUBTOTAL(9,L5:L160)</f>
        <v>6652175056.0268669</v>
      </c>
      <c r="M4" s="1889">
        <f t="shared" ref="M4:N4" si="2">SUBTOTAL(9,M5:M160)</f>
        <v>6280556766.8706064</v>
      </c>
      <c r="N4" s="1889">
        <f t="shared" si="2"/>
        <v>6124839638.7252665</v>
      </c>
      <c r="O4" s="1889">
        <f>SUBTOTAL(9,O5:O160)</f>
        <v>635459624.93400002</v>
      </c>
      <c r="P4" s="1889">
        <f>SUBTOTAL(9,P5:P160)</f>
        <v>633778619.38506126</v>
      </c>
      <c r="Q4" s="1889">
        <f t="shared" ref="Q4:R4" si="3">SUBTOTAL(9,Q5:Q160)</f>
        <v>270532895.19913405</v>
      </c>
      <c r="R4" s="1889">
        <f t="shared" si="3"/>
        <v>234680607.91983265</v>
      </c>
      <c r="S4" s="1889">
        <f>SUBTOTAL(9,S5:S160)</f>
        <v>3385331453.0000005</v>
      </c>
      <c r="T4" s="1889">
        <f>SUBTOTAL(9,T5:T160)</f>
        <v>3381605105.0222902</v>
      </c>
      <c r="U4" s="1889">
        <f t="shared" ref="U4:V4" si="4">SUBTOTAL(9,U5:U160)</f>
        <v>2814855079.9674907</v>
      </c>
      <c r="V4" s="1889">
        <f t="shared" si="4"/>
        <v>2701068251.3901954</v>
      </c>
      <c r="W4" s="1889">
        <f>SUBTOTAL(9,W5:W160)</f>
        <v>72602217.099999994</v>
      </c>
      <c r="X4" s="1889">
        <f>SUBTOTAL(9,X5:X160)</f>
        <v>72515094.439479992</v>
      </c>
      <c r="Y4" s="1889">
        <f t="shared" ref="Y4:Z4" si="5">SUBTOTAL(9,Y5:Y160)</f>
        <v>21265189.388589997</v>
      </c>
      <c r="Z4" s="1889">
        <f t="shared" si="5"/>
        <v>21207107.614909999</v>
      </c>
      <c r="AA4" s="1890">
        <f>SUBTOTAL(9,AA5:AA160)</f>
        <v>53092908.93</v>
      </c>
      <c r="AB4" s="1889">
        <f>SUBTOTAL(9,AB5:AB160)</f>
        <v>53029197.439284004</v>
      </c>
      <c r="AC4" s="1889">
        <f t="shared" ref="AC4:AD4" si="6">SUBTOTAL(9,AC5:AC160)</f>
        <v>15550913.025597</v>
      </c>
      <c r="AD4" s="1889">
        <f t="shared" si="6"/>
        <v>15508438.698453002</v>
      </c>
      <c r="AE4" s="1890">
        <f>SUBTOTAL(9,AE5:AE160)</f>
        <v>19552150.484999999</v>
      </c>
      <c r="AF4" s="1889">
        <f>SUBTOTAL(9,AF5:AF160)</f>
        <v>19528687.904417999</v>
      </c>
      <c r="AG4" s="1889">
        <f t="shared" ref="AG4:AH4" si="7">SUBTOTAL(9,AG5:AG160)</f>
        <v>5726824.8770564999</v>
      </c>
      <c r="AH4" s="1889">
        <f t="shared" si="7"/>
        <v>5711183.1566685</v>
      </c>
      <c r="AI4" s="1889">
        <f>SUBTOTAL(9,AI5:AI160)</f>
        <v>673672072.63</v>
      </c>
      <c r="AJ4" s="1889">
        <f>SUBTOTAL(9,AJ5:AJ160)</f>
        <v>672863666.14284396</v>
      </c>
      <c r="AK4" s="1889">
        <f t="shared" ref="AK4:AL4" si="8">SUBTOTAL(9,AK5:AK160)</f>
        <v>197318550.073327</v>
      </c>
      <c r="AL4" s="1889">
        <f t="shared" si="8"/>
        <v>196779612.415223</v>
      </c>
      <c r="AM4" s="1889">
        <f>SUBTOTAL(9,AM5:AM160)</f>
        <v>6295939992</v>
      </c>
      <c r="AN4" s="1889">
        <f>SUBTOTAL(9,AN5:AN160)</f>
        <v>6243825465.8479996</v>
      </c>
      <c r="AO4" s="1889">
        <f t="shared" ref="AO4:AP4" si="9">SUBTOTAL(9,AO5:AO160)</f>
        <v>5218606997.3584003</v>
      </c>
      <c r="AP4" s="1889">
        <f t="shared" si="9"/>
        <v>4949638047.5960007</v>
      </c>
      <c r="AQ4" s="1890">
        <f>SUBTOTAL(9,AQ5:AQ160)</f>
        <v>62959400.100000001</v>
      </c>
      <c r="AR4" s="1889">
        <f>SUBTOTAL(9,AR5:AR160)</f>
        <v>62896440.699900001</v>
      </c>
      <c r="AS4" s="1889">
        <f t="shared" ref="AS4:AT4" si="10">SUBTOTAL(9,AS5:AS160)</f>
        <v>52268893.963020004</v>
      </c>
      <c r="AT4" s="1889">
        <f t="shared" si="10"/>
        <v>50398999.780050002</v>
      </c>
      <c r="AU4" s="1890">
        <f>SUBTOTAL(9,AU5:AU160)</f>
        <v>4197128919.3000002</v>
      </c>
      <c r="AV4" s="1889">
        <f>SUBTOTAL(9,AV5:AV160)</f>
        <v>4192931790.3807001</v>
      </c>
      <c r="AW4" s="1889">
        <f t="shared" ref="AW4:AX4" si="11">SUBTOTAL(9,AW5:AW160)</f>
        <v>3484456428.8028603</v>
      </c>
      <c r="AX4" s="1889">
        <f t="shared" si="11"/>
        <v>3359801699.8996501</v>
      </c>
      <c r="AY4" s="1889">
        <f>SUBTOTAL(9,AY5:AY160)</f>
        <v>450000000</v>
      </c>
      <c r="AZ4" s="1889">
        <f>SUBTOTAL(9,AZ5:AZ160)</f>
        <v>449550000</v>
      </c>
      <c r="BA4" s="1889">
        <f t="shared" ref="BA4:BB4" si="12">SUBTOTAL(9,BA5:BA160)</f>
        <v>373590000</v>
      </c>
      <c r="BB4" s="1889">
        <f t="shared" si="12"/>
        <v>360225000</v>
      </c>
      <c r="BC4" s="1890">
        <f>SUBTOTAL(9,BC5:BC160)</f>
        <v>167552412.09</v>
      </c>
      <c r="BD4" s="1889">
        <f>SUBTOTAL(9,BD5:BD160)</f>
        <v>166689497.06144705</v>
      </c>
      <c r="BE4" s="1889">
        <f t="shared" ref="BE4:BF4" si="13">SUBTOTAL(9,BE5:BE160)</f>
        <v>162092808.56076917</v>
      </c>
      <c r="BF4" s="1889">
        <f t="shared" si="13"/>
        <v>150637906.28142163</v>
      </c>
      <c r="BG4" s="1890">
        <f>SUBTOTAL(9,BG5:BG160)</f>
        <v>42660880.789999999</v>
      </c>
      <c r="BH4" s="1889">
        <f>SUBTOTAL(9,BH5:BH160)</f>
        <v>42441172.1346258</v>
      </c>
      <c r="BI4" s="1889">
        <f t="shared" ref="BI4:BJ4" si="14">SUBTOTAL(9,BI5:BI160)</f>
        <v>41270799.36762052</v>
      </c>
      <c r="BJ4" s="1889">
        <f t="shared" si="14"/>
        <v>38354242.008017391</v>
      </c>
      <c r="BK4" s="1889">
        <f>SUBTOTAL(9,BK5:BK160)</f>
        <v>43855368.969999999</v>
      </c>
      <c r="BL4" s="1889">
        <f>SUBTOTAL(9,BL5:BL160)</f>
        <v>43583546.017448246</v>
      </c>
      <c r="BM4" s="1889">
        <f t="shared" ref="BM4:BN4" si="15">SUBTOTAL(9,BM5:BM160)</f>
        <v>42930234.180642851</v>
      </c>
      <c r="BN4" s="1889">
        <f t="shared" si="15"/>
        <v>42451811.973697394</v>
      </c>
      <c r="BO4" s="1889">
        <f>SUBTOTAL(9,BO5:BO160)</f>
        <v>16224093.99</v>
      </c>
      <c r="BP4" s="1889">
        <f>SUBTOTAL(9,BP5:BP160)</f>
        <v>16123534.326852355</v>
      </c>
      <c r="BQ4" s="1889">
        <f t="shared" ref="BQ4:BR4" si="16">SUBTOTAL(9,BQ5:BQ160)</f>
        <v>15881844.588650379</v>
      </c>
      <c r="BR4" s="1889">
        <f t="shared" si="16"/>
        <v>15704854.472395834</v>
      </c>
      <c r="BS4" s="1889">
        <f>SUBTOTAL(9,BS5:BS160)</f>
        <v>65172331569</v>
      </c>
      <c r="BT4" s="1889">
        <f>SUBTOTAL(9,BT5:BT160)</f>
        <v>64626344300.229347</v>
      </c>
      <c r="BU4" s="1889">
        <f t="shared" ref="BU4:BV4" si="17">SUBTOTAL(9,BU5:BU160)</f>
        <v>46265670918.084671</v>
      </c>
      <c r="BV4" s="1889">
        <f t="shared" si="17"/>
        <v>43055691281.091911</v>
      </c>
      <c r="BW4" s="1889">
        <v>21776284773</v>
      </c>
      <c r="BX4" s="1889">
        <f>SUBTOTAL(9,BX5:BX160)</f>
        <v>21370823752.81525</v>
      </c>
      <c r="BY4" s="1889">
        <f t="shared" ref="BY4:CA4" si="18">SUBTOTAL(9,BY5:BY160)</f>
        <v>18620554213.424515</v>
      </c>
      <c r="BZ4" s="1889">
        <f t="shared" si="18"/>
        <v>18361972255.211433</v>
      </c>
      <c r="CA4" s="1889">
        <f t="shared" si="18"/>
        <v>331242317.45999998</v>
      </c>
      <c r="CB4" s="1889">
        <f>SUBTOTAL(9,CB5:CB160)</f>
        <v>324730417.17293036</v>
      </c>
      <c r="CC4" s="1889">
        <f t="shared" ref="CC4:CH4" si="19">SUBTOTAL(9,CC5:CC160)</f>
        <v>280611517.45087332</v>
      </c>
      <c r="CD4" s="1889">
        <f t="shared" si="19"/>
        <v>277056456.94211251</v>
      </c>
      <c r="CE4" s="1889">
        <f t="shared" si="19"/>
        <v>14416666667</v>
      </c>
      <c r="CF4" s="1889">
        <f>SUBTOTAL(9,CF5:CF160)</f>
        <v>14402250000.333</v>
      </c>
      <c r="CG4" s="1889">
        <f t="shared" si="19"/>
        <v>11968716666.943401</v>
      </c>
      <c r="CH4" s="1889">
        <f t="shared" si="19"/>
        <v>11540541666.9335</v>
      </c>
      <c r="CI4" s="1889">
        <f t="shared" ref="CI4" si="20">SUBTOTAL(9,CI5:CI160)</f>
        <v>8000000000</v>
      </c>
      <c r="CJ4" s="1889">
        <f>SUBTOTAL(9,CJ5:CJ160)</f>
        <v>7976353733.3310909</v>
      </c>
      <c r="CK4" s="1889">
        <f t="shared" ref="CK4:CM4" si="21">SUBTOTAL(9,CK5:CK160)</f>
        <v>4854070178.4564552</v>
      </c>
      <c r="CL4" s="1889">
        <f t="shared" si="21"/>
        <v>4728804337.0186911</v>
      </c>
      <c r="CM4" s="1889">
        <f t="shared" si="21"/>
        <v>3912277256</v>
      </c>
      <c r="CN4" s="1889">
        <f>SUBTOTAL(9,CN5:CN160)</f>
        <v>3835365708.0377784</v>
      </c>
      <c r="CO4" s="1889">
        <f t="shared" ref="CO4:CP4" si="22">SUBTOTAL(9,CO5:CO160)</f>
        <v>3314280813.8554645</v>
      </c>
      <c r="CP4" s="1889">
        <f t="shared" si="22"/>
        <v>3272292270.6077914</v>
      </c>
      <c r="CQ4" s="1889">
        <v>5221806239</v>
      </c>
      <c r="CR4" s="1889">
        <f>SUBTOTAL(9,CR5:CR160)</f>
        <v>5216584432.7609997</v>
      </c>
      <c r="CS4" s="1889">
        <f t="shared" ref="CS4:CT4" si="23">SUBTOTAL(9,CS5:CS160)</f>
        <v>4335143539.6178007</v>
      </c>
      <c r="CT4" s="1889">
        <f t="shared" si="23"/>
        <v>4180055894.3195</v>
      </c>
      <c r="CU4" s="1888">
        <f>+C4+G4+K4+O4+S4+W4+AA4+AE4+AI4+AM4+AQ4+AU4+AY4+BC4+BG4+BK4+BO4+BS4+BW4+CA4+CE4+CI4+CM4+CQ4</f>
        <v>155439506138.01898</v>
      </c>
      <c r="CV4" s="1888">
        <f t="shared" ref="CV4:CX4" si="24">+D4+H4+L4+P4+T4+X4+AB4+AF4+AJ4+AN4+AR4+AV4+AZ4+BD4+BH4+BL4+BP4+BT4+BX4+CB4+CF4+CJ4+CN4+CR4</f>
        <v>154291387964.7796</v>
      </c>
      <c r="CW4" s="1888">
        <f t="shared" si="24"/>
        <v>122471350821.32693</v>
      </c>
      <c r="CX4" s="1888">
        <f t="shared" si="24"/>
        <v>117518820311.32672</v>
      </c>
      <c r="CY4" s="1889">
        <f>SUBTOTAL(9,CY5:CY160)</f>
        <v>101087506268.79001</v>
      </c>
      <c r="CZ4" s="1889">
        <f>SUBTOTAL(9,CZ5:CZ160)</f>
        <v>73637735971.940002</v>
      </c>
      <c r="DA4" s="1889">
        <f>SUBTOTAL(9,DA5:DA160)</f>
        <v>72945149594.940002</v>
      </c>
    </row>
    <row r="5" spans="1:109" ht="110.25">
      <c r="A5" s="758" t="s">
        <v>509</v>
      </c>
      <c r="B5" s="759">
        <v>120000000</v>
      </c>
      <c r="C5" s="760"/>
      <c r="D5" s="760"/>
      <c r="E5" s="760"/>
      <c r="F5" s="760"/>
      <c r="G5" s="761"/>
      <c r="H5" s="761"/>
      <c r="I5" s="761"/>
      <c r="J5" s="761"/>
      <c r="K5" s="761"/>
      <c r="L5" s="761"/>
      <c r="M5" s="761"/>
      <c r="N5" s="761"/>
      <c r="O5" s="761"/>
      <c r="P5" s="761"/>
      <c r="Q5" s="761"/>
      <c r="R5" s="761"/>
      <c r="S5" s="761"/>
      <c r="T5" s="761"/>
      <c r="U5" s="761"/>
      <c r="V5" s="761"/>
      <c r="W5" s="760"/>
      <c r="X5" s="760"/>
      <c r="Y5" s="760"/>
      <c r="Z5" s="760"/>
      <c r="AA5" s="760"/>
      <c r="AB5" s="760"/>
      <c r="AC5" s="760"/>
      <c r="AD5" s="760"/>
      <c r="AE5" s="761"/>
      <c r="AF5" s="761"/>
      <c r="AG5" s="761"/>
      <c r="AH5" s="761"/>
      <c r="AI5" s="761"/>
      <c r="AJ5" s="761"/>
      <c r="AK5" s="761"/>
      <c r="AL5" s="761"/>
      <c r="AM5" s="762">
        <f>+B5</f>
        <v>120000000</v>
      </c>
      <c r="AN5" s="762">
        <v>115778932</v>
      </c>
      <c r="AO5" s="762">
        <v>112969093</v>
      </c>
      <c r="AP5" s="762">
        <v>93856082</v>
      </c>
      <c r="AQ5" s="761"/>
      <c r="AR5" s="761"/>
      <c r="AS5" s="761"/>
      <c r="AT5" s="761"/>
      <c r="AU5" s="761"/>
      <c r="AV5" s="761"/>
      <c r="AW5" s="761"/>
      <c r="AX5" s="761"/>
      <c r="AY5" s="761"/>
      <c r="AZ5" s="761"/>
      <c r="BA5" s="761"/>
      <c r="BB5" s="761"/>
      <c r="BC5" s="761"/>
      <c r="BD5" s="761"/>
      <c r="BE5" s="761"/>
      <c r="BF5" s="761"/>
      <c r="BG5" s="761"/>
      <c r="BH5" s="761"/>
      <c r="BI5" s="761"/>
      <c r="BJ5" s="761"/>
      <c r="BK5" s="761"/>
      <c r="BL5" s="761"/>
      <c r="BM5" s="761"/>
      <c r="BN5" s="761"/>
      <c r="BO5" s="761"/>
      <c r="BP5" s="761"/>
      <c r="BQ5" s="761"/>
      <c r="BR5" s="761"/>
      <c r="BS5" s="761"/>
      <c r="BT5" s="761"/>
      <c r="BU5" s="761"/>
      <c r="BV5" s="761"/>
      <c r="BW5" s="761"/>
      <c r="BX5" s="761"/>
      <c r="BY5" s="761"/>
      <c r="BZ5" s="761"/>
      <c r="CA5" s="761"/>
      <c r="CB5" s="761"/>
      <c r="CC5" s="761"/>
      <c r="CD5" s="761"/>
      <c r="CE5" s="761"/>
      <c r="CF5" s="761"/>
      <c r="CG5" s="761"/>
      <c r="CH5" s="761"/>
      <c r="CI5" s="761"/>
      <c r="CJ5" s="761"/>
      <c r="CK5" s="761"/>
      <c r="CL5" s="761"/>
      <c r="CM5" s="761"/>
      <c r="CN5" s="761"/>
      <c r="CO5" s="761"/>
      <c r="CP5" s="761"/>
      <c r="CQ5" s="761"/>
      <c r="CR5" s="761"/>
      <c r="CS5" s="761"/>
      <c r="CT5" s="761"/>
      <c r="CU5" s="1891">
        <f t="shared" ref="CU5:CU68" si="25">+C5+G5+K5+O5+S5+W5+AA5+AE5+AI5+AM5+AQ5+AU5+AY5+BC5+BG5+BK5+BO5+BS5+BW5+CA5+CE5+CI5+CM5+CQ5</f>
        <v>120000000</v>
      </c>
      <c r="CV5" s="1891">
        <f t="shared" ref="CV5:CV68" si="26">+D5+H5+L5+P5+T5+X5+AB5+AF5+AJ5+AN5+AR5+AV5+AZ5+BD5+BH5+BL5+BP5+BT5+BX5+CB5+CF5+CJ5+CN5+CR5</f>
        <v>115778932</v>
      </c>
      <c r="CW5" s="1891">
        <f t="shared" ref="CW5:CW68" si="27">+E5+I5+M5+Q5+U5+Y5+AC5+AG5+AK5+AO5+AS5+AW5+BA5+BE5+BI5+BM5+BQ5+BU5+BY5+CC5+CG5+CK5+CO5+CS5</f>
        <v>112969093</v>
      </c>
      <c r="CX5" s="1891">
        <f t="shared" ref="CX5:CX68" si="28">+F5+J5+N5+R5+V5+Z5+AD5+AH5+AL5+AP5+AT5+AX5+BB5+BF5+BJ5+BN5+BR5+BV5+BZ5+CD5+CH5+CL5+CP5+CT5</f>
        <v>93856082</v>
      </c>
      <c r="CY5" s="1892">
        <v>75886432</v>
      </c>
      <c r="CZ5" s="1893">
        <v>53003840</v>
      </c>
      <c r="DA5" s="1894">
        <v>51591618</v>
      </c>
      <c r="DB5" s="816">
        <f>+CV5-CY5</f>
        <v>39892500</v>
      </c>
      <c r="DC5" s="816">
        <f t="shared" ref="DC5:DD20" si="29">+CW5-CZ5</f>
        <v>59965253</v>
      </c>
      <c r="DD5" s="816">
        <f t="shared" si="29"/>
        <v>42264464</v>
      </c>
    </row>
    <row r="6" spans="1:109" s="765" customFormat="1" ht="94.5">
      <c r="A6" s="758" t="s">
        <v>510</v>
      </c>
      <c r="B6" s="759">
        <v>120000000</v>
      </c>
      <c r="C6" s="764"/>
      <c r="D6" s="764"/>
      <c r="E6" s="764"/>
      <c r="F6" s="764"/>
      <c r="G6" s="764"/>
      <c r="H6" s="764"/>
      <c r="I6" s="764"/>
      <c r="J6" s="764"/>
      <c r="K6" s="764"/>
      <c r="L6" s="764"/>
      <c r="M6" s="764"/>
      <c r="N6" s="764"/>
      <c r="O6" s="764"/>
      <c r="P6" s="764"/>
      <c r="Q6" s="764"/>
      <c r="R6" s="764"/>
      <c r="S6" s="764"/>
      <c r="T6" s="764"/>
      <c r="U6" s="764"/>
      <c r="V6" s="764"/>
      <c r="W6" s="764"/>
      <c r="X6" s="764"/>
      <c r="Y6" s="764"/>
      <c r="Z6" s="764"/>
      <c r="AA6" s="764"/>
      <c r="AB6" s="764"/>
      <c r="AC6" s="764"/>
      <c r="AD6" s="764"/>
      <c r="AE6" s="764"/>
      <c r="AF6" s="764"/>
      <c r="AG6" s="764"/>
      <c r="AH6" s="764"/>
      <c r="AI6" s="764"/>
      <c r="AJ6" s="764"/>
      <c r="AK6" s="764"/>
      <c r="AL6" s="764"/>
      <c r="AM6" s="762">
        <f>+B6</f>
        <v>120000000</v>
      </c>
      <c r="AN6" s="762">
        <v>116938086.84</v>
      </c>
      <c r="AO6" s="762">
        <v>113037976</v>
      </c>
      <c r="AP6" s="762">
        <v>93778512</v>
      </c>
      <c r="AQ6" s="764"/>
      <c r="AR6" s="764"/>
      <c r="AS6" s="764"/>
      <c r="AT6" s="764"/>
      <c r="AU6" s="764"/>
      <c r="AV6" s="764"/>
      <c r="AW6" s="764"/>
      <c r="AX6" s="764"/>
      <c r="AY6" s="764"/>
      <c r="AZ6" s="764"/>
      <c r="BA6" s="764"/>
      <c r="BB6" s="764"/>
      <c r="BC6" s="764"/>
      <c r="BD6" s="764"/>
      <c r="BE6" s="764"/>
      <c r="BF6" s="764"/>
      <c r="BG6" s="764"/>
      <c r="BH6" s="764"/>
      <c r="BI6" s="764"/>
      <c r="BJ6" s="764"/>
      <c r="BK6" s="764"/>
      <c r="BL6" s="764"/>
      <c r="BM6" s="764"/>
      <c r="BN6" s="764"/>
      <c r="BO6" s="764"/>
      <c r="BP6" s="764"/>
      <c r="BQ6" s="764"/>
      <c r="BR6" s="764"/>
      <c r="BS6" s="764"/>
      <c r="BT6" s="764"/>
      <c r="BU6" s="764"/>
      <c r="BV6" s="764"/>
      <c r="BW6" s="764"/>
      <c r="BX6" s="764"/>
      <c r="BY6" s="764"/>
      <c r="BZ6" s="764"/>
      <c r="CA6" s="764"/>
      <c r="CB6" s="764"/>
      <c r="CC6" s="764"/>
      <c r="CD6" s="764"/>
      <c r="CE6" s="764"/>
      <c r="CF6" s="764"/>
      <c r="CG6" s="764"/>
      <c r="CH6" s="764"/>
      <c r="CI6" s="764"/>
      <c r="CJ6" s="764"/>
      <c r="CK6" s="764"/>
      <c r="CL6" s="764"/>
      <c r="CM6" s="764"/>
      <c r="CN6" s="764"/>
      <c r="CO6" s="764"/>
      <c r="CP6" s="764"/>
      <c r="CQ6" s="764"/>
      <c r="CR6" s="764"/>
      <c r="CS6" s="764"/>
      <c r="CT6" s="764"/>
      <c r="CU6" s="1891">
        <f t="shared" si="25"/>
        <v>120000000</v>
      </c>
      <c r="CV6" s="1891">
        <f t="shared" si="26"/>
        <v>116938086.84</v>
      </c>
      <c r="CW6" s="1891">
        <f t="shared" si="27"/>
        <v>113037976</v>
      </c>
      <c r="CX6" s="1891">
        <f t="shared" si="28"/>
        <v>93778512</v>
      </c>
      <c r="CY6" s="1892">
        <v>72454037</v>
      </c>
      <c r="CZ6" s="1893">
        <v>36785387</v>
      </c>
      <c r="DA6" s="1894">
        <v>35281141</v>
      </c>
      <c r="DB6" s="816">
        <f t="shared" ref="DB6:DD69" si="30">+CV6-CY6</f>
        <v>44484049.840000004</v>
      </c>
      <c r="DC6" s="816">
        <f t="shared" si="29"/>
        <v>76252589</v>
      </c>
      <c r="DD6" s="816">
        <f t="shared" si="29"/>
        <v>58497371</v>
      </c>
    </row>
    <row r="7" spans="1:109" s="765" customFormat="1" ht="78.75">
      <c r="A7" s="758" t="s">
        <v>1349</v>
      </c>
      <c r="B7" s="759">
        <v>120000000</v>
      </c>
      <c r="C7" s="764"/>
      <c r="D7" s="764"/>
      <c r="E7" s="764"/>
      <c r="F7" s="764"/>
      <c r="G7" s="764"/>
      <c r="H7" s="764"/>
      <c r="I7" s="764"/>
      <c r="J7" s="764"/>
      <c r="K7" s="764"/>
      <c r="L7" s="764"/>
      <c r="M7" s="764"/>
      <c r="N7" s="764"/>
      <c r="O7" s="764"/>
      <c r="P7" s="764"/>
      <c r="Q7" s="764"/>
      <c r="R7" s="764"/>
      <c r="S7" s="764"/>
      <c r="T7" s="764"/>
      <c r="U7" s="764"/>
      <c r="V7" s="764"/>
      <c r="W7" s="764"/>
      <c r="X7" s="764"/>
      <c r="Y7" s="764"/>
      <c r="Z7" s="764"/>
      <c r="AA7" s="764"/>
      <c r="AB7" s="764"/>
      <c r="AC7" s="764"/>
      <c r="AD7" s="764"/>
      <c r="AE7" s="764"/>
      <c r="AF7" s="764"/>
      <c r="AG7" s="764"/>
      <c r="AH7" s="764"/>
      <c r="AI7" s="764"/>
      <c r="AJ7" s="764"/>
      <c r="AK7" s="764"/>
      <c r="AL7" s="764"/>
      <c r="AM7" s="762">
        <f>+B7</f>
        <v>120000000</v>
      </c>
      <c r="AN7" s="762">
        <v>114367577</v>
      </c>
      <c r="AO7" s="762">
        <v>110411467</v>
      </c>
      <c r="AP7" s="762">
        <v>39060294</v>
      </c>
      <c r="AQ7" s="764"/>
      <c r="AR7" s="764"/>
      <c r="AS7" s="764"/>
      <c r="AT7" s="764"/>
      <c r="AU7" s="764"/>
      <c r="AV7" s="764"/>
      <c r="AW7" s="764"/>
      <c r="AX7" s="764"/>
      <c r="AY7" s="764"/>
      <c r="AZ7" s="764"/>
      <c r="BA7" s="764"/>
      <c r="BB7" s="764"/>
      <c r="BC7" s="764"/>
      <c r="BD7" s="764"/>
      <c r="BE7" s="764"/>
      <c r="BF7" s="764"/>
      <c r="BG7" s="764"/>
      <c r="BH7" s="764"/>
      <c r="BI7" s="764"/>
      <c r="BJ7" s="764"/>
      <c r="BK7" s="764"/>
      <c r="BL7" s="764"/>
      <c r="BM7" s="764"/>
      <c r="BN7" s="764"/>
      <c r="BO7" s="764"/>
      <c r="BP7" s="764"/>
      <c r="BQ7" s="764"/>
      <c r="BR7" s="764"/>
      <c r="BS7" s="764"/>
      <c r="BT7" s="764"/>
      <c r="BU7" s="764"/>
      <c r="BV7" s="764"/>
      <c r="BW7" s="764"/>
      <c r="BX7" s="764"/>
      <c r="BY7" s="764"/>
      <c r="BZ7" s="764"/>
      <c r="CA7" s="764"/>
      <c r="CB7" s="764"/>
      <c r="CC7" s="764"/>
      <c r="CD7" s="764"/>
      <c r="CE7" s="764"/>
      <c r="CF7" s="764"/>
      <c r="CG7" s="764"/>
      <c r="CH7" s="764"/>
      <c r="CI7" s="764"/>
      <c r="CJ7" s="764"/>
      <c r="CK7" s="764"/>
      <c r="CL7" s="764"/>
      <c r="CM7" s="764"/>
      <c r="CN7" s="764"/>
      <c r="CO7" s="764"/>
      <c r="CP7" s="764"/>
      <c r="CQ7" s="764"/>
      <c r="CR7" s="764"/>
      <c r="CS7" s="764"/>
      <c r="CT7" s="764"/>
      <c r="CU7" s="1891">
        <f t="shared" si="25"/>
        <v>120000000</v>
      </c>
      <c r="CV7" s="1891">
        <f t="shared" si="26"/>
        <v>114367577</v>
      </c>
      <c r="CW7" s="1891">
        <f t="shared" si="27"/>
        <v>110411467</v>
      </c>
      <c r="CX7" s="1891">
        <f t="shared" si="28"/>
        <v>39060294</v>
      </c>
      <c r="CY7" s="1892">
        <v>31104037</v>
      </c>
      <c r="CZ7" s="1893">
        <v>3435387</v>
      </c>
      <c r="DA7" s="1894">
        <v>1931141</v>
      </c>
      <c r="DB7" s="816">
        <f t="shared" si="30"/>
        <v>83263540</v>
      </c>
      <c r="DC7" s="816">
        <f t="shared" si="29"/>
        <v>106976080</v>
      </c>
      <c r="DD7" s="816">
        <f t="shared" si="29"/>
        <v>37129153</v>
      </c>
    </row>
    <row r="8" spans="1:109" ht="141.75">
      <c r="A8" s="758" t="s">
        <v>514</v>
      </c>
      <c r="B8" s="759">
        <v>550000000</v>
      </c>
      <c r="C8" s="760"/>
      <c r="D8" s="760"/>
      <c r="E8" s="760"/>
      <c r="F8" s="760"/>
      <c r="G8" s="761"/>
      <c r="H8" s="761"/>
      <c r="I8" s="761"/>
      <c r="J8" s="761"/>
      <c r="K8" s="761"/>
      <c r="L8" s="761"/>
      <c r="M8" s="761"/>
      <c r="N8" s="761"/>
      <c r="O8" s="761"/>
      <c r="P8" s="761"/>
      <c r="Q8" s="761"/>
      <c r="R8" s="761"/>
      <c r="S8" s="761"/>
      <c r="T8" s="761"/>
      <c r="U8" s="761"/>
      <c r="V8" s="761"/>
      <c r="W8" s="760"/>
      <c r="X8" s="760"/>
      <c r="Y8" s="760"/>
      <c r="Z8" s="760"/>
      <c r="AA8" s="760"/>
      <c r="AB8" s="760"/>
      <c r="AC8" s="760"/>
      <c r="AD8" s="760"/>
      <c r="AE8" s="761"/>
      <c r="AF8" s="761"/>
      <c r="AG8" s="761"/>
      <c r="AH8" s="761"/>
      <c r="AI8" s="761"/>
      <c r="AJ8" s="761"/>
      <c r="AK8" s="761"/>
      <c r="AL8" s="761"/>
      <c r="AM8" s="762">
        <f>+B8</f>
        <v>550000000</v>
      </c>
      <c r="AN8" s="762">
        <v>544866789</v>
      </c>
      <c r="AO8" s="762">
        <v>359608367</v>
      </c>
      <c r="AP8" s="762">
        <v>354993962</v>
      </c>
      <c r="AQ8" s="761"/>
      <c r="AR8" s="761"/>
      <c r="AS8" s="761"/>
      <c r="AT8" s="761"/>
      <c r="AU8" s="761"/>
      <c r="AV8" s="761"/>
      <c r="AW8" s="761"/>
      <c r="AX8" s="761"/>
      <c r="AY8" s="761"/>
      <c r="AZ8" s="761"/>
      <c r="BA8" s="761"/>
      <c r="BB8" s="761"/>
      <c r="BC8" s="761"/>
      <c r="BD8" s="761"/>
      <c r="BE8" s="761"/>
      <c r="BF8" s="761"/>
      <c r="BG8" s="761"/>
      <c r="BH8" s="761"/>
      <c r="BI8" s="761"/>
      <c r="BJ8" s="761"/>
      <c r="BK8" s="761"/>
      <c r="BL8" s="761"/>
      <c r="BM8" s="761"/>
      <c r="BN8" s="761"/>
      <c r="BO8" s="761"/>
      <c r="BP8" s="761"/>
      <c r="BQ8" s="761"/>
      <c r="BR8" s="761"/>
      <c r="BS8" s="761"/>
      <c r="BT8" s="761"/>
      <c r="BU8" s="761"/>
      <c r="BV8" s="761"/>
      <c r="BW8" s="761"/>
      <c r="BX8" s="761"/>
      <c r="BY8" s="761"/>
      <c r="BZ8" s="761"/>
      <c r="CA8" s="761"/>
      <c r="CB8" s="761"/>
      <c r="CC8" s="761"/>
      <c r="CD8" s="761"/>
      <c r="CE8" s="761"/>
      <c r="CF8" s="761"/>
      <c r="CG8" s="761"/>
      <c r="CH8" s="761"/>
      <c r="CI8" s="761"/>
      <c r="CJ8" s="761"/>
      <c r="CK8" s="761"/>
      <c r="CL8" s="761"/>
      <c r="CM8" s="761"/>
      <c r="CN8" s="761"/>
      <c r="CO8" s="761"/>
      <c r="CP8" s="761"/>
      <c r="CQ8" s="761"/>
      <c r="CR8" s="761"/>
      <c r="CS8" s="761"/>
      <c r="CT8" s="761"/>
      <c r="CU8" s="1891">
        <f t="shared" si="25"/>
        <v>550000000</v>
      </c>
      <c r="CV8" s="1891">
        <f t="shared" si="26"/>
        <v>544866789</v>
      </c>
      <c r="CW8" s="1891">
        <f t="shared" si="27"/>
        <v>359608367</v>
      </c>
      <c r="CX8" s="1891">
        <f t="shared" si="28"/>
        <v>354993962</v>
      </c>
      <c r="CY8" s="1892">
        <v>23807134</v>
      </c>
      <c r="CZ8" s="1893">
        <v>15832704</v>
      </c>
      <c r="DA8" s="1894">
        <v>8900040</v>
      </c>
      <c r="DB8" s="816">
        <f t="shared" si="30"/>
        <v>521059655</v>
      </c>
      <c r="DC8" s="816">
        <f t="shared" si="29"/>
        <v>343775663</v>
      </c>
      <c r="DD8" s="816">
        <f t="shared" si="29"/>
        <v>346093922</v>
      </c>
    </row>
    <row r="9" spans="1:109" s="765" customFormat="1" ht="94.5">
      <c r="A9" s="758" t="s">
        <v>517</v>
      </c>
      <c r="B9" s="759">
        <v>570000000</v>
      </c>
      <c r="C9" s="764"/>
      <c r="D9" s="764"/>
      <c r="E9" s="764"/>
      <c r="F9" s="764"/>
      <c r="G9" s="764"/>
      <c r="H9" s="764"/>
      <c r="I9" s="764"/>
      <c r="J9" s="764"/>
      <c r="K9" s="764"/>
      <c r="L9" s="764"/>
      <c r="M9" s="764"/>
      <c r="N9" s="764"/>
      <c r="O9" s="764"/>
      <c r="P9" s="764"/>
      <c r="Q9" s="764"/>
      <c r="R9" s="764"/>
      <c r="S9" s="764"/>
      <c r="T9" s="764"/>
      <c r="U9" s="764"/>
      <c r="V9" s="764"/>
      <c r="W9" s="764"/>
      <c r="X9" s="764"/>
      <c r="Y9" s="764"/>
      <c r="Z9" s="764"/>
      <c r="AA9" s="764"/>
      <c r="AB9" s="764"/>
      <c r="AC9" s="764"/>
      <c r="AD9" s="764"/>
      <c r="AE9" s="764"/>
      <c r="AF9" s="764"/>
      <c r="AG9" s="764"/>
      <c r="AH9" s="764"/>
      <c r="AI9" s="764"/>
      <c r="AJ9" s="764"/>
      <c r="AK9" s="764"/>
      <c r="AL9" s="764"/>
      <c r="AM9" s="762">
        <f t="shared" ref="AM9:AM13" si="31">+B9</f>
        <v>570000000</v>
      </c>
      <c r="AN9" s="762">
        <v>559570543</v>
      </c>
      <c r="AO9" s="762">
        <v>442650348</v>
      </c>
      <c r="AP9" s="762">
        <v>438039288</v>
      </c>
      <c r="AQ9" s="764"/>
      <c r="AR9" s="764"/>
      <c r="AS9" s="764"/>
      <c r="AT9" s="764"/>
      <c r="AU9" s="764"/>
      <c r="AV9" s="764"/>
      <c r="AW9" s="764"/>
      <c r="AX9" s="764"/>
      <c r="AY9" s="764"/>
      <c r="AZ9" s="764"/>
      <c r="BA9" s="764"/>
      <c r="BB9" s="764"/>
      <c r="BC9" s="764"/>
      <c r="BD9" s="764"/>
      <c r="BE9" s="764"/>
      <c r="BF9" s="764"/>
      <c r="BG9" s="764"/>
      <c r="BH9" s="764"/>
      <c r="BI9" s="764"/>
      <c r="BJ9" s="764"/>
      <c r="BK9" s="764"/>
      <c r="BL9" s="764"/>
      <c r="BM9" s="764"/>
      <c r="BN9" s="764"/>
      <c r="BO9" s="764"/>
      <c r="BP9" s="764"/>
      <c r="BQ9" s="764"/>
      <c r="BR9" s="764"/>
      <c r="BS9" s="764"/>
      <c r="BT9" s="764"/>
      <c r="BU9" s="764"/>
      <c r="BV9" s="764"/>
      <c r="BW9" s="764"/>
      <c r="BX9" s="764"/>
      <c r="BY9" s="764"/>
      <c r="BZ9" s="764"/>
      <c r="CA9" s="764"/>
      <c r="CB9" s="764"/>
      <c r="CC9" s="764"/>
      <c r="CD9" s="764"/>
      <c r="CE9" s="764"/>
      <c r="CF9" s="764"/>
      <c r="CG9" s="764"/>
      <c r="CH9" s="764"/>
      <c r="CI9" s="764"/>
      <c r="CJ9" s="764"/>
      <c r="CK9" s="764"/>
      <c r="CL9" s="764"/>
      <c r="CM9" s="764"/>
      <c r="CN9" s="764"/>
      <c r="CO9" s="764"/>
      <c r="CP9" s="764"/>
      <c r="CQ9" s="764"/>
      <c r="CR9" s="764"/>
      <c r="CS9" s="764"/>
      <c r="CT9" s="764"/>
      <c r="CU9" s="1891">
        <f t="shared" si="25"/>
        <v>570000000</v>
      </c>
      <c r="CV9" s="1891">
        <f t="shared" si="26"/>
        <v>559570543</v>
      </c>
      <c r="CW9" s="1891">
        <f t="shared" si="27"/>
        <v>442650348</v>
      </c>
      <c r="CX9" s="1891">
        <f t="shared" si="28"/>
        <v>438039288</v>
      </c>
      <c r="CY9" s="1892">
        <v>24694752</v>
      </c>
      <c r="CZ9" s="1893">
        <v>16430112</v>
      </c>
      <c r="DA9" s="1894">
        <v>9235890</v>
      </c>
      <c r="DB9" s="816">
        <f t="shared" si="30"/>
        <v>534875791</v>
      </c>
      <c r="DC9" s="816">
        <f t="shared" si="29"/>
        <v>426220236</v>
      </c>
      <c r="DD9" s="816">
        <f t="shared" si="29"/>
        <v>428803398</v>
      </c>
    </row>
    <row r="10" spans="1:109" ht="126">
      <c r="A10" s="758" t="s">
        <v>1350</v>
      </c>
      <c r="B10" s="759">
        <v>175000000</v>
      </c>
      <c r="C10" s="760"/>
      <c r="D10" s="760"/>
      <c r="E10" s="760"/>
      <c r="F10" s="760"/>
      <c r="G10" s="761"/>
      <c r="H10" s="761"/>
      <c r="I10" s="761"/>
      <c r="J10" s="761"/>
      <c r="K10" s="761"/>
      <c r="L10" s="761"/>
      <c r="M10" s="761"/>
      <c r="N10" s="761"/>
      <c r="O10" s="761"/>
      <c r="P10" s="761"/>
      <c r="Q10" s="761"/>
      <c r="R10" s="761"/>
      <c r="S10" s="761"/>
      <c r="T10" s="761"/>
      <c r="U10" s="761"/>
      <c r="V10" s="761"/>
      <c r="W10" s="760"/>
      <c r="X10" s="760"/>
      <c r="Y10" s="760"/>
      <c r="Z10" s="760"/>
      <c r="AA10" s="760"/>
      <c r="AB10" s="760"/>
      <c r="AC10" s="760"/>
      <c r="AD10" s="760"/>
      <c r="AE10" s="761"/>
      <c r="AF10" s="761"/>
      <c r="AG10" s="761"/>
      <c r="AH10" s="761"/>
      <c r="AI10" s="761"/>
      <c r="AJ10" s="761"/>
      <c r="AK10" s="761"/>
      <c r="AL10" s="761"/>
      <c r="AM10" s="762">
        <f t="shared" si="31"/>
        <v>175000000</v>
      </c>
      <c r="AN10" s="762">
        <v>169741138</v>
      </c>
      <c r="AO10" s="762">
        <v>164090403</v>
      </c>
      <c r="AP10" s="762">
        <v>143977235</v>
      </c>
      <c r="AQ10" s="761"/>
      <c r="AR10" s="761"/>
      <c r="AS10" s="761"/>
      <c r="AT10" s="761"/>
      <c r="AU10" s="761"/>
      <c r="AV10" s="761"/>
      <c r="AW10" s="761"/>
      <c r="AX10" s="761"/>
      <c r="AY10" s="761"/>
      <c r="AZ10" s="761"/>
      <c r="BA10" s="761"/>
      <c r="BB10" s="761"/>
      <c r="BC10" s="761"/>
      <c r="BD10" s="761"/>
      <c r="BE10" s="761"/>
      <c r="BF10" s="761"/>
      <c r="BG10" s="761"/>
      <c r="BH10" s="761"/>
      <c r="BI10" s="761"/>
      <c r="BJ10" s="761"/>
      <c r="BK10" s="761"/>
      <c r="BL10" s="761"/>
      <c r="BM10" s="761"/>
      <c r="BN10" s="761"/>
      <c r="BO10" s="761"/>
      <c r="BP10" s="761"/>
      <c r="BQ10" s="761"/>
      <c r="BR10" s="761"/>
      <c r="BS10" s="761"/>
      <c r="BT10" s="761"/>
      <c r="BU10" s="761"/>
      <c r="BV10" s="761"/>
      <c r="BW10" s="761"/>
      <c r="BX10" s="761"/>
      <c r="BY10" s="761"/>
      <c r="BZ10" s="761"/>
      <c r="CA10" s="761"/>
      <c r="CB10" s="761"/>
      <c r="CC10" s="761"/>
      <c r="CD10" s="761"/>
      <c r="CE10" s="761"/>
      <c r="CF10" s="761"/>
      <c r="CG10" s="761"/>
      <c r="CH10" s="761"/>
      <c r="CI10" s="761"/>
      <c r="CJ10" s="761"/>
      <c r="CK10" s="761"/>
      <c r="CL10" s="761"/>
      <c r="CM10" s="761"/>
      <c r="CN10" s="761"/>
      <c r="CO10" s="761"/>
      <c r="CP10" s="761"/>
      <c r="CQ10" s="761"/>
      <c r="CR10" s="761"/>
      <c r="CS10" s="761"/>
      <c r="CT10" s="761"/>
      <c r="CU10" s="1891">
        <f t="shared" si="25"/>
        <v>175000000</v>
      </c>
      <c r="CV10" s="1891">
        <f t="shared" si="26"/>
        <v>169741138</v>
      </c>
      <c r="CW10" s="1891">
        <f t="shared" si="27"/>
        <v>164090403</v>
      </c>
      <c r="CX10" s="1891">
        <f t="shared" si="28"/>
        <v>143977235</v>
      </c>
      <c r="CY10" s="1892">
        <v>49895100</v>
      </c>
      <c r="CZ10" s="1893">
        <v>33528399</v>
      </c>
      <c r="DA10" s="1894">
        <v>31304730</v>
      </c>
      <c r="DB10" s="816">
        <f t="shared" si="30"/>
        <v>119846038</v>
      </c>
      <c r="DC10" s="816">
        <f t="shared" si="29"/>
        <v>130562004</v>
      </c>
      <c r="DD10" s="816">
        <f t="shared" si="29"/>
        <v>112672505</v>
      </c>
    </row>
    <row r="11" spans="1:109" ht="126">
      <c r="A11" s="766" t="s">
        <v>519</v>
      </c>
      <c r="B11" s="1908">
        <v>489400000</v>
      </c>
      <c r="C11" s="760"/>
      <c r="D11" s="760"/>
      <c r="E11" s="760"/>
      <c r="F11" s="760"/>
      <c r="G11" s="761"/>
      <c r="H11" s="761"/>
      <c r="I11" s="761"/>
      <c r="J11" s="761"/>
      <c r="K11" s="761"/>
      <c r="L11" s="761"/>
      <c r="M11" s="761"/>
      <c r="N11" s="761"/>
      <c r="O11" s="761"/>
      <c r="P11" s="761"/>
      <c r="Q11" s="761"/>
      <c r="R11" s="761"/>
      <c r="S11" s="761"/>
      <c r="T11" s="761"/>
      <c r="U11" s="761"/>
      <c r="V11" s="761"/>
      <c r="W11" s="760"/>
      <c r="X11" s="760"/>
      <c r="Y11" s="760"/>
      <c r="Z11" s="760"/>
      <c r="AA11" s="760"/>
      <c r="AB11" s="760"/>
      <c r="AC11" s="760"/>
      <c r="AD11" s="760"/>
      <c r="AE11" s="761"/>
      <c r="AF11" s="761"/>
      <c r="AG11" s="761"/>
      <c r="AH11" s="761"/>
      <c r="AI11" s="761"/>
      <c r="AJ11" s="761"/>
      <c r="AK11" s="761"/>
      <c r="AL11" s="761"/>
      <c r="AM11" s="762">
        <v>489400000</v>
      </c>
      <c r="AN11" s="762">
        <v>489109181</v>
      </c>
      <c r="AO11" s="762">
        <v>476709597</v>
      </c>
      <c r="AP11" s="762">
        <v>471253418</v>
      </c>
      <c r="AQ11" s="761"/>
      <c r="AR11" s="761"/>
      <c r="AS11" s="761"/>
      <c r="AT11" s="761"/>
      <c r="AU11" s="761"/>
      <c r="AV11" s="761"/>
      <c r="AW11" s="761"/>
      <c r="AX11" s="761"/>
      <c r="AY11" s="761"/>
      <c r="AZ11" s="761"/>
      <c r="BA11" s="761"/>
      <c r="BB11" s="761"/>
      <c r="BC11" s="761"/>
      <c r="BD11" s="761"/>
      <c r="BE11" s="761"/>
      <c r="BF11" s="761"/>
      <c r="BG11" s="761"/>
      <c r="BH11" s="761"/>
      <c r="BI11" s="761"/>
      <c r="BJ11" s="761"/>
      <c r="BK11" s="761"/>
      <c r="BL11" s="761"/>
      <c r="BM11" s="761"/>
      <c r="BN11" s="761"/>
      <c r="BO11" s="761"/>
      <c r="BP11" s="761"/>
      <c r="BQ11" s="761"/>
      <c r="BR11" s="761"/>
      <c r="BS11" s="761"/>
      <c r="BT11" s="761"/>
      <c r="BU11" s="761"/>
      <c r="BV11" s="761"/>
      <c r="BW11" s="761"/>
      <c r="BX11" s="761"/>
      <c r="BY11" s="761"/>
      <c r="BZ11" s="761"/>
      <c r="CA11" s="761"/>
      <c r="CB11" s="761"/>
      <c r="CC11" s="761"/>
      <c r="CD11" s="761"/>
      <c r="CE11" s="761"/>
      <c r="CF11" s="761"/>
      <c r="CG11" s="761"/>
      <c r="CH11" s="761"/>
      <c r="CI11" s="761"/>
      <c r="CJ11" s="761"/>
      <c r="CK11" s="761"/>
      <c r="CL11" s="761"/>
      <c r="CM11" s="761"/>
      <c r="CN11" s="761"/>
      <c r="CO11" s="761"/>
      <c r="CP11" s="761"/>
      <c r="CQ11" s="761"/>
      <c r="CR11" s="761"/>
      <c r="CS11" s="761"/>
      <c r="CT11" s="761"/>
      <c r="CU11" s="1891">
        <f t="shared" si="25"/>
        <v>489400000</v>
      </c>
      <c r="CV11" s="1891">
        <f t="shared" si="26"/>
        <v>489109181</v>
      </c>
      <c r="CW11" s="1891">
        <f t="shared" si="27"/>
        <v>476709597</v>
      </c>
      <c r="CX11" s="1891">
        <f t="shared" si="28"/>
        <v>471253418</v>
      </c>
      <c r="CY11" s="1892">
        <v>378855558</v>
      </c>
      <c r="CZ11" s="1893">
        <v>264751079</v>
      </c>
      <c r="DA11" s="1894">
        <v>252015124</v>
      </c>
      <c r="DB11" s="816">
        <f t="shared" si="30"/>
        <v>110253623</v>
      </c>
      <c r="DC11" s="816">
        <f t="shared" si="29"/>
        <v>211958518</v>
      </c>
      <c r="DD11" s="816">
        <f t="shared" si="29"/>
        <v>219238294</v>
      </c>
    </row>
    <row r="12" spans="1:109" ht="189">
      <c r="A12" s="766" t="s">
        <v>520</v>
      </c>
      <c r="B12" s="767">
        <v>60600000</v>
      </c>
      <c r="C12" s="760"/>
      <c r="D12" s="760"/>
      <c r="E12" s="760"/>
      <c r="F12" s="760"/>
      <c r="G12" s="761"/>
      <c r="H12" s="761"/>
      <c r="I12" s="761"/>
      <c r="J12" s="761"/>
      <c r="K12" s="761"/>
      <c r="L12" s="761"/>
      <c r="M12" s="761"/>
      <c r="N12" s="761"/>
      <c r="O12" s="761"/>
      <c r="P12" s="761"/>
      <c r="Q12" s="761"/>
      <c r="R12" s="761"/>
      <c r="S12" s="761"/>
      <c r="T12" s="761"/>
      <c r="U12" s="761"/>
      <c r="V12" s="761"/>
      <c r="W12" s="760"/>
      <c r="X12" s="760"/>
      <c r="Y12" s="760"/>
      <c r="Z12" s="760"/>
      <c r="AA12" s="760"/>
      <c r="AB12" s="760"/>
      <c r="AC12" s="760"/>
      <c r="AD12" s="760"/>
      <c r="AE12" s="761"/>
      <c r="AF12" s="761"/>
      <c r="AG12" s="761"/>
      <c r="AH12" s="761"/>
      <c r="AI12" s="761"/>
      <c r="AJ12" s="761"/>
      <c r="AK12" s="761"/>
      <c r="AL12" s="761"/>
      <c r="AM12" s="762">
        <v>60600000</v>
      </c>
      <c r="AN12" s="762">
        <v>60433046</v>
      </c>
      <c r="AO12" s="762">
        <v>23730780</v>
      </c>
      <c r="AP12" s="762">
        <v>12305581</v>
      </c>
      <c r="AQ12" s="762"/>
      <c r="AR12" s="762"/>
      <c r="AS12" s="762"/>
      <c r="AT12" s="762"/>
      <c r="AU12" s="762"/>
      <c r="AV12" s="762"/>
      <c r="AW12" s="762"/>
      <c r="AX12" s="762"/>
      <c r="AY12" s="762"/>
      <c r="AZ12" s="762"/>
      <c r="BA12" s="762"/>
      <c r="BB12" s="762"/>
      <c r="BC12" s="762"/>
      <c r="BD12" s="762"/>
      <c r="BE12" s="762"/>
      <c r="BF12" s="762"/>
      <c r="BG12" s="762"/>
      <c r="BH12" s="762"/>
      <c r="BI12" s="762"/>
      <c r="BJ12" s="762"/>
      <c r="BK12" s="762"/>
      <c r="BL12" s="762"/>
      <c r="BM12" s="762"/>
      <c r="BN12" s="762"/>
      <c r="BO12" s="762"/>
      <c r="BP12" s="762"/>
      <c r="BQ12" s="762"/>
      <c r="BR12" s="762"/>
      <c r="BS12" s="762"/>
      <c r="BT12" s="762"/>
      <c r="BU12" s="762"/>
      <c r="BV12" s="762"/>
      <c r="BW12" s="761"/>
      <c r="BX12" s="761"/>
      <c r="BY12" s="761"/>
      <c r="BZ12" s="761"/>
      <c r="CA12" s="761"/>
      <c r="CB12" s="761"/>
      <c r="CC12" s="761"/>
      <c r="CD12" s="761"/>
      <c r="CE12" s="761"/>
      <c r="CF12" s="761"/>
      <c r="CG12" s="761"/>
      <c r="CH12" s="761"/>
      <c r="CI12" s="761"/>
      <c r="CJ12" s="761"/>
      <c r="CK12" s="761"/>
      <c r="CL12" s="761"/>
      <c r="CM12" s="761"/>
      <c r="CN12" s="761"/>
      <c r="CO12" s="761"/>
      <c r="CP12" s="761"/>
      <c r="CQ12" s="761"/>
      <c r="CR12" s="761"/>
      <c r="CS12" s="761"/>
      <c r="CT12" s="761"/>
      <c r="CU12" s="1891">
        <f t="shared" si="25"/>
        <v>60600000</v>
      </c>
      <c r="CV12" s="1891">
        <f t="shared" si="26"/>
        <v>60433046</v>
      </c>
      <c r="CW12" s="1891">
        <f t="shared" si="27"/>
        <v>23730780</v>
      </c>
      <c r="CX12" s="1891">
        <f t="shared" si="28"/>
        <v>12305581</v>
      </c>
      <c r="CY12" s="1892">
        <v>16435528</v>
      </c>
      <c r="CZ12" s="1893">
        <v>4331576</v>
      </c>
      <c r="DA12" s="1894">
        <v>2434917</v>
      </c>
      <c r="DB12" s="816">
        <f t="shared" si="30"/>
        <v>43997518</v>
      </c>
      <c r="DC12" s="816">
        <f t="shared" si="29"/>
        <v>19399204</v>
      </c>
      <c r="DD12" s="816">
        <f t="shared" si="29"/>
        <v>9870664</v>
      </c>
    </row>
    <row r="13" spans="1:109" ht="78.75">
      <c r="A13" s="758" t="s">
        <v>1351</v>
      </c>
      <c r="B13" s="759">
        <v>375000000</v>
      </c>
      <c r="C13" s="760"/>
      <c r="D13" s="760"/>
      <c r="E13" s="760"/>
      <c r="F13" s="760"/>
      <c r="G13" s="761"/>
      <c r="H13" s="761"/>
      <c r="I13" s="761"/>
      <c r="J13" s="761"/>
      <c r="K13" s="761"/>
      <c r="L13" s="761"/>
      <c r="M13" s="761"/>
      <c r="N13" s="761"/>
      <c r="O13" s="761"/>
      <c r="P13" s="761"/>
      <c r="Q13" s="761"/>
      <c r="R13" s="761"/>
      <c r="S13" s="761"/>
      <c r="T13" s="761"/>
      <c r="U13" s="761"/>
      <c r="V13" s="761"/>
      <c r="W13" s="760"/>
      <c r="X13" s="760"/>
      <c r="Y13" s="760"/>
      <c r="Z13" s="760"/>
      <c r="AA13" s="760"/>
      <c r="AB13" s="760"/>
      <c r="AC13" s="760"/>
      <c r="AD13" s="760"/>
      <c r="AE13" s="761"/>
      <c r="AF13" s="761"/>
      <c r="AG13" s="761"/>
      <c r="AH13" s="761"/>
      <c r="AI13" s="761"/>
      <c r="AJ13" s="761"/>
      <c r="AK13" s="761"/>
      <c r="AL13" s="761"/>
      <c r="AM13" s="762">
        <f t="shared" si="31"/>
        <v>375000000</v>
      </c>
      <c r="AN13" s="762">
        <v>360796121</v>
      </c>
      <c r="AO13" s="762">
        <v>330425585</v>
      </c>
      <c r="AP13" s="762">
        <v>327763712</v>
      </c>
      <c r="AQ13" s="762"/>
      <c r="AR13" s="762"/>
      <c r="AS13" s="762"/>
      <c r="AT13" s="762"/>
      <c r="AU13" s="762"/>
      <c r="AV13" s="762"/>
      <c r="AW13" s="762"/>
      <c r="AX13" s="762"/>
      <c r="AY13" s="762"/>
      <c r="AZ13" s="762"/>
      <c r="BA13" s="762"/>
      <c r="BB13" s="762"/>
      <c r="BC13" s="762"/>
      <c r="BD13" s="762"/>
      <c r="BE13" s="762"/>
      <c r="BF13" s="762"/>
      <c r="BG13" s="762"/>
      <c r="BH13" s="762"/>
      <c r="BI13" s="762"/>
      <c r="BJ13" s="762"/>
      <c r="BK13" s="762"/>
      <c r="BL13" s="762"/>
      <c r="BM13" s="762"/>
      <c r="BN13" s="762"/>
      <c r="BO13" s="762"/>
      <c r="BP13" s="762"/>
      <c r="BQ13" s="762"/>
      <c r="BR13" s="762"/>
      <c r="BS13" s="762"/>
      <c r="BT13" s="762"/>
      <c r="BU13" s="762"/>
      <c r="BV13" s="762"/>
      <c r="BW13" s="761"/>
      <c r="BX13" s="761"/>
      <c r="BY13" s="761"/>
      <c r="BZ13" s="761"/>
      <c r="CA13" s="761"/>
      <c r="CB13" s="761"/>
      <c r="CC13" s="761"/>
      <c r="CD13" s="761"/>
      <c r="CE13" s="761"/>
      <c r="CF13" s="761"/>
      <c r="CG13" s="761"/>
      <c r="CH13" s="761"/>
      <c r="CI13" s="761"/>
      <c r="CJ13" s="761"/>
      <c r="CK13" s="761"/>
      <c r="CL13" s="761"/>
      <c r="CM13" s="761"/>
      <c r="CN13" s="761"/>
      <c r="CO13" s="761"/>
      <c r="CP13" s="761"/>
      <c r="CQ13" s="761"/>
      <c r="CR13" s="761"/>
      <c r="CS13" s="761"/>
      <c r="CT13" s="761"/>
      <c r="CU13" s="1891">
        <f t="shared" si="25"/>
        <v>375000000</v>
      </c>
      <c r="CV13" s="1891">
        <f t="shared" si="26"/>
        <v>360796121</v>
      </c>
      <c r="CW13" s="1891">
        <f t="shared" si="27"/>
        <v>330425585</v>
      </c>
      <c r="CX13" s="1891">
        <f t="shared" si="28"/>
        <v>327763712</v>
      </c>
      <c r="CY13" s="1892">
        <v>33977860</v>
      </c>
      <c r="CZ13" s="1893">
        <v>22354256</v>
      </c>
      <c r="DA13" s="1894">
        <v>16045310</v>
      </c>
      <c r="DB13" s="816">
        <f t="shared" si="30"/>
        <v>326818261</v>
      </c>
      <c r="DC13" s="816">
        <f t="shared" si="29"/>
        <v>308071329</v>
      </c>
      <c r="DD13" s="816">
        <f t="shared" si="29"/>
        <v>311718402</v>
      </c>
    </row>
    <row r="14" spans="1:109" ht="141.75">
      <c r="A14" s="758" t="s">
        <v>1352</v>
      </c>
      <c r="B14" s="767">
        <v>35231275472</v>
      </c>
      <c r="C14" s="760"/>
      <c r="D14" s="760"/>
      <c r="E14" s="760"/>
      <c r="F14" s="760"/>
      <c r="G14" s="761"/>
      <c r="H14" s="761"/>
      <c r="I14" s="761"/>
      <c r="J14" s="761"/>
      <c r="K14" s="761"/>
      <c r="L14" s="761"/>
      <c r="M14" s="761"/>
      <c r="N14" s="761"/>
      <c r="O14" s="761"/>
      <c r="P14" s="761"/>
      <c r="Q14" s="761"/>
      <c r="R14" s="761"/>
      <c r="S14" s="768">
        <v>3326018009.0000005</v>
      </c>
      <c r="T14" s="768">
        <v>3322754707.6009393</v>
      </c>
      <c r="U14" s="768">
        <v>2761468916.2029624</v>
      </c>
      <c r="V14" s="768">
        <v>2662809485.2681737</v>
      </c>
      <c r="W14" s="769"/>
      <c r="X14" s="769"/>
      <c r="Y14" s="769"/>
      <c r="Z14" s="769"/>
      <c r="AA14" s="769"/>
      <c r="AB14" s="769"/>
      <c r="AC14" s="769"/>
      <c r="AD14" s="769"/>
      <c r="AE14" s="761"/>
      <c r="AF14" s="761"/>
      <c r="AG14" s="761"/>
      <c r="AH14" s="761"/>
      <c r="AI14" s="761"/>
      <c r="AJ14" s="761"/>
      <c r="AK14" s="761"/>
      <c r="AL14" s="761"/>
      <c r="AM14" s="762">
        <v>3715939992</v>
      </c>
      <c r="AN14" s="768">
        <v>3712224052.0079999</v>
      </c>
      <c r="AO14" s="768">
        <v>3084973381.3584003</v>
      </c>
      <c r="AP14" s="768">
        <v>2974609963.5960002</v>
      </c>
      <c r="AQ14" s="770">
        <v>62959400.100000001</v>
      </c>
      <c r="AR14" s="768">
        <v>62896440.699900001</v>
      </c>
      <c r="AS14" s="768">
        <v>52268893.963020004</v>
      </c>
      <c r="AT14" s="768">
        <v>50398999.780050002</v>
      </c>
      <c r="AU14" s="762">
        <v>4197128919.3000002</v>
      </c>
      <c r="AV14" s="768">
        <v>4192931790.3807001</v>
      </c>
      <c r="AW14" s="768">
        <v>3484456428.8028603</v>
      </c>
      <c r="AX14" s="768">
        <v>3359801699.8996501</v>
      </c>
      <c r="AY14" s="770">
        <v>450000000</v>
      </c>
      <c r="AZ14" s="768">
        <v>449550000</v>
      </c>
      <c r="BA14" s="768">
        <v>373590000</v>
      </c>
      <c r="BB14" s="768">
        <v>360225000</v>
      </c>
      <c r="BC14" s="768"/>
      <c r="BD14" s="762"/>
      <c r="BE14" s="762"/>
      <c r="BF14" s="762"/>
      <c r="BG14" s="762"/>
      <c r="BH14" s="762"/>
      <c r="BI14" s="762"/>
      <c r="BJ14" s="762"/>
      <c r="BK14" s="762"/>
      <c r="BL14" s="762"/>
      <c r="BM14" s="762"/>
      <c r="BN14" s="762"/>
      <c r="BO14" s="762"/>
      <c r="BP14" s="762"/>
      <c r="BQ14" s="762"/>
      <c r="BR14" s="762"/>
      <c r="BS14" s="762"/>
      <c r="BT14" s="762"/>
      <c r="BU14" s="762"/>
      <c r="BV14" s="762"/>
      <c r="BW14" s="761"/>
      <c r="BX14" s="761"/>
      <c r="BY14" s="761"/>
      <c r="BZ14" s="761"/>
      <c r="CA14" s="761"/>
      <c r="CB14" s="761"/>
      <c r="CC14" s="761"/>
      <c r="CD14" s="761"/>
      <c r="CE14" s="768">
        <v>14416666667</v>
      </c>
      <c r="CF14" s="768">
        <v>14402250000.333</v>
      </c>
      <c r="CG14" s="768">
        <v>11968716666.943401</v>
      </c>
      <c r="CH14" s="768">
        <v>11540541666.9335</v>
      </c>
      <c r="CI14" s="768">
        <v>3840756245.5999999</v>
      </c>
      <c r="CJ14" s="768">
        <v>3836987912.0564609</v>
      </c>
      <c r="CK14" s="768">
        <v>3188836908.9515576</v>
      </c>
      <c r="CL14" s="768">
        <v>3074908835.0431266</v>
      </c>
      <c r="CM14" s="768"/>
      <c r="CN14" s="768"/>
      <c r="CO14" s="768"/>
      <c r="CP14" s="768"/>
      <c r="CQ14" s="771">
        <v>5221806239</v>
      </c>
      <c r="CR14" s="768">
        <v>5216584432.7609997</v>
      </c>
      <c r="CS14" s="768">
        <v>4335143539.6178007</v>
      </c>
      <c r="CT14" s="768">
        <v>4180055894.3195</v>
      </c>
      <c r="CU14" s="1891">
        <f t="shared" si="25"/>
        <v>35231275472</v>
      </c>
      <c r="CV14" s="1891">
        <f t="shared" si="26"/>
        <v>35196179335.839996</v>
      </c>
      <c r="CW14" s="1891">
        <f t="shared" si="27"/>
        <v>29249454735.840004</v>
      </c>
      <c r="CX14" s="1891">
        <f t="shared" si="28"/>
        <v>28203351544.84</v>
      </c>
      <c r="CY14" s="1892">
        <v>23981856858.73</v>
      </c>
      <c r="CZ14" s="1893">
        <v>19520209003.68</v>
      </c>
      <c r="DA14" s="1894">
        <v>19504120106.68</v>
      </c>
      <c r="DB14" s="816">
        <f t="shared" si="30"/>
        <v>11214322477.109997</v>
      </c>
      <c r="DC14" s="816">
        <f t="shared" si="29"/>
        <v>9729245732.1600037</v>
      </c>
      <c r="DD14" s="816">
        <f t="shared" si="29"/>
        <v>8699231438.1599998</v>
      </c>
    </row>
    <row r="15" spans="1:109" ht="141.75">
      <c r="A15" s="758" t="s">
        <v>1353</v>
      </c>
      <c r="B15" s="1908">
        <v>807500000</v>
      </c>
      <c r="C15" s="760"/>
      <c r="D15" s="760"/>
      <c r="E15" s="760"/>
      <c r="F15" s="760"/>
      <c r="G15" s="761"/>
      <c r="H15" s="761"/>
      <c r="I15" s="761"/>
      <c r="J15" s="761"/>
      <c r="K15" s="759">
        <v>609169515</v>
      </c>
      <c r="L15" s="759">
        <v>604413867.02686679</v>
      </c>
      <c r="M15" s="759">
        <v>548294303.87060678</v>
      </c>
      <c r="N15" s="759">
        <v>392930715.72526646</v>
      </c>
      <c r="O15" s="759">
        <v>139017041</v>
      </c>
      <c r="P15" s="759">
        <v>137931766.55178237</v>
      </c>
      <c r="Q15" s="759">
        <v>125124862.36486505</v>
      </c>
      <c r="R15" s="759">
        <v>89669729.15271163</v>
      </c>
      <c r="S15" s="768">
        <v>59313444</v>
      </c>
      <c r="T15" s="768">
        <v>58850397.421350792</v>
      </c>
      <c r="U15" s="768">
        <v>53386163.764528193</v>
      </c>
      <c r="V15" s="768">
        <v>38258766.122021899</v>
      </c>
      <c r="W15" s="761"/>
      <c r="X15" s="761"/>
      <c r="Y15" s="761"/>
      <c r="Z15" s="761"/>
      <c r="AA15" s="761"/>
      <c r="AB15" s="761"/>
      <c r="AC15" s="761"/>
      <c r="AD15" s="761"/>
      <c r="AE15" s="761"/>
      <c r="AF15" s="761"/>
      <c r="AG15" s="761"/>
      <c r="AH15" s="761"/>
      <c r="AI15" s="761"/>
      <c r="AJ15" s="761"/>
      <c r="AK15" s="761"/>
      <c r="AL15" s="761"/>
      <c r="AM15" s="761"/>
      <c r="AN15" s="761"/>
      <c r="AO15" s="761"/>
      <c r="AP15" s="761"/>
      <c r="AQ15" s="762"/>
      <c r="AR15" s="762"/>
      <c r="AS15" s="762"/>
      <c r="AT15" s="762"/>
      <c r="AU15" s="762"/>
      <c r="AV15" s="762"/>
      <c r="AW15" s="762"/>
      <c r="AX15" s="762"/>
      <c r="AY15" s="762"/>
      <c r="AZ15" s="762"/>
      <c r="BA15" s="762"/>
      <c r="BB15" s="762"/>
      <c r="BC15" s="762"/>
      <c r="BD15" s="762"/>
      <c r="BE15" s="762"/>
      <c r="BF15" s="762"/>
      <c r="BG15" s="762"/>
      <c r="BH15" s="762"/>
      <c r="BI15" s="762"/>
      <c r="BJ15" s="762"/>
      <c r="BK15" s="762"/>
      <c r="BL15" s="762"/>
      <c r="BM15" s="762"/>
      <c r="BN15" s="762"/>
      <c r="BO15" s="762"/>
      <c r="BP15" s="762"/>
      <c r="BQ15" s="762"/>
      <c r="BR15" s="762"/>
      <c r="BS15" s="762"/>
      <c r="BT15" s="762"/>
      <c r="BU15" s="762"/>
      <c r="BV15" s="762"/>
      <c r="BW15" s="761"/>
      <c r="BX15" s="761"/>
      <c r="BY15" s="761"/>
      <c r="BZ15" s="761"/>
      <c r="CA15" s="761"/>
      <c r="CB15" s="761"/>
      <c r="CC15" s="761"/>
      <c r="CD15" s="761"/>
      <c r="CE15" s="761"/>
      <c r="CF15" s="761"/>
      <c r="CG15" s="761"/>
      <c r="CH15" s="761"/>
      <c r="CI15" s="761"/>
      <c r="CJ15" s="761"/>
      <c r="CK15" s="761"/>
      <c r="CL15" s="761"/>
      <c r="CM15" s="761"/>
      <c r="CN15" s="761"/>
      <c r="CO15" s="761"/>
      <c r="CP15" s="761"/>
      <c r="CQ15" s="761"/>
      <c r="CR15" s="761"/>
      <c r="CS15" s="761"/>
      <c r="CT15" s="761"/>
      <c r="CU15" s="1891">
        <f t="shared" si="25"/>
        <v>807500000</v>
      </c>
      <c r="CV15" s="1891">
        <f t="shared" si="26"/>
        <v>801196031</v>
      </c>
      <c r="CW15" s="1891">
        <f t="shared" si="27"/>
        <v>726805330</v>
      </c>
      <c r="CX15" s="1891">
        <f t="shared" si="28"/>
        <v>520859211</v>
      </c>
      <c r="CY15" s="1892">
        <v>594286740</v>
      </c>
      <c r="CZ15" s="1893">
        <v>344536020</v>
      </c>
      <c r="DA15" s="1894">
        <v>78669912</v>
      </c>
      <c r="DB15" s="816">
        <f t="shared" si="30"/>
        <v>206909291</v>
      </c>
      <c r="DC15" s="816">
        <f t="shared" si="29"/>
        <v>382269310</v>
      </c>
      <c r="DD15" s="816">
        <f t="shared" si="29"/>
        <v>442189299</v>
      </c>
      <c r="DE15" s="1907">
        <v>1400000000</v>
      </c>
    </row>
    <row r="16" spans="1:109" ht="126">
      <c r="A16" s="758" t="s">
        <v>1354</v>
      </c>
      <c r="B16" s="759">
        <v>9789274309.9990005</v>
      </c>
      <c r="C16" s="760"/>
      <c r="D16" s="760"/>
      <c r="E16" s="760"/>
      <c r="F16" s="760"/>
      <c r="G16" s="761"/>
      <c r="H16" s="761"/>
      <c r="I16" s="761"/>
      <c r="J16" s="761"/>
      <c r="K16" s="759">
        <v>446975773.97000003</v>
      </c>
      <c r="L16" s="759">
        <v>446439403</v>
      </c>
      <c r="M16" s="759">
        <v>130940677</v>
      </c>
      <c r="N16" s="759">
        <v>130587137</v>
      </c>
      <c r="O16" s="759">
        <v>496442583.93400002</v>
      </c>
      <c r="P16" s="759">
        <v>495846852.83327895</v>
      </c>
      <c r="Q16" s="759">
        <v>145408032.83426899</v>
      </c>
      <c r="R16" s="759">
        <v>145010878.76712102</v>
      </c>
      <c r="S16" s="761"/>
      <c r="T16" s="761"/>
      <c r="U16" s="761"/>
      <c r="V16" s="761"/>
      <c r="W16" s="759">
        <v>72602217.099999994</v>
      </c>
      <c r="X16" s="759">
        <v>72515094.439479992</v>
      </c>
      <c r="Y16" s="759">
        <v>21265189.388589997</v>
      </c>
      <c r="Z16" s="759">
        <v>21207107.614909999</v>
      </c>
      <c r="AA16" s="759">
        <v>53092908.93</v>
      </c>
      <c r="AB16" s="759">
        <v>53029197.439284004</v>
      </c>
      <c r="AC16" s="759">
        <v>15550913.025597</v>
      </c>
      <c r="AD16" s="759">
        <v>15508438.698453002</v>
      </c>
      <c r="AE16" s="759">
        <v>19552150.484999999</v>
      </c>
      <c r="AF16" s="759">
        <v>19528687.904417999</v>
      </c>
      <c r="AG16" s="759">
        <v>5726824.8770564999</v>
      </c>
      <c r="AH16" s="759">
        <v>5711183.1566685</v>
      </c>
      <c r="AI16" s="759">
        <v>673672072.63</v>
      </c>
      <c r="AJ16" s="759">
        <v>672863666.14284396</v>
      </c>
      <c r="AK16" s="759">
        <v>197318550.073327</v>
      </c>
      <c r="AL16" s="759">
        <v>196779612.415223</v>
      </c>
      <c r="AM16" s="761"/>
      <c r="AN16" s="761"/>
      <c r="AO16" s="761"/>
      <c r="AP16" s="761"/>
      <c r="AQ16" s="762"/>
      <c r="AR16" s="762"/>
      <c r="AS16" s="762"/>
      <c r="AT16" s="762"/>
      <c r="AU16" s="762"/>
      <c r="AV16" s="762"/>
      <c r="AW16" s="762"/>
      <c r="AX16" s="762"/>
      <c r="AY16" s="762"/>
      <c r="AZ16" s="762"/>
      <c r="BA16" s="762"/>
      <c r="BB16" s="762"/>
      <c r="BC16" s="762"/>
      <c r="BD16" s="762"/>
      <c r="BE16" s="762"/>
      <c r="BF16" s="762"/>
      <c r="BG16" s="762"/>
      <c r="BH16" s="762"/>
      <c r="BI16" s="762"/>
      <c r="BJ16" s="762"/>
      <c r="BK16" s="762"/>
      <c r="BL16" s="762"/>
      <c r="BM16" s="762"/>
      <c r="BN16" s="762"/>
      <c r="BO16" s="762"/>
      <c r="BP16" s="762"/>
      <c r="BQ16" s="762"/>
      <c r="BR16" s="762"/>
      <c r="BS16" s="762">
        <v>4674173275.1099997</v>
      </c>
      <c r="BT16" s="759">
        <v>4668754188.3941078</v>
      </c>
      <c r="BU16" s="759">
        <v>1368586491.0768237</v>
      </c>
      <c r="BV16" s="759">
        <v>1365126670.2855659</v>
      </c>
      <c r="BW16" s="761"/>
      <c r="BX16" s="761"/>
      <c r="BY16" s="761"/>
      <c r="BZ16" s="761"/>
      <c r="CA16" s="761"/>
      <c r="CB16" s="761"/>
      <c r="CC16" s="761"/>
      <c r="CD16" s="761"/>
      <c r="CE16" s="761"/>
      <c r="CF16" s="761"/>
      <c r="CG16" s="761"/>
      <c r="CH16" s="761"/>
      <c r="CI16" s="759">
        <v>3352763327.8400002</v>
      </c>
      <c r="CJ16" s="759">
        <v>3348740011.8465924</v>
      </c>
      <c r="CK16" s="759">
        <v>982024378.72433603</v>
      </c>
      <c r="CL16" s="759">
        <v>979342168.06206417</v>
      </c>
      <c r="CM16" s="761"/>
      <c r="CN16" s="761"/>
      <c r="CO16" s="761"/>
      <c r="CP16" s="761"/>
      <c r="CQ16" s="761"/>
      <c r="CR16" s="761"/>
      <c r="CS16" s="761"/>
      <c r="CT16" s="761"/>
      <c r="CU16" s="1891">
        <f t="shared" si="25"/>
        <v>9789274309.9990005</v>
      </c>
      <c r="CV16" s="1891">
        <f t="shared" si="26"/>
        <v>9777717102.0000057</v>
      </c>
      <c r="CW16" s="1891">
        <f t="shared" si="27"/>
        <v>2866821056.999999</v>
      </c>
      <c r="CX16" s="1891">
        <f t="shared" si="28"/>
        <v>2859273196.0000057</v>
      </c>
      <c r="CY16" s="1892">
        <v>2081057017</v>
      </c>
      <c r="CZ16" s="1893">
        <v>177888312</v>
      </c>
      <c r="DA16" s="1894">
        <v>173000030</v>
      </c>
      <c r="DB16" s="816">
        <f t="shared" si="30"/>
        <v>7696660085.0000057</v>
      </c>
      <c r="DC16" s="816">
        <f t="shared" si="29"/>
        <v>2688932744.999999</v>
      </c>
      <c r="DD16" s="816">
        <f t="shared" si="29"/>
        <v>2686273166.0000057</v>
      </c>
    </row>
    <row r="17" spans="1:112" ht="173.25">
      <c r="A17" s="758" t="s">
        <v>1355</v>
      </c>
      <c r="B17" s="767">
        <v>322500000</v>
      </c>
      <c r="C17" s="760"/>
      <c r="D17" s="760"/>
      <c r="E17" s="760"/>
      <c r="F17" s="760"/>
      <c r="G17" s="761"/>
      <c r="H17" s="761"/>
      <c r="I17" s="761"/>
      <c r="J17" s="761"/>
      <c r="K17" s="761"/>
      <c r="L17" s="761"/>
      <c r="M17" s="761"/>
      <c r="N17" s="761"/>
      <c r="O17" s="761"/>
      <c r="P17" s="761"/>
      <c r="Q17" s="761"/>
      <c r="R17" s="761"/>
      <c r="S17" s="761"/>
      <c r="T17" s="761"/>
      <c r="U17" s="761"/>
      <c r="V17" s="761"/>
      <c r="W17" s="761"/>
      <c r="X17" s="761"/>
      <c r="Y17" s="761"/>
      <c r="Z17" s="761"/>
      <c r="AA17" s="761"/>
      <c r="AB17" s="761"/>
      <c r="AC17" s="761"/>
      <c r="AD17" s="761"/>
      <c r="AE17" s="761"/>
      <c r="AF17" s="761"/>
      <c r="AG17" s="761"/>
      <c r="AH17" s="761"/>
      <c r="AI17" s="761"/>
      <c r="AJ17" s="761"/>
      <c r="AK17" s="761"/>
      <c r="AL17" s="761"/>
      <c r="AM17" s="761"/>
      <c r="AN17" s="761"/>
      <c r="AO17" s="761"/>
      <c r="AP17" s="761"/>
      <c r="AQ17" s="762"/>
      <c r="AR17" s="762"/>
      <c r="AS17" s="762"/>
      <c r="AT17" s="762"/>
      <c r="AU17" s="762"/>
      <c r="AV17" s="762"/>
      <c r="AW17" s="762"/>
      <c r="AX17" s="762"/>
      <c r="AY17" s="762"/>
      <c r="AZ17" s="762"/>
      <c r="BA17" s="762"/>
      <c r="BB17" s="762"/>
      <c r="BC17" s="762"/>
      <c r="BD17" s="762"/>
      <c r="BE17" s="762"/>
      <c r="BF17" s="762"/>
      <c r="BG17" s="762"/>
      <c r="BH17" s="762"/>
      <c r="BI17" s="762"/>
      <c r="BJ17" s="762"/>
      <c r="BK17" s="762"/>
      <c r="BL17" s="762"/>
      <c r="BM17" s="762"/>
      <c r="BN17" s="762"/>
      <c r="BO17" s="762"/>
      <c r="BP17" s="762"/>
      <c r="BQ17" s="762"/>
      <c r="BR17" s="762"/>
      <c r="BS17" s="762">
        <v>322500000</v>
      </c>
      <c r="BT17" s="762">
        <v>322056707</v>
      </c>
      <c r="BU17" s="762">
        <v>311012803</v>
      </c>
      <c r="BV17" s="762">
        <v>299371882</v>
      </c>
      <c r="BW17" s="761"/>
      <c r="BX17" s="761"/>
      <c r="BY17" s="761"/>
      <c r="BZ17" s="761"/>
      <c r="CA17" s="761"/>
      <c r="CB17" s="761"/>
      <c r="CC17" s="761"/>
      <c r="CD17" s="761"/>
      <c r="CE17" s="761"/>
      <c r="CF17" s="761"/>
      <c r="CG17" s="761"/>
      <c r="CH17" s="761"/>
      <c r="CI17" s="761"/>
      <c r="CJ17" s="761"/>
      <c r="CK17" s="761"/>
      <c r="CL17" s="761"/>
      <c r="CM17" s="761"/>
      <c r="CN17" s="761"/>
      <c r="CO17" s="761"/>
      <c r="CP17" s="761"/>
      <c r="CQ17" s="761"/>
      <c r="CR17" s="761"/>
      <c r="CS17" s="761"/>
      <c r="CT17" s="761"/>
      <c r="CU17" s="1891">
        <f t="shared" si="25"/>
        <v>322500000</v>
      </c>
      <c r="CV17" s="1891">
        <f t="shared" si="26"/>
        <v>322056707</v>
      </c>
      <c r="CW17" s="1891">
        <f t="shared" si="27"/>
        <v>311012803</v>
      </c>
      <c r="CX17" s="1891">
        <f t="shared" si="28"/>
        <v>299371882</v>
      </c>
      <c r="CY17" s="1892">
        <v>47087433</v>
      </c>
      <c r="CZ17" s="1893">
        <v>12154849</v>
      </c>
      <c r="DA17" s="1894">
        <v>6865124</v>
      </c>
      <c r="DB17" s="816">
        <f t="shared" si="30"/>
        <v>274969274</v>
      </c>
      <c r="DC17" s="816">
        <f t="shared" si="29"/>
        <v>298857954</v>
      </c>
      <c r="DD17" s="816">
        <f t="shared" si="29"/>
        <v>292506758</v>
      </c>
    </row>
    <row r="18" spans="1:112" ht="78.75">
      <c r="A18" s="772" t="s">
        <v>526</v>
      </c>
      <c r="B18" s="767">
        <v>295700000</v>
      </c>
      <c r="C18" s="760"/>
      <c r="D18" s="760"/>
      <c r="E18" s="760"/>
      <c r="F18" s="760"/>
      <c r="G18" s="761"/>
      <c r="H18" s="761"/>
      <c r="I18" s="761"/>
      <c r="J18" s="761"/>
      <c r="K18" s="761"/>
      <c r="L18" s="761"/>
      <c r="M18" s="761"/>
      <c r="N18" s="761"/>
      <c r="O18" s="761"/>
      <c r="P18" s="761"/>
      <c r="Q18" s="761"/>
      <c r="R18" s="761"/>
      <c r="S18" s="761"/>
      <c r="T18" s="761"/>
      <c r="U18" s="761"/>
      <c r="V18" s="761"/>
      <c r="W18" s="761"/>
      <c r="X18" s="761"/>
      <c r="Y18" s="761"/>
      <c r="Z18" s="761"/>
      <c r="AA18" s="761"/>
      <c r="AB18" s="761"/>
      <c r="AC18" s="761"/>
      <c r="AD18" s="761"/>
      <c r="AE18" s="761"/>
      <c r="AF18" s="761"/>
      <c r="AG18" s="761"/>
      <c r="AH18" s="761"/>
      <c r="AI18" s="761"/>
      <c r="AJ18" s="761"/>
      <c r="AK18" s="761"/>
      <c r="AL18" s="761"/>
      <c r="AM18" s="761"/>
      <c r="AN18" s="761"/>
      <c r="AO18" s="761"/>
      <c r="AP18" s="761"/>
      <c r="AQ18" s="762"/>
      <c r="AR18" s="762"/>
      <c r="AS18" s="762"/>
      <c r="AT18" s="762"/>
      <c r="AU18" s="762"/>
      <c r="AV18" s="762"/>
      <c r="AW18" s="762"/>
      <c r="AX18" s="762"/>
      <c r="AY18" s="762"/>
      <c r="AZ18" s="762"/>
      <c r="BA18" s="762"/>
      <c r="BB18" s="762"/>
      <c r="BC18" s="762"/>
      <c r="BD18" s="762"/>
      <c r="BE18" s="762"/>
      <c r="BF18" s="762"/>
      <c r="BG18" s="762"/>
      <c r="BH18" s="762"/>
      <c r="BI18" s="762"/>
      <c r="BJ18" s="762"/>
      <c r="BK18" s="762"/>
      <c r="BL18" s="762"/>
      <c r="BM18" s="762"/>
      <c r="BN18" s="762"/>
      <c r="BO18" s="762"/>
      <c r="BP18" s="762"/>
      <c r="BQ18" s="762"/>
      <c r="BR18" s="762"/>
      <c r="BS18" s="762">
        <v>295700000</v>
      </c>
      <c r="BT18" s="762">
        <v>293075474</v>
      </c>
      <c r="BU18" s="762">
        <v>278874807</v>
      </c>
      <c r="BV18" s="762">
        <v>277048886</v>
      </c>
      <c r="BW18" s="761"/>
      <c r="BX18" s="761"/>
      <c r="BY18" s="761"/>
      <c r="BZ18" s="761"/>
      <c r="CA18" s="761"/>
      <c r="CB18" s="761"/>
      <c r="CC18" s="761"/>
      <c r="CD18" s="761"/>
      <c r="CE18" s="761"/>
      <c r="CF18" s="761"/>
      <c r="CG18" s="761"/>
      <c r="CH18" s="761"/>
      <c r="CI18" s="761"/>
      <c r="CJ18" s="761"/>
      <c r="CK18" s="761"/>
      <c r="CL18" s="761"/>
      <c r="CM18" s="761"/>
      <c r="CN18" s="761"/>
      <c r="CO18" s="761"/>
      <c r="CP18" s="761"/>
      <c r="CQ18" s="761"/>
      <c r="CR18" s="761"/>
      <c r="CS18" s="761"/>
      <c r="CT18" s="761"/>
      <c r="CU18" s="1891">
        <f t="shared" si="25"/>
        <v>295700000</v>
      </c>
      <c r="CV18" s="1891">
        <f t="shared" si="26"/>
        <v>293075474</v>
      </c>
      <c r="CW18" s="1891">
        <f t="shared" si="27"/>
        <v>278874807</v>
      </c>
      <c r="CX18" s="1891">
        <f t="shared" si="28"/>
        <v>277048886</v>
      </c>
      <c r="CY18" s="1892">
        <v>189154675</v>
      </c>
      <c r="CZ18" s="1893">
        <v>135270638</v>
      </c>
      <c r="DA18" s="1894">
        <v>127074543</v>
      </c>
      <c r="DB18" s="816">
        <f t="shared" si="30"/>
        <v>103920799</v>
      </c>
      <c r="DC18" s="816">
        <f t="shared" si="29"/>
        <v>143604169</v>
      </c>
      <c r="DD18" s="816">
        <f t="shared" si="29"/>
        <v>149974343</v>
      </c>
    </row>
    <row r="19" spans="1:112" ht="110.25">
      <c r="A19" s="772" t="s">
        <v>1356</v>
      </c>
      <c r="B19" s="767">
        <v>249700000</v>
      </c>
      <c r="C19" s="760"/>
      <c r="D19" s="760"/>
      <c r="E19" s="760"/>
      <c r="F19" s="760"/>
      <c r="G19" s="761"/>
      <c r="H19" s="761"/>
      <c r="I19" s="761"/>
      <c r="J19" s="761"/>
      <c r="K19" s="761"/>
      <c r="L19" s="761"/>
      <c r="M19" s="761"/>
      <c r="N19" s="761"/>
      <c r="O19" s="761"/>
      <c r="P19" s="761"/>
      <c r="Q19" s="761"/>
      <c r="R19" s="761"/>
      <c r="S19" s="761"/>
      <c r="T19" s="761"/>
      <c r="U19" s="761"/>
      <c r="V19" s="761"/>
      <c r="W19" s="761"/>
      <c r="X19" s="761"/>
      <c r="Y19" s="761"/>
      <c r="Z19" s="761"/>
      <c r="AA19" s="761"/>
      <c r="AB19" s="761"/>
      <c r="AC19" s="761"/>
      <c r="AD19" s="761"/>
      <c r="AE19" s="761"/>
      <c r="AF19" s="761"/>
      <c r="AG19" s="761"/>
      <c r="AH19" s="761"/>
      <c r="AI19" s="761"/>
      <c r="AJ19" s="761"/>
      <c r="AK19" s="761"/>
      <c r="AL19" s="761"/>
      <c r="AM19" s="761"/>
      <c r="AN19" s="761"/>
      <c r="AO19" s="761"/>
      <c r="AP19" s="761"/>
      <c r="AQ19" s="762"/>
      <c r="AR19" s="762"/>
      <c r="AS19" s="762"/>
      <c r="AT19" s="762"/>
      <c r="AU19" s="762"/>
      <c r="AV19" s="762"/>
      <c r="AW19" s="762"/>
      <c r="AX19" s="762"/>
      <c r="AY19" s="762"/>
      <c r="AZ19" s="762"/>
      <c r="BA19" s="762"/>
      <c r="BB19" s="762"/>
      <c r="BC19" s="762"/>
      <c r="BD19" s="762"/>
      <c r="BE19" s="762"/>
      <c r="BF19" s="762"/>
      <c r="BG19" s="762"/>
      <c r="BH19" s="762"/>
      <c r="BI19" s="762"/>
      <c r="BJ19" s="762"/>
      <c r="BK19" s="762"/>
      <c r="BL19" s="762"/>
      <c r="BM19" s="762"/>
      <c r="BN19" s="762"/>
      <c r="BO19" s="762"/>
      <c r="BP19" s="762"/>
      <c r="BQ19" s="762"/>
      <c r="BR19" s="762"/>
      <c r="BS19" s="762">
        <v>249700000</v>
      </c>
      <c r="BT19" s="762">
        <v>245188486</v>
      </c>
      <c r="BU19" s="762">
        <v>238708110</v>
      </c>
      <c r="BV19" s="762">
        <v>236717516</v>
      </c>
      <c r="BW19" s="761"/>
      <c r="BX19" s="761"/>
      <c r="BY19" s="761"/>
      <c r="BZ19" s="761"/>
      <c r="CA19" s="761"/>
      <c r="CB19" s="761"/>
      <c r="CC19" s="761"/>
      <c r="CD19" s="761"/>
      <c r="CE19" s="761"/>
      <c r="CF19" s="761"/>
      <c r="CG19" s="761"/>
      <c r="CH19" s="761"/>
      <c r="CI19" s="761"/>
      <c r="CJ19" s="761"/>
      <c r="CK19" s="761"/>
      <c r="CL19" s="761"/>
      <c r="CM19" s="761"/>
      <c r="CN19" s="761"/>
      <c r="CO19" s="761"/>
      <c r="CP19" s="761"/>
      <c r="CQ19" s="761"/>
      <c r="CR19" s="761"/>
      <c r="CS19" s="761"/>
      <c r="CT19" s="761"/>
      <c r="CU19" s="1891">
        <f t="shared" si="25"/>
        <v>249700000</v>
      </c>
      <c r="CV19" s="1891">
        <f t="shared" si="26"/>
        <v>245188486</v>
      </c>
      <c r="CW19" s="1891">
        <f t="shared" si="27"/>
        <v>238708110</v>
      </c>
      <c r="CX19" s="1891">
        <f t="shared" si="28"/>
        <v>236717516</v>
      </c>
      <c r="CY19" s="1892">
        <v>189154675</v>
      </c>
      <c r="CZ19" s="1893">
        <v>106570638</v>
      </c>
      <c r="DA19" s="1894">
        <v>95874543</v>
      </c>
      <c r="DB19" s="816">
        <f t="shared" si="30"/>
        <v>56033811</v>
      </c>
      <c r="DC19" s="816">
        <f t="shared" si="29"/>
        <v>132137472</v>
      </c>
      <c r="DD19" s="816">
        <f t="shared" si="29"/>
        <v>140842973</v>
      </c>
    </row>
    <row r="20" spans="1:112" ht="110.25">
      <c r="A20" s="772" t="s">
        <v>1357</v>
      </c>
      <c r="B20" s="767">
        <v>189700000</v>
      </c>
      <c r="C20" s="760"/>
      <c r="D20" s="760"/>
      <c r="E20" s="760"/>
      <c r="F20" s="760"/>
      <c r="G20" s="761"/>
      <c r="H20" s="761"/>
      <c r="I20" s="761"/>
      <c r="J20" s="761"/>
      <c r="K20" s="761"/>
      <c r="L20" s="761"/>
      <c r="M20" s="761"/>
      <c r="N20" s="761"/>
      <c r="O20" s="761"/>
      <c r="P20" s="761"/>
      <c r="Q20" s="761"/>
      <c r="R20" s="761"/>
      <c r="S20" s="761"/>
      <c r="T20" s="761"/>
      <c r="U20" s="761"/>
      <c r="V20" s="761"/>
      <c r="W20" s="761"/>
      <c r="X20" s="761"/>
      <c r="Y20" s="761"/>
      <c r="Z20" s="761"/>
      <c r="AA20" s="761"/>
      <c r="AB20" s="761"/>
      <c r="AC20" s="761"/>
      <c r="AD20" s="761"/>
      <c r="AE20" s="761"/>
      <c r="AF20" s="761"/>
      <c r="AG20" s="761"/>
      <c r="AH20" s="761"/>
      <c r="AI20" s="761"/>
      <c r="AJ20" s="761"/>
      <c r="AK20" s="761"/>
      <c r="AL20" s="761"/>
      <c r="AM20" s="761"/>
      <c r="AN20" s="761"/>
      <c r="AO20" s="761"/>
      <c r="AP20" s="761"/>
      <c r="AQ20" s="762"/>
      <c r="AR20" s="762"/>
      <c r="AS20" s="762"/>
      <c r="AT20" s="762"/>
      <c r="AU20" s="762"/>
      <c r="AV20" s="762"/>
      <c r="AW20" s="762"/>
      <c r="AX20" s="762"/>
      <c r="AY20" s="762"/>
      <c r="AZ20" s="762"/>
      <c r="BA20" s="762"/>
      <c r="BB20" s="762"/>
      <c r="BC20" s="762"/>
      <c r="BD20" s="762"/>
      <c r="BE20" s="762"/>
      <c r="BF20" s="762"/>
      <c r="BG20" s="762"/>
      <c r="BH20" s="762"/>
      <c r="BI20" s="762"/>
      <c r="BJ20" s="762"/>
      <c r="BK20" s="762"/>
      <c r="BL20" s="762"/>
      <c r="BM20" s="762"/>
      <c r="BN20" s="762"/>
      <c r="BO20" s="762"/>
      <c r="BP20" s="762"/>
      <c r="BQ20" s="762"/>
      <c r="BR20" s="762"/>
      <c r="BS20" s="762">
        <v>189700000</v>
      </c>
      <c r="BT20" s="762">
        <v>189510018</v>
      </c>
      <c r="BU20" s="762">
        <v>188663299</v>
      </c>
      <c r="BV20" s="762">
        <v>184502904</v>
      </c>
      <c r="BW20" s="761"/>
      <c r="BX20" s="761"/>
      <c r="BY20" s="761"/>
      <c r="BZ20" s="761"/>
      <c r="CA20" s="761"/>
      <c r="CB20" s="761"/>
      <c r="CC20" s="761"/>
      <c r="CD20" s="761"/>
      <c r="CE20" s="761"/>
      <c r="CF20" s="761"/>
      <c r="CG20" s="761"/>
      <c r="CH20" s="761"/>
      <c r="CI20" s="761"/>
      <c r="CJ20" s="761"/>
      <c r="CK20" s="761"/>
      <c r="CL20" s="761"/>
      <c r="CM20" s="761"/>
      <c r="CN20" s="761"/>
      <c r="CO20" s="761"/>
      <c r="CP20" s="761"/>
      <c r="CQ20" s="761"/>
      <c r="CR20" s="761"/>
      <c r="CS20" s="761"/>
      <c r="CT20" s="761"/>
      <c r="CU20" s="1891">
        <f t="shared" si="25"/>
        <v>189700000</v>
      </c>
      <c r="CV20" s="1891">
        <f t="shared" si="26"/>
        <v>189510018</v>
      </c>
      <c r="CW20" s="1891">
        <f t="shared" si="27"/>
        <v>188663299</v>
      </c>
      <c r="CX20" s="1891">
        <f t="shared" si="28"/>
        <v>184502904</v>
      </c>
      <c r="CY20" s="1892">
        <v>160823186</v>
      </c>
      <c r="CZ20" s="1893">
        <v>80552079</v>
      </c>
      <c r="DA20" s="1894">
        <v>77670768</v>
      </c>
      <c r="DB20" s="816">
        <f t="shared" si="30"/>
        <v>28686832</v>
      </c>
      <c r="DC20" s="816">
        <f t="shared" si="29"/>
        <v>108111220</v>
      </c>
      <c r="DD20" s="816">
        <f t="shared" si="29"/>
        <v>106832136</v>
      </c>
    </row>
    <row r="21" spans="1:112" ht="63">
      <c r="A21" s="772" t="s">
        <v>530</v>
      </c>
      <c r="B21" s="767">
        <v>961700000</v>
      </c>
      <c r="C21" s="760"/>
      <c r="D21" s="760"/>
      <c r="E21" s="760"/>
      <c r="F21" s="760"/>
      <c r="G21" s="761"/>
      <c r="H21" s="761"/>
      <c r="I21" s="761"/>
      <c r="J21" s="761"/>
      <c r="K21" s="761"/>
      <c r="L21" s="761"/>
      <c r="M21" s="761"/>
      <c r="N21" s="761"/>
      <c r="O21" s="761"/>
      <c r="P21" s="761"/>
      <c r="Q21" s="761"/>
      <c r="R21" s="761"/>
      <c r="S21" s="761"/>
      <c r="T21" s="761"/>
      <c r="U21" s="761"/>
      <c r="V21" s="761"/>
      <c r="W21" s="761"/>
      <c r="X21" s="761"/>
      <c r="Y21" s="761"/>
      <c r="Z21" s="761"/>
      <c r="AA21" s="761"/>
      <c r="AB21" s="761"/>
      <c r="AC21" s="761"/>
      <c r="AD21" s="761"/>
      <c r="AE21" s="761"/>
      <c r="AF21" s="761"/>
      <c r="AG21" s="761"/>
      <c r="AH21" s="761"/>
      <c r="AI21" s="761"/>
      <c r="AJ21" s="761"/>
      <c r="AK21" s="761"/>
      <c r="AL21" s="761"/>
      <c r="AM21" s="761"/>
      <c r="AN21" s="761"/>
      <c r="AO21" s="761"/>
      <c r="AP21" s="761"/>
      <c r="AQ21" s="762"/>
      <c r="AR21" s="762"/>
      <c r="AS21" s="762"/>
      <c r="AT21" s="762"/>
      <c r="AU21" s="762"/>
      <c r="AV21" s="762"/>
      <c r="AW21" s="762"/>
      <c r="AX21" s="762"/>
      <c r="AY21" s="762"/>
      <c r="AZ21" s="762"/>
      <c r="BA21" s="762"/>
      <c r="BB21" s="762"/>
      <c r="BC21" s="762"/>
      <c r="BD21" s="762"/>
      <c r="BE21" s="762"/>
      <c r="BF21" s="762"/>
      <c r="BG21" s="762"/>
      <c r="BH21" s="762"/>
      <c r="BI21" s="762"/>
      <c r="BJ21" s="762"/>
      <c r="BK21" s="762"/>
      <c r="BL21" s="762"/>
      <c r="BM21" s="762"/>
      <c r="BN21" s="762"/>
      <c r="BO21" s="762"/>
      <c r="BP21" s="762"/>
      <c r="BQ21" s="762"/>
      <c r="BR21" s="762"/>
      <c r="BS21" s="762">
        <v>961700000</v>
      </c>
      <c r="BT21" s="762">
        <v>960976437</v>
      </c>
      <c r="BU21" s="762">
        <v>699614855</v>
      </c>
      <c r="BV21" s="762">
        <v>431212044</v>
      </c>
      <c r="BW21" s="761"/>
      <c r="BX21" s="761"/>
      <c r="BY21" s="761"/>
      <c r="BZ21" s="761"/>
      <c r="CA21" s="761"/>
      <c r="CB21" s="761"/>
      <c r="CC21" s="761"/>
      <c r="CD21" s="761"/>
      <c r="CE21" s="761"/>
      <c r="CF21" s="761"/>
      <c r="CG21" s="761"/>
      <c r="CH21" s="761"/>
      <c r="CI21" s="761"/>
      <c r="CJ21" s="761"/>
      <c r="CK21" s="761"/>
      <c r="CL21" s="761"/>
      <c r="CM21" s="761"/>
      <c r="CN21" s="761"/>
      <c r="CO21" s="761"/>
      <c r="CP21" s="761"/>
      <c r="CQ21" s="761"/>
      <c r="CR21" s="761"/>
      <c r="CS21" s="761"/>
      <c r="CT21" s="761"/>
      <c r="CU21" s="1891">
        <f t="shared" si="25"/>
        <v>961700000</v>
      </c>
      <c r="CV21" s="1891">
        <f t="shared" si="26"/>
        <v>960976437</v>
      </c>
      <c r="CW21" s="1891">
        <f t="shared" si="27"/>
        <v>699614855</v>
      </c>
      <c r="CX21" s="1891">
        <f t="shared" si="28"/>
        <v>431212044</v>
      </c>
      <c r="CY21" s="1892">
        <v>43480030</v>
      </c>
      <c r="CZ21" s="1893">
        <v>14303131.52</v>
      </c>
      <c r="DA21" s="1894">
        <v>13875879.52</v>
      </c>
      <c r="DB21" s="816">
        <f t="shared" si="30"/>
        <v>917496407</v>
      </c>
      <c r="DC21" s="816">
        <f t="shared" si="30"/>
        <v>685311723.48000002</v>
      </c>
      <c r="DD21" s="816">
        <f t="shared" si="30"/>
        <v>417336164.48000002</v>
      </c>
    </row>
    <row r="22" spans="1:112" ht="94.5">
      <c r="A22" s="772" t="s">
        <v>531</v>
      </c>
      <c r="B22" s="767">
        <v>238300000</v>
      </c>
      <c r="C22" s="760"/>
      <c r="D22" s="760"/>
      <c r="E22" s="760"/>
      <c r="F22" s="760"/>
      <c r="G22" s="761"/>
      <c r="H22" s="761"/>
      <c r="I22" s="761"/>
      <c r="J22" s="761"/>
      <c r="K22" s="761"/>
      <c r="L22" s="761"/>
      <c r="M22" s="761"/>
      <c r="N22" s="761"/>
      <c r="O22" s="761"/>
      <c r="P22" s="761"/>
      <c r="Q22" s="761"/>
      <c r="R22" s="761"/>
      <c r="S22" s="761"/>
      <c r="T22" s="761"/>
      <c r="U22" s="761"/>
      <c r="V22" s="761"/>
      <c r="W22" s="761"/>
      <c r="X22" s="761"/>
      <c r="Y22" s="761"/>
      <c r="Z22" s="761"/>
      <c r="AA22" s="761"/>
      <c r="AB22" s="761"/>
      <c r="AC22" s="761"/>
      <c r="AD22" s="761"/>
      <c r="AE22" s="761"/>
      <c r="AF22" s="761"/>
      <c r="AG22" s="761"/>
      <c r="AH22" s="761"/>
      <c r="AI22" s="761"/>
      <c r="AJ22" s="761"/>
      <c r="AK22" s="761"/>
      <c r="AL22" s="761"/>
      <c r="AM22" s="761"/>
      <c r="AN22" s="761"/>
      <c r="AO22" s="761"/>
      <c r="AP22" s="761"/>
      <c r="AQ22" s="762"/>
      <c r="AR22" s="762"/>
      <c r="AS22" s="762"/>
      <c r="AT22" s="762"/>
      <c r="AU22" s="762"/>
      <c r="AV22" s="762"/>
      <c r="AW22" s="762"/>
      <c r="AX22" s="762"/>
      <c r="AY22" s="762"/>
      <c r="AZ22" s="762"/>
      <c r="BA22" s="762"/>
      <c r="BB22" s="762"/>
      <c r="BC22" s="762"/>
      <c r="BD22" s="762"/>
      <c r="BE22" s="762"/>
      <c r="BF22" s="762"/>
      <c r="BG22" s="762"/>
      <c r="BH22" s="762"/>
      <c r="BI22" s="762"/>
      <c r="BJ22" s="762"/>
      <c r="BK22" s="762"/>
      <c r="BL22" s="762"/>
      <c r="BM22" s="762"/>
      <c r="BN22" s="762"/>
      <c r="BO22" s="762"/>
      <c r="BP22" s="762"/>
      <c r="BQ22" s="762"/>
      <c r="BR22" s="762"/>
      <c r="BS22" s="762">
        <v>238300000</v>
      </c>
      <c r="BT22" s="762">
        <v>233567242</v>
      </c>
      <c r="BU22" s="762">
        <v>112257536</v>
      </c>
      <c r="BV22" s="762">
        <v>104526300</v>
      </c>
      <c r="BW22" s="761"/>
      <c r="BX22" s="761"/>
      <c r="BY22" s="761"/>
      <c r="BZ22" s="761"/>
      <c r="CA22" s="761"/>
      <c r="CB22" s="761"/>
      <c r="CC22" s="761"/>
      <c r="CD22" s="761"/>
      <c r="CE22" s="761"/>
      <c r="CF22" s="761"/>
      <c r="CG22" s="761"/>
      <c r="CH22" s="761"/>
      <c r="CI22" s="761"/>
      <c r="CJ22" s="761"/>
      <c r="CK22" s="761"/>
      <c r="CL22" s="761"/>
      <c r="CM22" s="761"/>
      <c r="CN22" s="761"/>
      <c r="CO22" s="761"/>
      <c r="CP22" s="761"/>
      <c r="CQ22" s="761"/>
      <c r="CR22" s="761"/>
      <c r="CS22" s="761"/>
      <c r="CT22" s="761"/>
      <c r="CU22" s="1891">
        <f t="shared" si="25"/>
        <v>238300000</v>
      </c>
      <c r="CV22" s="1891">
        <f t="shared" si="26"/>
        <v>233567242</v>
      </c>
      <c r="CW22" s="1891">
        <f t="shared" si="27"/>
        <v>112257536</v>
      </c>
      <c r="CX22" s="1891">
        <f t="shared" si="28"/>
        <v>104526300</v>
      </c>
      <c r="CY22" s="1892">
        <v>17826671</v>
      </c>
      <c r="CZ22" s="1893">
        <v>4761880</v>
      </c>
      <c r="DA22" s="1894">
        <v>4619463</v>
      </c>
      <c r="DB22" s="816">
        <f t="shared" si="30"/>
        <v>215740571</v>
      </c>
      <c r="DC22" s="816">
        <f t="shared" si="30"/>
        <v>107495656</v>
      </c>
      <c r="DD22" s="816">
        <f t="shared" si="30"/>
        <v>99906837</v>
      </c>
    </row>
    <row r="23" spans="1:112" s="765" customFormat="1" ht="63">
      <c r="A23" s="772" t="s">
        <v>533</v>
      </c>
      <c r="B23" s="759">
        <v>100000000</v>
      </c>
      <c r="C23" s="764"/>
      <c r="D23" s="764"/>
      <c r="E23" s="764"/>
      <c r="F23" s="764"/>
      <c r="G23" s="764"/>
      <c r="H23" s="764"/>
      <c r="I23" s="764"/>
      <c r="J23" s="764"/>
      <c r="K23" s="764"/>
      <c r="L23" s="764"/>
      <c r="M23" s="764"/>
      <c r="N23" s="764"/>
      <c r="O23" s="764"/>
      <c r="P23" s="764"/>
      <c r="Q23" s="764"/>
      <c r="R23" s="764"/>
      <c r="S23" s="764"/>
      <c r="T23" s="764"/>
      <c r="U23" s="764"/>
      <c r="V23" s="764"/>
      <c r="W23" s="764"/>
      <c r="X23" s="764"/>
      <c r="Y23" s="764"/>
      <c r="Z23" s="764"/>
      <c r="AA23" s="764"/>
      <c r="AB23" s="764"/>
      <c r="AC23" s="764"/>
      <c r="AD23" s="764"/>
      <c r="AE23" s="764"/>
      <c r="AF23" s="764"/>
      <c r="AG23" s="764"/>
      <c r="AH23" s="764"/>
      <c r="AI23" s="764"/>
      <c r="AJ23" s="764"/>
      <c r="AK23" s="764"/>
      <c r="AL23" s="764"/>
      <c r="AM23" s="764"/>
      <c r="AN23" s="764"/>
      <c r="AO23" s="764"/>
      <c r="AP23" s="764"/>
      <c r="AQ23" s="762"/>
      <c r="AR23" s="762"/>
      <c r="AS23" s="762"/>
      <c r="AT23" s="762"/>
      <c r="AU23" s="762"/>
      <c r="AV23" s="762"/>
      <c r="AW23" s="762"/>
      <c r="AX23" s="762"/>
      <c r="AY23" s="762"/>
      <c r="AZ23" s="762"/>
      <c r="BA23" s="762"/>
      <c r="BB23" s="762"/>
      <c r="BC23" s="762"/>
      <c r="BD23" s="762"/>
      <c r="BE23" s="762"/>
      <c r="BF23" s="762"/>
      <c r="BG23" s="762"/>
      <c r="BH23" s="762"/>
      <c r="BI23" s="762"/>
      <c r="BJ23" s="762"/>
      <c r="BK23" s="762"/>
      <c r="BL23" s="762"/>
      <c r="BM23" s="762"/>
      <c r="BN23" s="762"/>
      <c r="BO23" s="762"/>
      <c r="BP23" s="762"/>
      <c r="BQ23" s="762"/>
      <c r="BR23" s="762"/>
      <c r="BS23" s="762">
        <f t="shared" ref="BS23:BS24" si="32">+B23</f>
        <v>100000000</v>
      </c>
      <c r="BT23" s="762">
        <v>99692062</v>
      </c>
      <c r="BU23" s="762">
        <v>97634559</v>
      </c>
      <c r="BV23" s="762">
        <v>97112316</v>
      </c>
      <c r="BW23" s="764"/>
      <c r="BX23" s="764"/>
      <c r="BY23" s="764"/>
      <c r="BZ23" s="764"/>
      <c r="CA23" s="764"/>
      <c r="CB23" s="764"/>
      <c r="CC23" s="764"/>
      <c r="CD23" s="764"/>
      <c r="CE23" s="764"/>
      <c r="CF23" s="764"/>
      <c r="CG23" s="764"/>
      <c r="CH23" s="764"/>
      <c r="CI23" s="764"/>
      <c r="CJ23" s="764"/>
      <c r="CK23" s="764"/>
      <c r="CL23" s="764"/>
      <c r="CM23" s="764"/>
      <c r="CN23" s="764"/>
      <c r="CO23" s="764"/>
      <c r="CP23" s="764"/>
      <c r="CQ23" s="764"/>
      <c r="CR23" s="764"/>
      <c r="CS23" s="764"/>
      <c r="CT23" s="764"/>
      <c r="CU23" s="1891">
        <f t="shared" si="25"/>
        <v>100000000</v>
      </c>
      <c r="CV23" s="1891">
        <f t="shared" si="26"/>
        <v>99692062</v>
      </c>
      <c r="CW23" s="1891">
        <f t="shared" si="27"/>
        <v>97634559</v>
      </c>
      <c r="CX23" s="1891">
        <f t="shared" si="28"/>
        <v>97112316</v>
      </c>
      <c r="CY23" s="1892">
        <v>82860762</v>
      </c>
      <c r="CZ23" s="1893">
        <v>42681801</v>
      </c>
      <c r="DA23" s="1894">
        <v>42634493</v>
      </c>
      <c r="DB23" s="816">
        <f t="shared" si="30"/>
        <v>16831300</v>
      </c>
      <c r="DC23" s="816">
        <f t="shared" si="30"/>
        <v>54952758</v>
      </c>
      <c r="DD23" s="816">
        <f t="shared" si="30"/>
        <v>54477823</v>
      </c>
    </row>
    <row r="24" spans="1:112" s="765" customFormat="1" ht="94.5">
      <c r="A24" s="772" t="s">
        <v>535</v>
      </c>
      <c r="B24" s="759">
        <v>60000000</v>
      </c>
      <c r="C24" s="764"/>
      <c r="D24" s="764"/>
      <c r="E24" s="764"/>
      <c r="F24" s="764"/>
      <c r="G24" s="764"/>
      <c r="H24" s="764"/>
      <c r="I24" s="764"/>
      <c r="J24" s="764"/>
      <c r="K24" s="764"/>
      <c r="L24" s="764"/>
      <c r="M24" s="764"/>
      <c r="N24" s="764"/>
      <c r="O24" s="764"/>
      <c r="P24" s="764"/>
      <c r="Q24" s="764"/>
      <c r="R24" s="764"/>
      <c r="S24" s="764"/>
      <c r="T24" s="764"/>
      <c r="U24" s="764"/>
      <c r="V24" s="764"/>
      <c r="W24" s="764"/>
      <c r="X24" s="764"/>
      <c r="Y24" s="764"/>
      <c r="Z24" s="764"/>
      <c r="AA24" s="764"/>
      <c r="AB24" s="764"/>
      <c r="AC24" s="764"/>
      <c r="AD24" s="764"/>
      <c r="AE24" s="764"/>
      <c r="AF24" s="764"/>
      <c r="AG24" s="764"/>
      <c r="AH24" s="764"/>
      <c r="AI24" s="764"/>
      <c r="AJ24" s="764"/>
      <c r="AK24" s="764"/>
      <c r="AL24" s="764"/>
      <c r="AM24" s="764"/>
      <c r="AN24" s="764"/>
      <c r="AO24" s="764"/>
      <c r="AP24" s="764"/>
      <c r="AQ24" s="762"/>
      <c r="AR24" s="762"/>
      <c r="AS24" s="762"/>
      <c r="AT24" s="762"/>
      <c r="AU24" s="762"/>
      <c r="AV24" s="762"/>
      <c r="AW24" s="762"/>
      <c r="AX24" s="762"/>
      <c r="AY24" s="762"/>
      <c r="AZ24" s="762"/>
      <c r="BA24" s="762"/>
      <c r="BB24" s="762"/>
      <c r="BC24" s="762"/>
      <c r="BD24" s="762"/>
      <c r="BE24" s="762"/>
      <c r="BF24" s="762"/>
      <c r="BG24" s="762"/>
      <c r="BH24" s="762"/>
      <c r="BI24" s="762"/>
      <c r="BJ24" s="762"/>
      <c r="BK24" s="762"/>
      <c r="BL24" s="762"/>
      <c r="BM24" s="762"/>
      <c r="BN24" s="762"/>
      <c r="BO24" s="762"/>
      <c r="BP24" s="762"/>
      <c r="BQ24" s="762"/>
      <c r="BR24" s="762"/>
      <c r="BS24" s="762">
        <f t="shared" si="32"/>
        <v>60000000</v>
      </c>
      <c r="BT24" s="762">
        <v>59968774</v>
      </c>
      <c r="BU24" s="762">
        <v>59398402</v>
      </c>
      <c r="BV24" s="762">
        <v>57975966</v>
      </c>
      <c r="BW24" s="764"/>
      <c r="BX24" s="764"/>
      <c r="BY24" s="764"/>
      <c r="BZ24" s="764"/>
      <c r="CA24" s="764"/>
      <c r="CB24" s="764"/>
      <c r="CC24" s="764"/>
      <c r="CD24" s="764"/>
      <c r="CE24" s="764"/>
      <c r="CF24" s="764"/>
      <c r="CG24" s="764"/>
      <c r="CH24" s="764"/>
      <c r="CI24" s="764"/>
      <c r="CJ24" s="764"/>
      <c r="CK24" s="764"/>
      <c r="CL24" s="764"/>
      <c r="CM24" s="764"/>
      <c r="CN24" s="764"/>
      <c r="CO24" s="764"/>
      <c r="CP24" s="764"/>
      <c r="CQ24" s="764"/>
      <c r="CR24" s="764"/>
      <c r="CS24" s="764"/>
      <c r="CT24" s="764"/>
      <c r="CU24" s="1891">
        <f t="shared" si="25"/>
        <v>60000000</v>
      </c>
      <c r="CV24" s="1891">
        <f t="shared" si="26"/>
        <v>59968774</v>
      </c>
      <c r="CW24" s="1891">
        <f t="shared" si="27"/>
        <v>59398402</v>
      </c>
      <c r="CX24" s="1891">
        <f t="shared" si="28"/>
        <v>57975966</v>
      </c>
      <c r="CY24" s="1892">
        <v>56774210</v>
      </c>
      <c r="CZ24" s="1893">
        <v>49655671</v>
      </c>
      <c r="DA24" s="1894">
        <v>49627089</v>
      </c>
      <c r="DB24" s="816">
        <f t="shared" si="30"/>
        <v>3194564</v>
      </c>
      <c r="DC24" s="816">
        <f t="shared" si="30"/>
        <v>9742731</v>
      </c>
      <c r="DD24" s="816">
        <f t="shared" si="30"/>
        <v>8348877</v>
      </c>
    </row>
    <row r="25" spans="1:112" ht="94.5">
      <c r="A25" s="772" t="s">
        <v>536</v>
      </c>
      <c r="B25" s="767">
        <v>255000000</v>
      </c>
      <c r="C25" s="760"/>
      <c r="D25" s="760"/>
      <c r="E25" s="760"/>
      <c r="F25" s="760"/>
      <c r="G25" s="761"/>
      <c r="H25" s="761"/>
      <c r="I25" s="761"/>
      <c r="J25" s="761"/>
      <c r="K25" s="761"/>
      <c r="L25" s="761"/>
      <c r="M25" s="761"/>
      <c r="N25" s="761"/>
      <c r="O25" s="761"/>
      <c r="P25" s="761"/>
      <c r="Q25" s="761"/>
      <c r="R25" s="761"/>
      <c r="S25" s="761"/>
      <c r="T25" s="761"/>
      <c r="U25" s="761"/>
      <c r="V25" s="761"/>
      <c r="W25" s="761"/>
      <c r="X25" s="761"/>
      <c r="Y25" s="761"/>
      <c r="Z25" s="761"/>
      <c r="AA25" s="761"/>
      <c r="AB25" s="761"/>
      <c r="AC25" s="761"/>
      <c r="AD25" s="761"/>
      <c r="AE25" s="761"/>
      <c r="AF25" s="761"/>
      <c r="AG25" s="761"/>
      <c r="AH25" s="761"/>
      <c r="AI25" s="761"/>
      <c r="AJ25" s="761"/>
      <c r="AK25" s="761"/>
      <c r="AL25" s="761"/>
      <c r="AM25" s="761"/>
      <c r="AN25" s="761"/>
      <c r="AO25" s="761"/>
      <c r="AP25" s="761"/>
      <c r="AQ25" s="762"/>
      <c r="AR25" s="762"/>
      <c r="AS25" s="762"/>
      <c r="AT25" s="762"/>
      <c r="AU25" s="762"/>
      <c r="AV25" s="762"/>
      <c r="AW25" s="762"/>
      <c r="AX25" s="762"/>
      <c r="AY25" s="762"/>
      <c r="AZ25" s="762"/>
      <c r="BA25" s="762"/>
      <c r="BB25" s="762"/>
      <c r="BC25" s="762"/>
      <c r="BD25" s="762"/>
      <c r="BE25" s="762"/>
      <c r="BF25" s="762"/>
      <c r="BG25" s="762"/>
      <c r="BH25" s="762"/>
      <c r="BI25" s="762"/>
      <c r="BJ25" s="762"/>
      <c r="BK25" s="762"/>
      <c r="BL25" s="762"/>
      <c r="BM25" s="762"/>
      <c r="BN25" s="762"/>
      <c r="BO25" s="762"/>
      <c r="BP25" s="762"/>
      <c r="BQ25" s="762"/>
      <c r="BR25" s="762"/>
      <c r="BS25" s="762">
        <v>255000000</v>
      </c>
      <c r="BT25" s="762">
        <v>251567304</v>
      </c>
      <c r="BU25" s="762">
        <v>209824030</v>
      </c>
      <c r="BV25" s="762">
        <v>178854282</v>
      </c>
      <c r="BW25" s="761"/>
      <c r="BX25" s="761"/>
      <c r="BY25" s="761"/>
      <c r="BZ25" s="761"/>
      <c r="CA25" s="761"/>
      <c r="CB25" s="761"/>
      <c r="CC25" s="761"/>
      <c r="CD25" s="761"/>
      <c r="CE25" s="761"/>
      <c r="CF25" s="761"/>
      <c r="CG25" s="761"/>
      <c r="CH25" s="761"/>
      <c r="CI25" s="761"/>
      <c r="CJ25" s="761"/>
      <c r="CK25" s="761"/>
      <c r="CL25" s="761"/>
      <c r="CM25" s="761"/>
      <c r="CN25" s="761"/>
      <c r="CO25" s="761"/>
      <c r="CP25" s="761"/>
      <c r="CQ25" s="761"/>
      <c r="CR25" s="761"/>
      <c r="CS25" s="761"/>
      <c r="CT25" s="761"/>
      <c r="CU25" s="1891">
        <f t="shared" si="25"/>
        <v>255000000</v>
      </c>
      <c r="CV25" s="1891">
        <f t="shared" si="26"/>
        <v>251567304</v>
      </c>
      <c r="CW25" s="1891">
        <f t="shared" si="27"/>
        <v>209824030</v>
      </c>
      <c r="CX25" s="1891">
        <f t="shared" si="28"/>
        <v>178854282</v>
      </c>
      <c r="CY25" s="1892">
        <v>113004037</v>
      </c>
      <c r="CZ25" s="1893">
        <v>26494866</v>
      </c>
      <c r="DA25" s="1894">
        <v>26438195</v>
      </c>
      <c r="DB25" s="816">
        <f t="shared" si="30"/>
        <v>138563267</v>
      </c>
      <c r="DC25" s="816">
        <f t="shared" si="30"/>
        <v>183329164</v>
      </c>
      <c r="DD25" s="816">
        <f t="shared" si="30"/>
        <v>152416087</v>
      </c>
    </row>
    <row r="26" spans="1:112" ht="94.5">
      <c r="A26" s="773" t="s">
        <v>1358</v>
      </c>
      <c r="B26" s="1908">
        <v>0</v>
      </c>
      <c r="C26" s="774"/>
      <c r="D26" s="774"/>
      <c r="E26" s="774"/>
      <c r="F26" s="774"/>
      <c r="G26" s="761"/>
      <c r="H26" s="761"/>
      <c r="I26" s="761"/>
      <c r="J26" s="761"/>
      <c r="K26" s="761"/>
      <c r="L26" s="761"/>
      <c r="M26" s="761"/>
      <c r="N26" s="761"/>
      <c r="O26" s="761"/>
      <c r="P26" s="761"/>
      <c r="Q26" s="761"/>
      <c r="R26" s="761"/>
      <c r="S26" s="761"/>
      <c r="T26" s="761"/>
      <c r="U26" s="761"/>
      <c r="V26" s="761"/>
      <c r="W26" s="761"/>
      <c r="X26" s="761"/>
      <c r="Y26" s="761"/>
      <c r="Z26" s="761"/>
      <c r="AA26" s="761"/>
      <c r="AB26" s="761"/>
      <c r="AC26" s="761"/>
      <c r="AD26" s="761"/>
      <c r="AE26" s="1895"/>
      <c r="AF26" s="1895"/>
      <c r="AG26" s="1895"/>
      <c r="AH26" s="1895"/>
      <c r="AI26" s="1895"/>
      <c r="AJ26" s="1895"/>
      <c r="AK26" s="1895"/>
      <c r="AL26" s="1895"/>
      <c r="AM26" s="1895"/>
      <c r="AN26" s="1895"/>
      <c r="AO26" s="1895"/>
      <c r="AP26" s="1895"/>
      <c r="AQ26" s="761"/>
      <c r="AR26" s="761"/>
      <c r="AS26" s="761"/>
      <c r="AT26" s="761"/>
      <c r="AU26" s="761"/>
      <c r="AV26" s="761"/>
      <c r="AW26" s="761"/>
      <c r="AX26" s="761"/>
      <c r="AY26" s="1895"/>
      <c r="AZ26" s="1895"/>
      <c r="BA26" s="1895"/>
      <c r="BB26" s="1895"/>
      <c r="BC26" s="1895"/>
      <c r="BD26" s="1895"/>
      <c r="BE26" s="1895"/>
      <c r="BF26" s="1895"/>
      <c r="BG26" s="1895"/>
      <c r="BH26" s="1895"/>
      <c r="BI26" s="1895"/>
      <c r="BJ26" s="1895"/>
      <c r="BK26" s="1895"/>
      <c r="BL26" s="1895"/>
      <c r="BM26" s="1895"/>
      <c r="BN26" s="1895"/>
      <c r="BO26" s="1895"/>
      <c r="BP26" s="1895"/>
      <c r="BQ26" s="1895"/>
      <c r="BR26" s="1895"/>
      <c r="BS26" s="762">
        <v>0</v>
      </c>
      <c r="BT26" s="762">
        <v>0</v>
      </c>
      <c r="BU26" s="762">
        <v>0</v>
      </c>
      <c r="BV26" s="762">
        <f>+BU26</f>
        <v>0</v>
      </c>
      <c r="BW26" s="1895"/>
      <c r="BX26" s="1895"/>
      <c r="BY26" s="1895"/>
      <c r="BZ26" s="1895"/>
      <c r="CA26" s="762">
        <v>0</v>
      </c>
      <c r="CB26" s="762">
        <v>0</v>
      </c>
      <c r="CC26" s="762">
        <v>0</v>
      </c>
      <c r="CD26" s="762">
        <v>0</v>
      </c>
      <c r="CE26" s="1895"/>
      <c r="CF26" s="1895"/>
      <c r="CG26" s="1895"/>
      <c r="CH26" s="1895"/>
      <c r="CI26" s="1895"/>
      <c r="CJ26" s="1895"/>
      <c r="CK26" s="1895"/>
      <c r="CL26" s="1895"/>
      <c r="CM26" s="1895"/>
      <c r="CN26" s="1895"/>
      <c r="CO26" s="1895"/>
      <c r="CP26" s="1895"/>
      <c r="CQ26" s="1895"/>
      <c r="CR26" s="1895"/>
      <c r="CS26" s="1895"/>
      <c r="CT26" s="1895"/>
      <c r="CU26" s="1891">
        <f t="shared" si="25"/>
        <v>0</v>
      </c>
      <c r="CV26" s="1891">
        <f t="shared" si="26"/>
        <v>0</v>
      </c>
      <c r="CW26" s="1891">
        <f t="shared" si="27"/>
        <v>0</v>
      </c>
      <c r="CX26" s="1891">
        <f t="shared" si="28"/>
        <v>0</v>
      </c>
      <c r="CY26" s="1892">
        <f>+B26*96.3%</f>
        <v>0</v>
      </c>
      <c r="CZ26" s="1893">
        <f>+CY26*40%</f>
        <v>0</v>
      </c>
      <c r="DA26" s="1894">
        <f>+CZ26</f>
        <v>0</v>
      </c>
      <c r="DB26" s="816">
        <f t="shared" si="30"/>
        <v>0</v>
      </c>
      <c r="DC26" s="816">
        <f t="shared" si="30"/>
        <v>0</v>
      </c>
      <c r="DD26" s="816">
        <f t="shared" si="30"/>
        <v>0</v>
      </c>
    </row>
    <row r="27" spans="1:112" ht="94.5">
      <c r="A27" s="773" t="s">
        <v>1359</v>
      </c>
      <c r="B27" s="1908">
        <v>12389026021</v>
      </c>
      <c r="C27" s="774"/>
      <c r="D27" s="774"/>
      <c r="E27" s="774"/>
      <c r="F27" s="774"/>
      <c r="G27" s="761"/>
      <c r="H27" s="761"/>
      <c r="I27" s="761"/>
      <c r="J27" s="761"/>
      <c r="K27" s="761"/>
      <c r="L27" s="761"/>
      <c r="M27" s="761"/>
      <c r="N27" s="761"/>
      <c r="O27" s="761"/>
      <c r="P27" s="761"/>
      <c r="Q27" s="761"/>
      <c r="R27" s="761"/>
      <c r="S27" s="761"/>
      <c r="T27" s="761"/>
      <c r="U27" s="761"/>
      <c r="V27" s="761"/>
      <c r="W27" s="761"/>
      <c r="X27" s="761"/>
      <c r="Y27" s="761"/>
      <c r="Z27" s="761"/>
      <c r="AA27" s="761"/>
      <c r="AB27" s="761"/>
      <c r="AC27" s="761"/>
      <c r="AD27" s="761"/>
      <c r="AE27" s="1895"/>
      <c r="AF27" s="1895"/>
      <c r="AG27" s="1895"/>
      <c r="AH27" s="1895"/>
      <c r="AI27" s="1895"/>
      <c r="AJ27" s="1895"/>
      <c r="AK27" s="1895"/>
      <c r="AL27" s="1895"/>
      <c r="AM27" s="1895"/>
      <c r="AN27" s="1895"/>
      <c r="AO27" s="1895"/>
      <c r="AP27" s="1895"/>
      <c r="AQ27" s="761"/>
      <c r="AR27" s="761"/>
      <c r="AS27" s="761"/>
      <c r="AT27" s="761"/>
      <c r="AU27" s="761"/>
      <c r="AV27" s="761"/>
      <c r="AW27" s="761"/>
      <c r="AX27" s="761"/>
      <c r="AY27" s="1895"/>
      <c r="AZ27" s="1895"/>
      <c r="BA27" s="1895"/>
      <c r="BB27" s="1895"/>
      <c r="BC27" s="1895"/>
      <c r="BD27" s="1895"/>
      <c r="BE27" s="1895"/>
      <c r="BF27" s="1895"/>
      <c r="BG27" s="1895"/>
      <c r="BH27" s="1895"/>
      <c r="BI27" s="1895"/>
      <c r="BJ27" s="1895"/>
      <c r="BK27" s="1895"/>
      <c r="BL27" s="1895"/>
      <c r="BM27" s="1895"/>
      <c r="BN27" s="1895"/>
      <c r="BO27" s="1895"/>
      <c r="BP27" s="1895"/>
      <c r="BQ27" s="1895"/>
      <c r="BR27" s="1895"/>
      <c r="BS27" s="762">
        <v>12389026021</v>
      </c>
      <c r="BT27" s="762">
        <v>12387623241</v>
      </c>
      <c r="BU27" s="762">
        <v>5850550320</v>
      </c>
      <c r="BV27" s="762">
        <v>5828946879</v>
      </c>
      <c r="BW27" s="1895"/>
      <c r="BX27" s="1895"/>
      <c r="BY27" s="1895"/>
      <c r="BZ27" s="1895"/>
      <c r="CA27" s="1895"/>
      <c r="CB27" s="1895"/>
      <c r="CC27" s="1895"/>
      <c r="CD27" s="1895"/>
      <c r="CE27" s="1895"/>
      <c r="CF27" s="1895"/>
      <c r="CG27" s="1895"/>
      <c r="CH27" s="1895"/>
      <c r="CI27" s="1895"/>
      <c r="CJ27" s="1895"/>
      <c r="CK27" s="1895"/>
      <c r="CL27" s="1895"/>
      <c r="CM27" s="1895"/>
      <c r="CN27" s="1895"/>
      <c r="CO27" s="1895"/>
      <c r="CP27" s="1895"/>
      <c r="CQ27" s="1895"/>
      <c r="CR27" s="1895"/>
      <c r="CS27" s="1895"/>
      <c r="CT27" s="1895"/>
      <c r="CU27" s="1891">
        <f t="shared" si="25"/>
        <v>12389026021</v>
      </c>
      <c r="CV27" s="1891">
        <f t="shared" si="26"/>
        <v>12387623241</v>
      </c>
      <c r="CW27" s="1891">
        <f t="shared" si="27"/>
        <v>5850550320</v>
      </c>
      <c r="CX27" s="1891">
        <f t="shared" si="28"/>
        <v>5828946879</v>
      </c>
      <c r="CY27" s="1892">
        <v>7704352654</v>
      </c>
      <c r="CZ27" s="1893">
        <v>3133671647</v>
      </c>
      <c r="DA27" s="1894">
        <v>3132742239</v>
      </c>
      <c r="DB27" s="816">
        <f t="shared" si="30"/>
        <v>4683270587</v>
      </c>
      <c r="DC27" s="816">
        <f t="shared" si="30"/>
        <v>2716878673</v>
      </c>
      <c r="DD27" s="816">
        <f t="shared" si="30"/>
        <v>2696204640</v>
      </c>
      <c r="DE27" s="776"/>
      <c r="DF27" s="776"/>
      <c r="DG27" s="776"/>
      <c r="DH27" s="776"/>
    </row>
    <row r="28" spans="1:112" s="765" customFormat="1" ht="126">
      <c r="A28" s="772" t="s">
        <v>539</v>
      </c>
      <c r="B28" s="759">
        <v>500000000</v>
      </c>
      <c r="C28" s="764"/>
      <c r="D28" s="764"/>
      <c r="E28" s="764"/>
      <c r="F28" s="764"/>
      <c r="G28" s="764"/>
      <c r="H28" s="764"/>
      <c r="I28" s="764"/>
      <c r="J28" s="764"/>
      <c r="K28" s="764"/>
      <c r="L28" s="764"/>
      <c r="M28" s="764"/>
      <c r="N28" s="764"/>
      <c r="O28" s="764"/>
      <c r="P28" s="764"/>
      <c r="Q28" s="764"/>
      <c r="R28" s="764"/>
      <c r="S28" s="764"/>
      <c r="T28" s="764"/>
      <c r="U28" s="764"/>
      <c r="V28" s="764"/>
      <c r="W28" s="764"/>
      <c r="X28" s="764"/>
      <c r="Y28" s="764"/>
      <c r="Z28" s="764"/>
      <c r="AA28" s="764"/>
      <c r="AB28" s="764"/>
      <c r="AC28" s="764"/>
      <c r="AD28" s="764"/>
      <c r="AE28" s="764"/>
      <c r="AF28" s="764"/>
      <c r="AG28" s="764"/>
      <c r="AH28" s="764"/>
      <c r="AI28" s="764"/>
      <c r="AJ28" s="764"/>
      <c r="AK28" s="764"/>
      <c r="AL28" s="764"/>
      <c r="AM28" s="764"/>
      <c r="AN28" s="764"/>
      <c r="AO28" s="764"/>
      <c r="AP28" s="764"/>
      <c r="AQ28" s="764"/>
      <c r="AR28" s="764"/>
      <c r="AS28" s="764"/>
      <c r="AT28" s="764"/>
      <c r="AU28" s="764"/>
      <c r="AV28" s="764"/>
      <c r="AW28" s="764"/>
      <c r="AX28" s="764"/>
      <c r="AY28" s="764"/>
      <c r="AZ28" s="764"/>
      <c r="BA28" s="764"/>
      <c r="BB28" s="764"/>
      <c r="BC28" s="764"/>
      <c r="BD28" s="764"/>
      <c r="BE28" s="764"/>
      <c r="BF28" s="764"/>
      <c r="BG28" s="764"/>
      <c r="BH28" s="764"/>
      <c r="BI28" s="764"/>
      <c r="BJ28" s="764"/>
      <c r="BK28" s="764"/>
      <c r="BL28" s="764"/>
      <c r="BM28" s="764"/>
      <c r="BN28" s="764"/>
      <c r="BO28" s="764"/>
      <c r="BP28" s="764"/>
      <c r="BQ28" s="764"/>
      <c r="BR28" s="764"/>
      <c r="BS28" s="762"/>
      <c r="BT28" s="762"/>
      <c r="BU28" s="762"/>
      <c r="BV28" s="762"/>
      <c r="BW28" s="762">
        <v>500000000</v>
      </c>
      <c r="BX28" s="762">
        <v>475405273</v>
      </c>
      <c r="BY28" s="762">
        <v>441354832</v>
      </c>
      <c r="BZ28" s="762">
        <v>417780246</v>
      </c>
      <c r="CA28" s="764"/>
      <c r="CB28" s="764"/>
      <c r="CC28" s="764"/>
      <c r="CD28" s="764"/>
      <c r="CE28" s="764"/>
      <c r="CF28" s="764"/>
      <c r="CG28" s="764"/>
      <c r="CH28" s="764"/>
      <c r="CI28" s="764"/>
      <c r="CJ28" s="764"/>
      <c r="CK28" s="764"/>
      <c r="CL28" s="764"/>
      <c r="CM28" s="764"/>
      <c r="CN28" s="764"/>
      <c r="CO28" s="764"/>
      <c r="CP28" s="764"/>
      <c r="CQ28" s="764"/>
      <c r="CR28" s="764"/>
      <c r="CS28" s="764"/>
      <c r="CT28" s="764"/>
      <c r="CU28" s="1891">
        <f t="shared" si="25"/>
        <v>500000000</v>
      </c>
      <c r="CV28" s="1891">
        <f t="shared" si="26"/>
        <v>475405273</v>
      </c>
      <c r="CW28" s="1891">
        <f t="shared" si="27"/>
        <v>441354832</v>
      </c>
      <c r="CX28" s="1891">
        <f t="shared" si="28"/>
        <v>417780246</v>
      </c>
      <c r="CY28" s="1892">
        <v>55348198</v>
      </c>
      <c r="CZ28" s="1893">
        <v>7925482</v>
      </c>
      <c r="DA28" s="1894">
        <v>7688448</v>
      </c>
      <c r="DB28" s="816">
        <f t="shared" si="30"/>
        <v>420057075</v>
      </c>
      <c r="DC28" s="816">
        <f t="shared" si="30"/>
        <v>433429350</v>
      </c>
      <c r="DD28" s="816">
        <f t="shared" si="30"/>
        <v>410091798</v>
      </c>
      <c r="DE28" s="776"/>
      <c r="DF28" s="776"/>
      <c r="DG28" s="776"/>
    </row>
    <row r="29" spans="1:112" ht="94.5">
      <c r="A29" s="772" t="s">
        <v>541</v>
      </c>
      <c r="B29" s="759">
        <v>5601321786</v>
      </c>
      <c r="C29" s="777"/>
      <c r="D29" s="777"/>
      <c r="E29" s="777"/>
      <c r="F29" s="777"/>
      <c r="G29" s="761"/>
      <c r="H29" s="761"/>
      <c r="I29" s="761"/>
      <c r="J29" s="761"/>
      <c r="K29" s="759">
        <v>5601321786</v>
      </c>
      <c r="L29" s="759">
        <v>5601321786</v>
      </c>
      <c r="M29" s="759">
        <v>5601321786</v>
      </c>
      <c r="N29" s="759">
        <v>5601321786</v>
      </c>
      <c r="O29" s="760"/>
      <c r="P29" s="760"/>
      <c r="Q29" s="760"/>
      <c r="R29" s="760"/>
      <c r="S29" s="761"/>
      <c r="T29" s="761"/>
      <c r="U29" s="761"/>
      <c r="V29" s="761"/>
      <c r="W29" s="761"/>
      <c r="X29" s="761"/>
      <c r="Y29" s="761"/>
      <c r="Z29" s="761"/>
      <c r="AA29" s="761"/>
      <c r="AB29" s="761"/>
      <c r="AC29" s="761"/>
      <c r="AD29" s="761"/>
      <c r="AE29" s="761"/>
      <c r="AF29" s="761"/>
      <c r="AG29" s="761"/>
      <c r="AH29" s="761"/>
      <c r="AI29" s="761"/>
      <c r="AJ29" s="761"/>
      <c r="AK29" s="761"/>
      <c r="AL29" s="761"/>
      <c r="AM29" s="761"/>
      <c r="AN29" s="761"/>
      <c r="AO29" s="761"/>
      <c r="AP29" s="761"/>
      <c r="AQ29" s="761"/>
      <c r="AR29" s="761"/>
      <c r="AS29" s="761"/>
      <c r="AT29" s="761"/>
      <c r="AU29" s="761"/>
      <c r="AV29" s="761"/>
      <c r="AW29" s="761"/>
      <c r="AX29" s="761"/>
      <c r="AY29" s="761"/>
      <c r="AZ29" s="761"/>
      <c r="BA29" s="761"/>
      <c r="BB29" s="761"/>
      <c r="BC29" s="761"/>
      <c r="BD29" s="761"/>
      <c r="BE29" s="761"/>
      <c r="BF29" s="761"/>
      <c r="BG29" s="761"/>
      <c r="BH29" s="761"/>
      <c r="BI29" s="761"/>
      <c r="BJ29" s="761"/>
      <c r="BK29" s="761"/>
      <c r="BL29" s="761"/>
      <c r="BM29" s="761"/>
      <c r="BN29" s="761"/>
      <c r="BO29" s="761"/>
      <c r="BP29" s="761"/>
      <c r="BQ29" s="761"/>
      <c r="BR29" s="761"/>
      <c r="BS29" s="761"/>
      <c r="BT29" s="761"/>
      <c r="BU29" s="761"/>
      <c r="BV29" s="761"/>
      <c r="BW29" s="761"/>
      <c r="BX29" s="761"/>
      <c r="BY29" s="761"/>
      <c r="BZ29" s="761"/>
      <c r="CA29" s="761"/>
      <c r="CB29" s="761"/>
      <c r="CC29" s="761"/>
      <c r="CD29" s="761"/>
      <c r="CE29" s="761"/>
      <c r="CF29" s="761"/>
      <c r="CG29" s="761"/>
      <c r="CH29" s="761"/>
      <c r="CI29" s="761"/>
      <c r="CJ29" s="761"/>
      <c r="CK29" s="761"/>
      <c r="CL29" s="761"/>
      <c r="CM29" s="761"/>
      <c r="CN29" s="761"/>
      <c r="CO29" s="761"/>
      <c r="CP29" s="761"/>
      <c r="CQ29" s="761"/>
      <c r="CR29" s="761"/>
      <c r="CS29" s="761"/>
      <c r="CT29" s="761"/>
      <c r="CU29" s="1891">
        <f t="shared" si="25"/>
        <v>5601321786</v>
      </c>
      <c r="CV29" s="1891">
        <f t="shared" si="26"/>
        <v>5601321786</v>
      </c>
      <c r="CW29" s="1891">
        <f t="shared" si="27"/>
        <v>5601321786</v>
      </c>
      <c r="CX29" s="1891">
        <f t="shared" si="28"/>
        <v>5601321786</v>
      </c>
      <c r="CY29" s="1892">
        <v>5601321786</v>
      </c>
      <c r="CZ29" s="1893">
        <v>3938955315.1900001</v>
      </c>
      <c r="DA29" s="1894">
        <v>3938955315.1900001</v>
      </c>
      <c r="DB29" s="816">
        <f t="shared" si="30"/>
        <v>0</v>
      </c>
      <c r="DC29" s="816">
        <f t="shared" si="30"/>
        <v>1662366470.8099999</v>
      </c>
      <c r="DD29" s="816">
        <f t="shared" si="30"/>
        <v>1662366470.8099999</v>
      </c>
    </row>
    <row r="30" spans="1:112" s="765" customFormat="1" ht="110.25">
      <c r="A30" s="772" t="s">
        <v>542</v>
      </c>
      <c r="B30" s="759">
        <v>0</v>
      </c>
      <c r="C30" s="764"/>
      <c r="D30" s="764"/>
      <c r="E30" s="764"/>
      <c r="F30" s="764"/>
      <c r="G30" s="764"/>
      <c r="H30" s="764"/>
      <c r="I30" s="764"/>
      <c r="J30" s="764"/>
      <c r="K30" s="764"/>
      <c r="L30" s="764"/>
      <c r="M30" s="764"/>
      <c r="N30" s="764"/>
      <c r="O30" s="764"/>
      <c r="P30" s="764"/>
      <c r="Q30" s="764"/>
      <c r="R30" s="764"/>
      <c r="S30" s="764"/>
      <c r="T30" s="764"/>
      <c r="U30" s="764"/>
      <c r="V30" s="764"/>
      <c r="W30" s="764"/>
      <c r="X30" s="764"/>
      <c r="Y30" s="764"/>
      <c r="Z30" s="764"/>
      <c r="AA30" s="764"/>
      <c r="AB30" s="764"/>
      <c r="AC30" s="764"/>
      <c r="AD30" s="764"/>
      <c r="AE30" s="764"/>
      <c r="AF30" s="764"/>
      <c r="AG30" s="764"/>
      <c r="AH30" s="764"/>
      <c r="AI30" s="764"/>
      <c r="AJ30" s="764"/>
      <c r="AK30" s="764"/>
      <c r="AL30" s="764"/>
      <c r="AM30" s="764"/>
      <c r="AN30" s="764"/>
      <c r="AO30" s="764"/>
      <c r="AP30" s="764"/>
      <c r="AQ30" s="764"/>
      <c r="AR30" s="764"/>
      <c r="AS30" s="764"/>
      <c r="AT30" s="764"/>
      <c r="AU30" s="764"/>
      <c r="AV30" s="764"/>
      <c r="AW30" s="764"/>
      <c r="AX30" s="764"/>
      <c r="AY30" s="764"/>
      <c r="AZ30" s="764"/>
      <c r="BA30" s="764"/>
      <c r="BB30" s="764"/>
      <c r="BC30" s="764"/>
      <c r="BD30" s="764"/>
      <c r="BE30" s="764"/>
      <c r="BF30" s="764"/>
      <c r="BG30" s="764"/>
      <c r="BH30" s="764"/>
      <c r="BI30" s="764"/>
      <c r="BJ30" s="764"/>
      <c r="BK30" s="764"/>
      <c r="BL30" s="764"/>
      <c r="BM30" s="764"/>
      <c r="BN30" s="764"/>
      <c r="BO30" s="764"/>
      <c r="BP30" s="764"/>
      <c r="BQ30" s="764"/>
      <c r="BR30" s="764"/>
      <c r="BS30" s="764"/>
      <c r="BT30" s="764"/>
      <c r="BU30" s="764"/>
      <c r="BV30" s="764"/>
      <c r="BW30" s="764"/>
      <c r="BX30" s="764"/>
      <c r="BY30" s="764"/>
      <c r="BZ30" s="764"/>
      <c r="CA30" s="764"/>
      <c r="CB30" s="764"/>
      <c r="CC30" s="764"/>
      <c r="CD30" s="764"/>
      <c r="CE30" s="764"/>
      <c r="CF30" s="764"/>
      <c r="CG30" s="764"/>
      <c r="CH30" s="764"/>
      <c r="CI30" s="764"/>
      <c r="CJ30" s="764"/>
      <c r="CK30" s="764"/>
      <c r="CL30" s="764"/>
      <c r="CM30" s="764"/>
      <c r="CN30" s="764"/>
      <c r="CO30" s="764"/>
      <c r="CP30" s="764"/>
      <c r="CQ30" s="764"/>
      <c r="CR30" s="764"/>
      <c r="CS30" s="764"/>
      <c r="CT30" s="764"/>
      <c r="CU30" s="1891">
        <f t="shared" si="25"/>
        <v>0</v>
      </c>
      <c r="CV30" s="1891">
        <f t="shared" si="26"/>
        <v>0</v>
      </c>
      <c r="CW30" s="1891">
        <f t="shared" si="27"/>
        <v>0</v>
      </c>
      <c r="CX30" s="1891">
        <f t="shared" si="28"/>
        <v>0</v>
      </c>
      <c r="CY30" s="815"/>
      <c r="CZ30" s="815"/>
      <c r="DA30" s="815"/>
      <c r="DB30" s="816">
        <f t="shared" si="30"/>
        <v>0</v>
      </c>
      <c r="DC30" s="816">
        <f t="shared" si="30"/>
        <v>0</v>
      </c>
      <c r="DD30" s="816">
        <f t="shared" si="30"/>
        <v>0</v>
      </c>
      <c r="DE30" s="750"/>
      <c r="DF30" s="750"/>
      <c r="DG30" s="750"/>
    </row>
    <row r="31" spans="1:112" ht="79.5" thickBot="1">
      <c r="A31" s="772" t="s">
        <v>1360</v>
      </c>
      <c r="B31" s="759">
        <v>31162946267</v>
      </c>
      <c r="C31" s="759">
        <v>10022113022.27</v>
      </c>
      <c r="D31" s="759">
        <v>10022113022.27</v>
      </c>
      <c r="E31" s="759">
        <v>10022113022.27</v>
      </c>
      <c r="F31" s="759">
        <f>+E31</f>
        <v>10022113022.27</v>
      </c>
      <c r="G31" s="777">
        <v>3813285725</v>
      </c>
      <c r="H31" s="777">
        <v>3813285725</v>
      </c>
      <c r="I31" s="777">
        <v>3813285725</v>
      </c>
      <c r="J31" s="777">
        <v>3813285725</v>
      </c>
      <c r="K31" s="777"/>
      <c r="L31" s="777"/>
      <c r="M31" s="777"/>
      <c r="N31" s="777"/>
      <c r="O31" s="777"/>
      <c r="P31" s="777"/>
      <c r="Q31" s="777"/>
      <c r="R31" s="777"/>
      <c r="S31" s="777"/>
      <c r="T31" s="777"/>
      <c r="U31" s="777"/>
      <c r="V31" s="777"/>
      <c r="W31" s="777"/>
      <c r="X31" s="777"/>
      <c r="Y31" s="777"/>
      <c r="Z31" s="777"/>
      <c r="AA31" s="777"/>
      <c r="AB31" s="777"/>
      <c r="AC31" s="777"/>
      <c r="AD31" s="777"/>
      <c r="AE31" s="761"/>
      <c r="AF31" s="761"/>
      <c r="AG31" s="761"/>
      <c r="AH31" s="761"/>
      <c r="AI31" s="761"/>
      <c r="AJ31" s="761"/>
      <c r="AK31" s="761"/>
      <c r="AL31" s="761"/>
      <c r="AM31" s="761"/>
      <c r="AN31" s="761"/>
      <c r="AO31" s="761"/>
      <c r="AP31" s="761"/>
      <c r="AQ31" s="761"/>
      <c r="AR31" s="761"/>
      <c r="AS31" s="761"/>
      <c r="AT31" s="761"/>
      <c r="AU31" s="761"/>
      <c r="AV31" s="761"/>
      <c r="AW31" s="761"/>
      <c r="AX31" s="761"/>
      <c r="AY31" s="761"/>
      <c r="AZ31" s="761"/>
      <c r="BA31" s="761"/>
      <c r="BB31" s="761"/>
      <c r="BC31" s="761"/>
      <c r="BD31" s="761"/>
      <c r="BE31" s="761"/>
      <c r="BF31" s="761"/>
      <c r="BG31" s="761"/>
      <c r="BH31" s="761"/>
      <c r="BI31" s="761"/>
      <c r="BJ31" s="761"/>
      <c r="BK31" s="761"/>
      <c r="BL31" s="761"/>
      <c r="BM31" s="761"/>
      <c r="BN31" s="761"/>
      <c r="BO31" s="761"/>
      <c r="BP31" s="761"/>
      <c r="BQ31" s="761"/>
      <c r="BR31" s="761"/>
      <c r="BS31" s="759">
        <v>17327547519.73</v>
      </c>
      <c r="BT31" s="759">
        <v>17327547519.73</v>
      </c>
      <c r="BU31" s="759">
        <f>+BT31</f>
        <v>17327547519.73</v>
      </c>
      <c r="BV31" s="759">
        <f>+BU31</f>
        <v>17327547519.73</v>
      </c>
      <c r="BW31" s="761"/>
      <c r="BX31" s="761"/>
      <c r="BY31" s="761"/>
      <c r="BZ31" s="761"/>
      <c r="CA31" s="761"/>
      <c r="CB31" s="761"/>
      <c r="CC31" s="761"/>
      <c r="CD31" s="761"/>
      <c r="CE31" s="761"/>
      <c r="CF31" s="761"/>
      <c r="CG31" s="761"/>
      <c r="CH31" s="761"/>
      <c r="CI31" s="761"/>
      <c r="CJ31" s="761"/>
      <c r="CK31" s="761"/>
      <c r="CL31" s="761"/>
      <c r="CM31" s="761"/>
      <c r="CN31" s="761"/>
      <c r="CO31" s="761"/>
      <c r="CP31" s="761"/>
      <c r="CQ31" s="761"/>
      <c r="CR31" s="761"/>
      <c r="CS31" s="761"/>
      <c r="CT31" s="761"/>
      <c r="CU31" s="1891">
        <f t="shared" si="25"/>
        <v>31162946267</v>
      </c>
      <c r="CV31" s="1891">
        <f t="shared" si="26"/>
        <v>31162946267</v>
      </c>
      <c r="CW31" s="1891">
        <f t="shared" si="27"/>
        <v>31162946267</v>
      </c>
      <c r="CX31" s="1891">
        <f t="shared" si="28"/>
        <v>31162946267</v>
      </c>
      <c r="CY31" s="1892">
        <v>31162946267</v>
      </c>
      <c r="CZ31" s="1893">
        <v>25568977791</v>
      </c>
      <c r="DA31" s="1894">
        <v>25568977791</v>
      </c>
      <c r="DB31" s="816">
        <f t="shared" si="30"/>
        <v>0</v>
      </c>
      <c r="DC31" s="816">
        <f t="shared" si="30"/>
        <v>5593968476</v>
      </c>
      <c r="DD31" s="816">
        <f t="shared" si="30"/>
        <v>5593968476</v>
      </c>
    </row>
    <row r="32" spans="1:112" s="765" customFormat="1" ht="126">
      <c r="A32" s="778" t="s">
        <v>1361</v>
      </c>
      <c r="B32" s="759">
        <v>400000000</v>
      </c>
      <c r="C32" s="764"/>
      <c r="D32" s="764"/>
      <c r="E32" s="764"/>
      <c r="F32" s="764"/>
      <c r="G32" s="764"/>
      <c r="H32" s="764"/>
      <c r="I32" s="764"/>
      <c r="J32" s="764"/>
      <c r="K32" s="764"/>
      <c r="L32" s="764"/>
      <c r="M32" s="764"/>
      <c r="N32" s="764"/>
      <c r="O32" s="764"/>
      <c r="P32" s="764"/>
      <c r="Q32" s="764"/>
      <c r="R32" s="764"/>
      <c r="S32" s="764"/>
      <c r="T32" s="764"/>
      <c r="U32" s="764"/>
      <c r="V32" s="764"/>
      <c r="W32" s="764"/>
      <c r="X32" s="764"/>
      <c r="Y32" s="764"/>
      <c r="Z32" s="764"/>
      <c r="AA32" s="764"/>
      <c r="AB32" s="764"/>
      <c r="AC32" s="764"/>
      <c r="AD32" s="764"/>
      <c r="AE32" s="764"/>
      <c r="AF32" s="764"/>
      <c r="AG32" s="764"/>
      <c r="AH32" s="764"/>
      <c r="AI32" s="764"/>
      <c r="AJ32" s="764"/>
      <c r="AK32" s="764"/>
      <c r="AL32" s="764"/>
      <c r="AM32" s="764"/>
      <c r="AN32" s="764"/>
      <c r="AO32" s="764"/>
      <c r="AP32" s="764"/>
      <c r="AQ32" s="764"/>
      <c r="AR32" s="764"/>
      <c r="AS32" s="764"/>
      <c r="AT32" s="764"/>
      <c r="AU32" s="764"/>
      <c r="AV32" s="764"/>
      <c r="AW32" s="764"/>
      <c r="AX32" s="764"/>
      <c r="AY32" s="764"/>
      <c r="AZ32" s="764"/>
      <c r="BA32" s="764"/>
      <c r="BB32" s="764"/>
      <c r="BC32" s="764"/>
      <c r="BD32" s="764"/>
      <c r="BE32" s="764"/>
      <c r="BF32" s="764"/>
      <c r="BG32" s="764"/>
      <c r="BH32" s="764"/>
      <c r="BI32" s="764"/>
      <c r="BJ32" s="764"/>
      <c r="BK32" s="764"/>
      <c r="BL32" s="764"/>
      <c r="BM32" s="764"/>
      <c r="BN32" s="764"/>
      <c r="BO32" s="764"/>
      <c r="BP32" s="764"/>
      <c r="BQ32" s="764"/>
      <c r="BR32" s="764"/>
      <c r="BS32" s="762">
        <f>+B32</f>
        <v>400000000</v>
      </c>
      <c r="BT32" s="762">
        <v>398607608</v>
      </c>
      <c r="BU32" s="762">
        <v>54267918</v>
      </c>
      <c r="BV32" s="762">
        <v>33349361</v>
      </c>
      <c r="BW32" s="764"/>
      <c r="BX32" s="764"/>
      <c r="BY32" s="764"/>
      <c r="BZ32" s="764"/>
      <c r="CA32" s="764"/>
      <c r="CB32" s="764"/>
      <c r="CC32" s="764"/>
      <c r="CD32" s="764"/>
      <c r="CE32" s="764"/>
      <c r="CF32" s="764"/>
      <c r="CG32" s="764"/>
      <c r="CH32" s="764"/>
      <c r="CI32" s="764"/>
      <c r="CJ32" s="764"/>
      <c r="CK32" s="764"/>
      <c r="CL32" s="764"/>
      <c r="CM32" s="764"/>
      <c r="CN32" s="764"/>
      <c r="CO32" s="764"/>
      <c r="CP32" s="764"/>
      <c r="CQ32" s="764"/>
      <c r="CR32" s="764"/>
      <c r="CS32" s="764"/>
      <c r="CT32" s="764"/>
      <c r="CU32" s="1891">
        <f t="shared" si="25"/>
        <v>400000000</v>
      </c>
      <c r="CV32" s="1891">
        <f t="shared" si="26"/>
        <v>398607608</v>
      </c>
      <c r="CW32" s="1891">
        <f t="shared" si="27"/>
        <v>54267918</v>
      </c>
      <c r="CX32" s="1891">
        <f t="shared" si="28"/>
        <v>33349361</v>
      </c>
      <c r="CY32" s="1892">
        <v>43087433</v>
      </c>
      <c r="CZ32" s="1893">
        <v>6343681</v>
      </c>
      <c r="DA32" s="1894">
        <v>6153956</v>
      </c>
      <c r="DB32" s="816">
        <f t="shared" si="30"/>
        <v>355520175</v>
      </c>
      <c r="DC32" s="816">
        <f t="shared" si="30"/>
        <v>47924237</v>
      </c>
      <c r="DD32" s="816">
        <f t="shared" si="30"/>
        <v>27195405</v>
      </c>
    </row>
    <row r="33" spans="1:108" s="765" customFormat="1" ht="126">
      <c r="A33" s="772" t="s">
        <v>1362</v>
      </c>
      <c r="B33" s="759">
        <v>250000000</v>
      </c>
      <c r="C33" s="764"/>
      <c r="D33" s="764"/>
      <c r="E33" s="764"/>
      <c r="F33" s="764"/>
      <c r="G33" s="764"/>
      <c r="H33" s="764"/>
      <c r="I33" s="764"/>
      <c r="J33" s="764"/>
      <c r="K33" s="764"/>
      <c r="L33" s="764"/>
      <c r="M33" s="764"/>
      <c r="N33" s="764"/>
      <c r="O33" s="764"/>
      <c r="P33" s="764"/>
      <c r="Q33" s="764"/>
      <c r="R33" s="764"/>
      <c r="S33" s="764"/>
      <c r="T33" s="764"/>
      <c r="U33" s="764"/>
      <c r="V33" s="764"/>
      <c r="W33" s="764"/>
      <c r="X33" s="764"/>
      <c r="Y33" s="764"/>
      <c r="Z33" s="764"/>
      <c r="AA33" s="764"/>
      <c r="AB33" s="764"/>
      <c r="AC33" s="764"/>
      <c r="AD33" s="764"/>
      <c r="AE33" s="764"/>
      <c r="AF33" s="764"/>
      <c r="AG33" s="764"/>
      <c r="AH33" s="764"/>
      <c r="AI33" s="764"/>
      <c r="AJ33" s="764"/>
      <c r="AK33" s="764"/>
      <c r="AL33" s="764"/>
      <c r="AM33" s="764"/>
      <c r="AN33" s="764"/>
      <c r="AO33" s="764"/>
      <c r="AP33" s="764"/>
      <c r="AQ33" s="764"/>
      <c r="AR33" s="764"/>
      <c r="AS33" s="764"/>
      <c r="AT33" s="764"/>
      <c r="AU33" s="764"/>
      <c r="AV33" s="764"/>
      <c r="AW33" s="764"/>
      <c r="AX33" s="764"/>
      <c r="AY33" s="764"/>
      <c r="AZ33" s="764"/>
      <c r="BA33" s="764"/>
      <c r="BB33" s="764"/>
      <c r="BC33" s="759">
        <v>167552412.09</v>
      </c>
      <c r="BD33" s="759">
        <v>166689497.06144705</v>
      </c>
      <c r="BE33" s="759">
        <v>162092808.56076917</v>
      </c>
      <c r="BF33" s="759">
        <v>150637906.28142163</v>
      </c>
      <c r="BG33" s="759">
        <v>42660880.789999999</v>
      </c>
      <c r="BH33" s="759">
        <v>42441172.1346258</v>
      </c>
      <c r="BI33" s="759">
        <v>41270799.36762052</v>
      </c>
      <c r="BJ33" s="759">
        <v>38354242.008017391</v>
      </c>
      <c r="BK33" s="764"/>
      <c r="BL33" s="764"/>
      <c r="BM33" s="764"/>
      <c r="BN33" s="764"/>
      <c r="BO33" s="764"/>
      <c r="BP33" s="764"/>
      <c r="BQ33" s="764"/>
      <c r="BR33" s="764"/>
      <c r="BS33" s="762">
        <v>39786707.119999997</v>
      </c>
      <c r="BT33" s="759">
        <v>39581800.803927138</v>
      </c>
      <c r="BU33" s="759">
        <v>38490279.071610294</v>
      </c>
      <c r="BV33" s="759">
        <v>35770217.710560977</v>
      </c>
      <c r="BW33" s="764"/>
      <c r="BX33" s="764"/>
      <c r="BY33" s="764"/>
      <c r="BZ33" s="764"/>
      <c r="CA33" s="764"/>
      <c r="CB33" s="764"/>
      <c r="CC33" s="764"/>
      <c r="CD33" s="764"/>
      <c r="CE33" s="764"/>
      <c r="CF33" s="764"/>
      <c r="CG33" s="764"/>
      <c r="CH33" s="764"/>
      <c r="CI33" s="764"/>
      <c r="CJ33" s="764"/>
      <c r="CK33" s="764"/>
      <c r="CL33" s="764"/>
      <c r="CM33" s="764"/>
      <c r="CN33" s="764"/>
      <c r="CO33" s="764"/>
      <c r="CP33" s="764"/>
      <c r="CQ33" s="764"/>
      <c r="CR33" s="764"/>
      <c r="CS33" s="764"/>
      <c r="CT33" s="764"/>
      <c r="CU33" s="1891">
        <f t="shared" si="25"/>
        <v>250000000</v>
      </c>
      <c r="CV33" s="1891">
        <f t="shared" si="26"/>
        <v>248712470</v>
      </c>
      <c r="CW33" s="1891">
        <f t="shared" si="27"/>
        <v>241853887</v>
      </c>
      <c r="CX33" s="1891">
        <f t="shared" si="28"/>
        <v>224762366</v>
      </c>
      <c r="CY33" s="1892">
        <v>20651907</v>
      </c>
      <c r="CZ33" s="1893">
        <v>3954502</v>
      </c>
      <c r="DA33" s="1894">
        <v>3836232</v>
      </c>
      <c r="DB33" s="816">
        <f t="shared" si="30"/>
        <v>228060563</v>
      </c>
      <c r="DC33" s="816">
        <f t="shared" si="30"/>
        <v>237899385</v>
      </c>
      <c r="DD33" s="816">
        <f t="shared" si="30"/>
        <v>220926134</v>
      </c>
    </row>
    <row r="34" spans="1:108" s="765" customFormat="1" ht="236.25">
      <c r="A34" s="772" t="s">
        <v>1363</v>
      </c>
      <c r="B34" s="759">
        <v>300000000</v>
      </c>
      <c r="C34" s="764"/>
      <c r="D34" s="764"/>
      <c r="E34" s="764"/>
      <c r="F34" s="764"/>
      <c r="G34" s="764"/>
      <c r="H34" s="764"/>
      <c r="I34" s="764"/>
      <c r="J34" s="764"/>
      <c r="K34" s="764"/>
      <c r="L34" s="764"/>
      <c r="M34" s="764"/>
      <c r="N34" s="764"/>
      <c r="O34" s="764"/>
      <c r="P34" s="764"/>
      <c r="Q34" s="764"/>
      <c r="R34" s="764"/>
      <c r="S34" s="764"/>
      <c r="T34" s="764"/>
      <c r="U34" s="764"/>
      <c r="V34" s="764"/>
      <c r="W34" s="764"/>
      <c r="X34" s="764"/>
      <c r="Y34" s="764"/>
      <c r="Z34" s="764"/>
      <c r="AA34" s="764"/>
      <c r="AB34" s="764"/>
      <c r="AC34" s="764"/>
      <c r="AD34" s="764"/>
      <c r="AE34" s="764"/>
      <c r="AF34" s="764"/>
      <c r="AG34" s="764"/>
      <c r="AH34" s="764"/>
      <c r="AI34" s="764"/>
      <c r="AJ34" s="764"/>
      <c r="AK34" s="764"/>
      <c r="AL34" s="764"/>
      <c r="AM34" s="764"/>
      <c r="AN34" s="764"/>
      <c r="AO34" s="764"/>
      <c r="AP34" s="764"/>
      <c r="AQ34" s="764"/>
      <c r="AR34" s="764"/>
      <c r="AS34" s="764"/>
      <c r="AT34" s="764"/>
      <c r="AU34" s="764"/>
      <c r="AV34" s="764"/>
      <c r="AW34" s="764"/>
      <c r="AX34" s="764"/>
      <c r="AY34" s="764"/>
      <c r="AZ34" s="764"/>
      <c r="BA34" s="764"/>
      <c r="BB34" s="764"/>
      <c r="BC34" s="764"/>
      <c r="BD34" s="764"/>
      <c r="BE34" s="764"/>
      <c r="BF34" s="764"/>
      <c r="BG34" s="764"/>
      <c r="BH34" s="764"/>
      <c r="BI34" s="764"/>
      <c r="BJ34" s="764"/>
      <c r="BK34" s="764"/>
      <c r="BL34" s="764"/>
      <c r="BM34" s="764"/>
      <c r="BN34" s="764"/>
      <c r="BO34" s="764"/>
      <c r="BP34" s="764"/>
      <c r="BQ34" s="764"/>
      <c r="BR34" s="764"/>
      <c r="BS34" s="762">
        <f t="shared" ref="BS34:BS59" si="33">+B34</f>
        <v>300000000</v>
      </c>
      <c r="BT34" s="762">
        <v>299667241</v>
      </c>
      <c r="BU34" s="762">
        <v>37257534</v>
      </c>
      <c r="BV34" s="762">
        <v>19104406</v>
      </c>
      <c r="BW34" s="764"/>
      <c r="BX34" s="764"/>
      <c r="BY34" s="764"/>
      <c r="BZ34" s="764"/>
      <c r="CA34" s="764"/>
      <c r="CB34" s="764"/>
      <c r="CC34" s="764"/>
      <c r="CD34" s="764"/>
      <c r="CE34" s="764"/>
      <c r="CF34" s="764"/>
      <c r="CG34" s="764"/>
      <c r="CH34" s="764"/>
      <c r="CI34" s="764"/>
      <c r="CJ34" s="764"/>
      <c r="CK34" s="764"/>
      <c r="CL34" s="764"/>
      <c r="CM34" s="764"/>
      <c r="CN34" s="764"/>
      <c r="CO34" s="764"/>
      <c r="CP34" s="764"/>
      <c r="CQ34" s="764"/>
      <c r="CR34" s="764"/>
      <c r="CS34" s="764"/>
      <c r="CT34" s="764"/>
      <c r="CU34" s="1891">
        <f t="shared" si="25"/>
        <v>300000000</v>
      </c>
      <c r="CV34" s="1891">
        <f t="shared" si="26"/>
        <v>299667241</v>
      </c>
      <c r="CW34" s="1891">
        <f t="shared" si="27"/>
        <v>37257534</v>
      </c>
      <c r="CX34" s="1891">
        <f t="shared" si="28"/>
        <v>19104406</v>
      </c>
      <c r="CY34" s="1892">
        <v>22826671</v>
      </c>
      <c r="CZ34" s="1893">
        <v>4761880</v>
      </c>
      <c r="DA34" s="1894">
        <v>4619463</v>
      </c>
      <c r="DB34" s="816">
        <f t="shared" si="30"/>
        <v>276840570</v>
      </c>
      <c r="DC34" s="816">
        <f t="shared" si="30"/>
        <v>32495654</v>
      </c>
      <c r="DD34" s="816">
        <f t="shared" si="30"/>
        <v>14484943</v>
      </c>
    </row>
    <row r="35" spans="1:108" ht="173.25">
      <c r="A35" s="772" t="s">
        <v>1364</v>
      </c>
      <c r="B35" s="759">
        <v>350000000</v>
      </c>
      <c r="C35" s="760"/>
      <c r="D35" s="760"/>
      <c r="E35" s="760"/>
      <c r="F35" s="760"/>
      <c r="G35" s="761"/>
      <c r="H35" s="761"/>
      <c r="I35" s="761"/>
      <c r="J35" s="761"/>
      <c r="K35" s="761"/>
      <c r="L35" s="761"/>
      <c r="M35" s="761"/>
      <c r="N35" s="761"/>
      <c r="O35" s="761"/>
      <c r="P35" s="761"/>
      <c r="Q35" s="761"/>
      <c r="R35" s="761"/>
      <c r="S35" s="761"/>
      <c r="T35" s="761"/>
      <c r="U35" s="761"/>
      <c r="V35" s="761"/>
      <c r="W35" s="761"/>
      <c r="X35" s="761"/>
      <c r="Y35" s="761"/>
      <c r="Z35" s="761"/>
      <c r="AA35" s="761"/>
      <c r="AB35" s="761"/>
      <c r="AC35" s="761"/>
      <c r="AD35" s="761"/>
      <c r="AE35" s="761"/>
      <c r="AF35" s="761"/>
      <c r="AG35" s="761"/>
      <c r="AH35" s="761"/>
      <c r="AI35" s="761"/>
      <c r="AJ35" s="761"/>
      <c r="AK35" s="761"/>
      <c r="AL35" s="761"/>
      <c r="AM35" s="761"/>
      <c r="AN35" s="761"/>
      <c r="AO35" s="761"/>
      <c r="AP35" s="761"/>
      <c r="AQ35" s="761"/>
      <c r="AR35" s="761"/>
      <c r="AS35" s="761"/>
      <c r="AT35" s="761"/>
      <c r="AU35" s="761"/>
      <c r="AV35" s="761"/>
      <c r="AW35" s="761"/>
      <c r="AX35" s="761"/>
      <c r="AY35" s="761"/>
      <c r="AZ35" s="761"/>
      <c r="BA35" s="761"/>
      <c r="BB35" s="761"/>
      <c r="BC35" s="761"/>
      <c r="BD35" s="761"/>
      <c r="BE35" s="761"/>
      <c r="BF35" s="761"/>
      <c r="BG35" s="761"/>
      <c r="BH35" s="761"/>
      <c r="BI35" s="761"/>
      <c r="BJ35" s="761"/>
      <c r="BK35" s="761"/>
      <c r="BL35" s="761"/>
      <c r="BM35" s="761"/>
      <c r="BN35" s="761"/>
      <c r="BO35" s="761"/>
      <c r="BP35" s="761"/>
      <c r="BQ35" s="761"/>
      <c r="BR35" s="761"/>
      <c r="BS35" s="762">
        <f t="shared" si="33"/>
        <v>350000000</v>
      </c>
      <c r="BT35" s="762">
        <v>349611974</v>
      </c>
      <c r="BU35" s="762">
        <v>221755948</v>
      </c>
      <c r="BV35" s="762">
        <v>212297455</v>
      </c>
      <c r="BW35" s="761"/>
      <c r="BX35" s="761"/>
      <c r="BY35" s="761"/>
      <c r="BZ35" s="761"/>
      <c r="CA35" s="761"/>
      <c r="CB35" s="761"/>
      <c r="CC35" s="761"/>
      <c r="CD35" s="761"/>
      <c r="CE35" s="761"/>
      <c r="CF35" s="761"/>
      <c r="CG35" s="761"/>
      <c r="CH35" s="761"/>
      <c r="CI35" s="761"/>
      <c r="CJ35" s="761"/>
      <c r="CK35" s="761"/>
      <c r="CL35" s="761"/>
      <c r="CM35" s="761"/>
      <c r="CN35" s="761"/>
      <c r="CO35" s="761"/>
      <c r="CP35" s="761"/>
      <c r="CQ35" s="761"/>
      <c r="CR35" s="761"/>
      <c r="CS35" s="761"/>
      <c r="CT35" s="761"/>
      <c r="CU35" s="1891">
        <f t="shared" si="25"/>
        <v>350000000</v>
      </c>
      <c r="CV35" s="1891">
        <f t="shared" si="26"/>
        <v>349611974</v>
      </c>
      <c r="CW35" s="1891">
        <f t="shared" si="27"/>
        <v>221755948</v>
      </c>
      <c r="CX35" s="1891">
        <f t="shared" si="28"/>
        <v>212297455</v>
      </c>
      <c r="CY35" s="1892">
        <v>204977052</v>
      </c>
      <c r="CZ35" s="1893">
        <v>5552780</v>
      </c>
      <c r="DA35" s="1894">
        <v>5386709</v>
      </c>
      <c r="DB35" s="816">
        <f t="shared" si="30"/>
        <v>144634922</v>
      </c>
      <c r="DC35" s="816">
        <f t="shared" si="30"/>
        <v>216203168</v>
      </c>
      <c r="DD35" s="816">
        <f t="shared" si="30"/>
        <v>206910746</v>
      </c>
    </row>
    <row r="36" spans="1:108" s="765" customFormat="1" ht="78.75">
      <c r="A36" s="772" t="s">
        <v>1365</v>
      </c>
      <c r="B36" s="759">
        <v>400000000</v>
      </c>
      <c r="C36" s="764"/>
      <c r="D36" s="764"/>
      <c r="E36" s="764"/>
      <c r="F36" s="764"/>
      <c r="G36" s="764"/>
      <c r="H36" s="764"/>
      <c r="I36" s="764"/>
      <c r="J36" s="764"/>
      <c r="K36" s="764"/>
      <c r="L36" s="764"/>
      <c r="M36" s="764"/>
      <c r="N36" s="764"/>
      <c r="O36" s="764"/>
      <c r="P36" s="764"/>
      <c r="Q36" s="764"/>
      <c r="R36" s="764"/>
      <c r="S36" s="764"/>
      <c r="T36" s="764"/>
      <c r="U36" s="764"/>
      <c r="V36" s="764"/>
      <c r="W36" s="764"/>
      <c r="X36" s="764"/>
      <c r="Y36" s="764"/>
      <c r="Z36" s="764"/>
      <c r="AA36" s="764"/>
      <c r="AB36" s="764"/>
      <c r="AC36" s="764"/>
      <c r="AD36" s="764"/>
      <c r="AE36" s="764"/>
      <c r="AF36" s="764"/>
      <c r="AG36" s="764"/>
      <c r="AH36" s="764"/>
      <c r="AI36" s="764"/>
      <c r="AJ36" s="764"/>
      <c r="AK36" s="764"/>
      <c r="AL36" s="764"/>
      <c r="AM36" s="764"/>
      <c r="AN36" s="764"/>
      <c r="AO36" s="764"/>
      <c r="AP36" s="764"/>
      <c r="AQ36" s="764"/>
      <c r="AR36" s="764"/>
      <c r="AS36" s="764"/>
      <c r="AT36" s="764"/>
      <c r="AU36" s="764"/>
      <c r="AV36" s="764"/>
      <c r="AW36" s="764"/>
      <c r="AX36" s="764"/>
      <c r="AY36" s="764"/>
      <c r="AZ36" s="764"/>
      <c r="BA36" s="764"/>
      <c r="BB36" s="764"/>
      <c r="BC36" s="764"/>
      <c r="BD36" s="764"/>
      <c r="BE36" s="764"/>
      <c r="BF36" s="764"/>
      <c r="BG36" s="764"/>
      <c r="BH36" s="764"/>
      <c r="BI36" s="764"/>
      <c r="BJ36" s="764"/>
      <c r="BK36" s="764"/>
      <c r="BL36" s="764"/>
      <c r="BM36" s="764"/>
      <c r="BN36" s="764"/>
      <c r="BO36" s="764"/>
      <c r="BP36" s="764"/>
      <c r="BQ36" s="764"/>
      <c r="BR36" s="764"/>
      <c r="BS36" s="762">
        <f t="shared" si="33"/>
        <v>400000000</v>
      </c>
      <c r="BT36" s="762">
        <v>399655326</v>
      </c>
      <c r="BU36" s="762">
        <v>78915599</v>
      </c>
      <c r="BV36" s="762">
        <v>66912171</v>
      </c>
      <c r="BW36" s="764"/>
      <c r="BX36" s="764"/>
      <c r="BY36" s="764"/>
      <c r="BZ36" s="764"/>
      <c r="CA36" s="764"/>
      <c r="CB36" s="764"/>
      <c r="CC36" s="764"/>
      <c r="CD36" s="764"/>
      <c r="CE36" s="764"/>
      <c r="CF36" s="764"/>
      <c r="CG36" s="764"/>
      <c r="CH36" s="764"/>
      <c r="CI36" s="764"/>
      <c r="CJ36" s="764"/>
      <c r="CK36" s="764"/>
      <c r="CL36" s="764"/>
      <c r="CM36" s="764"/>
      <c r="CN36" s="764"/>
      <c r="CO36" s="764"/>
      <c r="CP36" s="764"/>
      <c r="CQ36" s="764"/>
      <c r="CR36" s="764"/>
      <c r="CS36" s="764"/>
      <c r="CT36" s="764"/>
      <c r="CU36" s="1891">
        <f t="shared" si="25"/>
        <v>400000000</v>
      </c>
      <c r="CV36" s="1891">
        <f t="shared" si="26"/>
        <v>399655326</v>
      </c>
      <c r="CW36" s="1891">
        <f t="shared" si="27"/>
        <v>78915599</v>
      </c>
      <c r="CX36" s="1891">
        <f t="shared" si="28"/>
        <v>66912171</v>
      </c>
      <c r="CY36" s="1892">
        <v>35087433</v>
      </c>
      <c r="CZ36" s="1893">
        <v>18343681</v>
      </c>
      <c r="DA36" s="1894">
        <v>18153956</v>
      </c>
      <c r="DB36" s="816">
        <f t="shared" si="30"/>
        <v>364567893</v>
      </c>
      <c r="DC36" s="816">
        <f t="shared" si="30"/>
        <v>60571918</v>
      </c>
      <c r="DD36" s="816">
        <f t="shared" si="30"/>
        <v>48758215</v>
      </c>
    </row>
    <row r="37" spans="1:108" s="765" customFormat="1" ht="94.5">
      <c r="A37" s="772" t="s">
        <v>550</v>
      </c>
      <c r="B37" s="759">
        <v>300000000</v>
      </c>
      <c r="C37" s="764"/>
      <c r="D37" s="764"/>
      <c r="E37" s="764"/>
      <c r="F37" s="764"/>
      <c r="G37" s="764"/>
      <c r="H37" s="764"/>
      <c r="I37" s="764"/>
      <c r="J37" s="764"/>
      <c r="K37" s="764"/>
      <c r="L37" s="764"/>
      <c r="M37" s="764"/>
      <c r="N37" s="764"/>
      <c r="O37" s="764"/>
      <c r="P37" s="764"/>
      <c r="Q37" s="764"/>
      <c r="R37" s="764"/>
      <c r="S37" s="764"/>
      <c r="T37" s="764"/>
      <c r="U37" s="764"/>
      <c r="V37" s="764"/>
      <c r="W37" s="764"/>
      <c r="X37" s="764"/>
      <c r="Y37" s="764"/>
      <c r="Z37" s="764"/>
      <c r="AA37" s="764"/>
      <c r="AB37" s="764"/>
      <c r="AC37" s="764"/>
      <c r="AD37" s="764"/>
      <c r="AE37" s="764"/>
      <c r="AF37" s="764"/>
      <c r="AG37" s="764"/>
      <c r="AH37" s="764"/>
      <c r="AI37" s="764"/>
      <c r="AJ37" s="764"/>
      <c r="AK37" s="764"/>
      <c r="AL37" s="764"/>
      <c r="AM37" s="764"/>
      <c r="AN37" s="764"/>
      <c r="AO37" s="764"/>
      <c r="AP37" s="764"/>
      <c r="AQ37" s="764"/>
      <c r="AR37" s="764"/>
      <c r="AS37" s="764"/>
      <c r="AT37" s="764"/>
      <c r="AU37" s="764"/>
      <c r="AV37" s="764"/>
      <c r="AW37" s="764"/>
      <c r="AX37" s="764"/>
      <c r="AY37" s="764"/>
      <c r="AZ37" s="764"/>
      <c r="BA37" s="764"/>
      <c r="BB37" s="764"/>
      <c r="BC37" s="764"/>
      <c r="BD37" s="764"/>
      <c r="BE37" s="764"/>
      <c r="BF37" s="764"/>
      <c r="BG37" s="764"/>
      <c r="BH37" s="764"/>
      <c r="BI37" s="764"/>
      <c r="BJ37" s="764"/>
      <c r="BK37" s="764"/>
      <c r="BL37" s="764"/>
      <c r="BM37" s="764"/>
      <c r="BN37" s="764"/>
      <c r="BO37" s="764"/>
      <c r="BP37" s="764"/>
      <c r="BQ37" s="764"/>
      <c r="BR37" s="764"/>
      <c r="BS37" s="779">
        <f t="shared" si="33"/>
        <v>300000000</v>
      </c>
      <c r="BT37" s="779">
        <v>299667241</v>
      </c>
      <c r="BU37" s="779">
        <v>298357533</v>
      </c>
      <c r="BV37" s="779">
        <v>52104405</v>
      </c>
      <c r="BW37" s="764"/>
      <c r="BX37" s="764"/>
      <c r="BY37" s="764"/>
      <c r="BZ37" s="764"/>
      <c r="CA37" s="764"/>
      <c r="CB37" s="764"/>
      <c r="CC37" s="764"/>
      <c r="CD37" s="764"/>
      <c r="CE37" s="764"/>
      <c r="CF37" s="764"/>
      <c r="CG37" s="764"/>
      <c r="CH37" s="764"/>
      <c r="CI37" s="764"/>
      <c r="CJ37" s="764"/>
      <c r="CK37" s="764"/>
      <c r="CL37" s="764"/>
      <c r="CM37" s="764"/>
      <c r="CN37" s="764"/>
      <c r="CO37" s="764"/>
      <c r="CP37" s="764"/>
      <c r="CQ37" s="764"/>
      <c r="CR37" s="764"/>
      <c r="CS37" s="764"/>
      <c r="CT37" s="764"/>
      <c r="CU37" s="1891">
        <f t="shared" si="25"/>
        <v>300000000</v>
      </c>
      <c r="CV37" s="1891">
        <f t="shared" si="26"/>
        <v>299667241</v>
      </c>
      <c r="CW37" s="1891">
        <f t="shared" si="27"/>
        <v>298357533</v>
      </c>
      <c r="CX37" s="1891">
        <f t="shared" si="28"/>
        <v>52104405</v>
      </c>
      <c r="CY37" s="1892">
        <v>45826671</v>
      </c>
      <c r="CZ37" s="1893">
        <v>31761880</v>
      </c>
      <c r="DA37" s="1894">
        <v>27619463</v>
      </c>
      <c r="DB37" s="816">
        <f t="shared" si="30"/>
        <v>253840570</v>
      </c>
      <c r="DC37" s="816">
        <f t="shared" si="30"/>
        <v>266595653</v>
      </c>
      <c r="DD37" s="816">
        <f t="shared" si="30"/>
        <v>24484942</v>
      </c>
    </row>
    <row r="38" spans="1:108" ht="110.25">
      <c r="A38" s="772" t="s">
        <v>1366</v>
      </c>
      <c r="B38" s="759">
        <v>220000000</v>
      </c>
      <c r="C38" s="760"/>
      <c r="D38" s="760"/>
      <c r="E38" s="760"/>
      <c r="F38" s="760"/>
      <c r="G38" s="761"/>
      <c r="H38" s="761"/>
      <c r="I38" s="761"/>
      <c r="J38" s="761"/>
      <c r="K38" s="761"/>
      <c r="L38" s="761"/>
      <c r="M38" s="761"/>
      <c r="N38" s="761"/>
      <c r="O38" s="761"/>
      <c r="P38" s="761"/>
      <c r="Q38" s="761"/>
      <c r="R38" s="761"/>
      <c r="S38" s="761"/>
      <c r="T38" s="761"/>
      <c r="U38" s="761"/>
      <c r="V38" s="761"/>
      <c r="W38" s="761"/>
      <c r="X38" s="761"/>
      <c r="Y38" s="761"/>
      <c r="Z38" s="761"/>
      <c r="AA38" s="761"/>
      <c r="AB38" s="761"/>
      <c r="AC38" s="761"/>
      <c r="AD38" s="761"/>
      <c r="AE38" s="761"/>
      <c r="AF38" s="761"/>
      <c r="AG38" s="761"/>
      <c r="AH38" s="761"/>
      <c r="AI38" s="761"/>
      <c r="AJ38" s="761"/>
      <c r="AK38" s="761"/>
      <c r="AL38" s="761"/>
      <c r="AM38" s="761"/>
      <c r="AN38" s="761"/>
      <c r="AO38" s="761"/>
      <c r="AP38" s="761"/>
      <c r="AQ38" s="761"/>
      <c r="AR38" s="761"/>
      <c r="AS38" s="761"/>
      <c r="AT38" s="761"/>
      <c r="AU38" s="761"/>
      <c r="AV38" s="761"/>
      <c r="AW38" s="761"/>
      <c r="AX38" s="761"/>
      <c r="AY38" s="761"/>
      <c r="AZ38" s="761"/>
      <c r="BA38" s="761"/>
      <c r="BB38" s="761"/>
      <c r="BC38" s="761"/>
      <c r="BD38" s="761"/>
      <c r="BE38" s="761"/>
      <c r="BF38" s="761"/>
      <c r="BG38" s="761"/>
      <c r="BH38" s="761"/>
      <c r="BI38" s="761"/>
      <c r="BJ38" s="761"/>
      <c r="BK38" s="761"/>
      <c r="BL38" s="761"/>
      <c r="BM38" s="761"/>
      <c r="BN38" s="761"/>
      <c r="BO38" s="761"/>
      <c r="BP38" s="761"/>
      <c r="BQ38" s="761"/>
      <c r="BR38" s="761"/>
      <c r="BS38" s="779">
        <f t="shared" si="33"/>
        <v>220000000</v>
      </c>
      <c r="BT38" s="779">
        <v>219755901</v>
      </c>
      <c r="BU38" s="779">
        <v>218254661</v>
      </c>
      <c r="BV38" s="779">
        <v>14014304</v>
      </c>
      <c r="BW38" s="761"/>
      <c r="BX38" s="761"/>
      <c r="BY38" s="761"/>
      <c r="BZ38" s="761"/>
      <c r="CA38" s="761"/>
      <c r="CB38" s="761"/>
      <c r="CC38" s="761"/>
      <c r="CD38" s="761"/>
      <c r="CE38" s="761"/>
      <c r="CF38" s="761"/>
      <c r="CG38" s="761"/>
      <c r="CH38" s="761"/>
      <c r="CI38" s="761"/>
      <c r="CJ38" s="761"/>
      <c r="CK38" s="761"/>
      <c r="CL38" s="761"/>
      <c r="CM38" s="761"/>
      <c r="CN38" s="761"/>
      <c r="CO38" s="761"/>
      <c r="CP38" s="761"/>
      <c r="CQ38" s="761"/>
      <c r="CR38" s="761"/>
      <c r="CS38" s="761"/>
      <c r="CT38" s="761"/>
      <c r="CU38" s="1891">
        <f t="shared" si="25"/>
        <v>220000000</v>
      </c>
      <c r="CV38" s="1891">
        <f t="shared" si="26"/>
        <v>219755901</v>
      </c>
      <c r="CW38" s="1891">
        <f t="shared" si="27"/>
        <v>218254661</v>
      </c>
      <c r="CX38" s="1891">
        <f t="shared" si="28"/>
        <v>14014304</v>
      </c>
      <c r="CY38" s="1892">
        <v>9409183</v>
      </c>
      <c r="CZ38" s="1893">
        <v>3493144</v>
      </c>
      <c r="DA38" s="1894">
        <v>3388672</v>
      </c>
      <c r="DB38" s="816">
        <f t="shared" si="30"/>
        <v>210346718</v>
      </c>
      <c r="DC38" s="816">
        <f t="shared" si="30"/>
        <v>214761517</v>
      </c>
      <c r="DD38" s="816">
        <f t="shared" si="30"/>
        <v>10625632</v>
      </c>
    </row>
    <row r="39" spans="1:108" ht="63">
      <c r="A39" s="772" t="s">
        <v>1367</v>
      </c>
      <c r="B39" s="759">
        <v>400000000</v>
      </c>
      <c r="C39" s="760"/>
      <c r="D39" s="760"/>
      <c r="E39" s="760"/>
      <c r="F39" s="760"/>
      <c r="G39" s="777"/>
      <c r="H39" s="777"/>
      <c r="I39" s="777"/>
      <c r="J39" s="777"/>
      <c r="K39" s="777"/>
      <c r="L39" s="777"/>
      <c r="M39" s="777"/>
      <c r="N39" s="777"/>
      <c r="O39" s="777"/>
      <c r="P39" s="777"/>
      <c r="Q39" s="777"/>
      <c r="R39" s="777"/>
      <c r="S39" s="777"/>
      <c r="T39" s="777"/>
      <c r="U39" s="777"/>
      <c r="V39" s="777"/>
      <c r="W39" s="761"/>
      <c r="X39" s="761"/>
      <c r="Y39" s="761"/>
      <c r="Z39" s="761"/>
      <c r="AA39" s="761"/>
      <c r="AB39" s="761"/>
      <c r="AC39" s="761"/>
      <c r="AD39" s="761"/>
      <c r="AE39" s="761"/>
      <c r="AF39" s="761"/>
      <c r="AG39" s="761"/>
      <c r="AH39" s="761"/>
      <c r="AI39" s="761"/>
      <c r="AJ39" s="761"/>
      <c r="AK39" s="761"/>
      <c r="AL39" s="761"/>
      <c r="AM39" s="761"/>
      <c r="AN39" s="761"/>
      <c r="AO39" s="761"/>
      <c r="AP39" s="761"/>
      <c r="AQ39" s="761"/>
      <c r="AR39" s="761"/>
      <c r="AS39" s="761"/>
      <c r="AT39" s="761"/>
      <c r="AU39" s="761"/>
      <c r="AV39" s="761"/>
      <c r="AW39" s="761"/>
      <c r="AX39" s="761"/>
      <c r="AY39" s="761"/>
      <c r="AZ39" s="761"/>
      <c r="BA39" s="761"/>
      <c r="BB39" s="761"/>
      <c r="BC39" s="761"/>
      <c r="BD39" s="761"/>
      <c r="BE39" s="761"/>
      <c r="BF39" s="761"/>
      <c r="BG39" s="761"/>
      <c r="BH39" s="761"/>
      <c r="BI39" s="761"/>
      <c r="BJ39" s="761"/>
      <c r="BK39" s="761"/>
      <c r="BL39" s="761"/>
      <c r="BM39" s="761"/>
      <c r="BN39" s="761"/>
      <c r="BO39" s="761"/>
      <c r="BP39" s="761"/>
      <c r="BQ39" s="761"/>
      <c r="BR39" s="761"/>
      <c r="BS39" s="779">
        <f t="shared" si="33"/>
        <v>400000000</v>
      </c>
      <c r="BT39" s="779">
        <v>399556707</v>
      </c>
      <c r="BU39" s="779">
        <v>397014364</v>
      </c>
      <c r="BV39" s="779">
        <v>316326884</v>
      </c>
      <c r="BW39" s="761"/>
      <c r="BX39" s="761"/>
      <c r="BY39" s="761"/>
      <c r="BZ39" s="761"/>
      <c r="CA39" s="761"/>
      <c r="CB39" s="761"/>
      <c r="CC39" s="761"/>
      <c r="CD39" s="761"/>
      <c r="CE39" s="761"/>
      <c r="CF39" s="761"/>
      <c r="CG39" s="761"/>
      <c r="CH39" s="761"/>
      <c r="CI39" s="761"/>
      <c r="CJ39" s="761"/>
      <c r="CK39" s="761"/>
      <c r="CL39" s="761"/>
      <c r="CM39" s="761"/>
      <c r="CN39" s="761"/>
      <c r="CO39" s="761"/>
      <c r="CP39" s="761"/>
      <c r="CQ39" s="761"/>
      <c r="CR39" s="761"/>
      <c r="CS39" s="761"/>
      <c r="CT39" s="761"/>
      <c r="CU39" s="1891">
        <f t="shared" si="25"/>
        <v>400000000</v>
      </c>
      <c r="CV39" s="1891">
        <f t="shared" si="26"/>
        <v>399556707</v>
      </c>
      <c r="CW39" s="1891">
        <f t="shared" si="27"/>
        <v>397014364</v>
      </c>
      <c r="CX39" s="1891">
        <f t="shared" si="28"/>
        <v>316326884</v>
      </c>
      <c r="CY39" s="1892">
        <v>17087433</v>
      </c>
      <c r="CZ39" s="1893">
        <v>6343681</v>
      </c>
      <c r="DA39" s="1894">
        <v>6153956</v>
      </c>
      <c r="DB39" s="816">
        <f t="shared" si="30"/>
        <v>382469274</v>
      </c>
      <c r="DC39" s="816">
        <f t="shared" si="30"/>
        <v>390670683</v>
      </c>
      <c r="DD39" s="816">
        <f t="shared" si="30"/>
        <v>310172928</v>
      </c>
    </row>
    <row r="40" spans="1:108" s="765" customFormat="1" ht="94.5">
      <c r="A40" s="772" t="s">
        <v>958</v>
      </c>
      <c r="B40" s="759">
        <v>150000000</v>
      </c>
      <c r="C40" s="764"/>
      <c r="D40" s="764"/>
      <c r="E40" s="764"/>
      <c r="F40" s="764"/>
      <c r="G40" s="764"/>
      <c r="H40" s="764"/>
      <c r="I40" s="764"/>
      <c r="J40" s="764"/>
      <c r="K40" s="764"/>
      <c r="L40" s="764"/>
      <c r="M40" s="764"/>
      <c r="N40" s="764"/>
      <c r="O40" s="764"/>
      <c r="P40" s="764"/>
      <c r="Q40" s="764"/>
      <c r="R40" s="764"/>
      <c r="S40" s="764"/>
      <c r="T40" s="764"/>
      <c r="U40" s="764"/>
      <c r="V40" s="764"/>
      <c r="W40" s="764"/>
      <c r="X40" s="764"/>
      <c r="Y40" s="764"/>
      <c r="Z40" s="764"/>
      <c r="AA40" s="764"/>
      <c r="AB40" s="764"/>
      <c r="AC40" s="764"/>
      <c r="AD40" s="764"/>
      <c r="AE40" s="764"/>
      <c r="AF40" s="764"/>
      <c r="AG40" s="764"/>
      <c r="AH40" s="764"/>
      <c r="AI40" s="764"/>
      <c r="AJ40" s="764"/>
      <c r="AK40" s="764"/>
      <c r="AL40" s="764"/>
      <c r="AM40" s="764"/>
      <c r="AN40" s="764"/>
      <c r="AO40" s="764"/>
      <c r="AP40" s="764"/>
      <c r="AQ40" s="764"/>
      <c r="AR40" s="764"/>
      <c r="AS40" s="764"/>
      <c r="AT40" s="764"/>
      <c r="AU40" s="764"/>
      <c r="AV40" s="764"/>
      <c r="AW40" s="764"/>
      <c r="AX40" s="764"/>
      <c r="AY40" s="764"/>
      <c r="AZ40" s="764"/>
      <c r="BA40" s="764"/>
      <c r="BB40" s="764"/>
      <c r="BC40" s="764"/>
      <c r="BD40" s="764"/>
      <c r="BE40" s="764"/>
      <c r="BF40" s="764"/>
      <c r="BG40" s="764"/>
      <c r="BH40" s="764"/>
      <c r="BI40" s="764"/>
      <c r="BJ40" s="764"/>
      <c r="BK40" s="764"/>
      <c r="BL40" s="764"/>
      <c r="BM40" s="764"/>
      <c r="BN40" s="764"/>
      <c r="BO40" s="764"/>
      <c r="BP40" s="764"/>
      <c r="BQ40" s="764"/>
      <c r="BR40" s="764"/>
      <c r="BS40" s="779">
        <f t="shared" si="33"/>
        <v>150000000</v>
      </c>
      <c r="BT40" s="779">
        <v>133603254</v>
      </c>
      <c r="BU40" s="779">
        <v>126914145</v>
      </c>
      <c r="BV40" s="779">
        <v>117181580</v>
      </c>
      <c r="BW40" s="764"/>
      <c r="BX40" s="764"/>
      <c r="BY40" s="764"/>
      <c r="BZ40" s="764"/>
      <c r="CA40" s="764"/>
      <c r="CB40" s="764"/>
      <c r="CC40" s="764"/>
      <c r="CD40" s="764"/>
      <c r="CE40" s="764"/>
      <c r="CF40" s="764"/>
      <c r="CG40" s="764"/>
      <c r="CH40" s="764"/>
      <c r="CI40" s="764"/>
      <c r="CJ40" s="764"/>
      <c r="CK40" s="764"/>
      <c r="CL40" s="764"/>
      <c r="CM40" s="764"/>
      <c r="CN40" s="764"/>
      <c r="CO40" s="764"/>
      <c r="CP40" s="764"/>
      <c r="CQ40" s="764"/>
      <c r="CR40" s="764"/>
      <c r="CS40" s="764"/>
      <c r="CT40" s="764"/>
      <c r="CU40" s="1891">
        <f t="shared" si="25"/>
        <v>150000000</v>
      </c>
      <c r="CV40" s="1891">
        <f t="shared" si="26"/>
        <v>133603254</v>
      </c>
      <c r="CW40" s="1891">
        <f t="shared" si="27"/>
        <v>126914145</v>
      </c>
      <c r="CX40" s="1891">
        <f t="shared" si="28"/>
        <v>117181580</v>
      </c>
      <c r="CY40" s="1892">
        <v>111935528</v>
      </c>
      <c r="CZ40" s="1893">
        <v>2389179</v>
      </c>
      <c r="DA40" s="1894">
        <v>2317724</v>
      </c>
      <c r="DB40" s="816">
        <f t="shared" si="30"/>
        <v>21667726</v>
      </c>
      <c r="DC40" s="816">
        <f t="shared" si="30"/>
        <v>124524966</v>
      </c>
      <c r="DD40" s="816">
        <f t="shared" si="30"/>
        <v>114863856</v>
      </c>
    </row>
    <row r="41" spans="1:108" s="765" customFormat="1" ht="110.25">
      <c r="A41" s="772" t="s">
        <v>1368</v>
      </c>
      <c r="B41" s="759">
        <v>400000000</v>
      </c>
      <c r="C41" s="764"/>
      <c r="D41" s="764"/>
      <c r="E41" s="764"/>
      <c r="F41" s="764"/>
      <c r="G41" s="764"/>
      <c r="H41" s="764"/>
      <c r="I41" s="764"/>
      <c r="J41" s="764"/>
      <c r="K41" s="764"/>
      <c r="L41" s="764"/>
      <c r="M41" s="764"/>
      <c r="N41" s="764"/>
      <c r="O41" s="764"/>
      <c r="P41" s="764"/>
      <c r="Q41" s="764"/>
      <c r="R41" s="764"/>
      <c r="S41" s="764"/>
      <c r="T41" s="764"/>
      <c r="U41" s="764"/>
      <c r="V41" s="764"/>
      <c r="W41" s="764"/>
      <c r="X41" s="764"/>
      <c r="Y41" s="764"/>
      <c r="Z41" s="764"/>
      <c r="AA41" s="764"/>
      <c r="AB41" s="764"/>
      <c r="AC41" s="764"/>
      <c r="AD41" s="764"/>
      <c r="AE41" s="764"/>
      <c r="AF41" s="764"/>
      <c r="AG41" s="764"/>
      <c r="AH41" s="764"/>
      <c r="AI41" s="764"/>
      <c r="AJ41" s="764"/>
      <c r="AK41" s="764"/>
      <c r="AL41" s="764"/>
      <c r="AM41" s="764"/>
      <c r="AN41" s="764"/>
      <c r="AO41" s="764"/>
      <c r="AP41" s="764"/>
      <c r="AQ41" s="764"/>
      <c r="AR41" s="764"/>
      <c r="AS41" s="764"/>
      <c r="AT41" s="764"/>
      <c r="AU41" s="764"/>
      <c r="AV41" s="764"/>
      <c r="AW41" s="764"/>
      <c r="AX41" s="764"/>
      <c r="AY41" s="764"/>
      <c r="AZ41" s="764"/>
      <c r="BA41" s="764"/>
      <c r="BB41" s="764"/>
      <c r="BC41" s="764"/>
      <c r="BD41" s="764"/>
      <c r="BE41" s="764"/>
      <c r="BF41" s="764"/>
      <c r="BG41" s="764"/>
      <c r="BH41" s="764"/>
      <c r="BI41" s="764"/>
      <c r="BJ41" s="764"/>
      <c r="BK41" s="764"/>
      <c r="BL41" s="764"/>
      <c r="BM41" s="764"/>
      <c r="BN41" s="764"/>
      <c r="BO41" s="764"/>
      <c r="BP41" s="764"/>
      <c r="BQ41" s="764"/>
      <c r="BR41" s="764"/>
      <c r="BS41" s="779">
        <f t="shared" si="33"/>
        <v>400000000</v>
      </c>
      <c r="BT41" s="779">
        <v>399556712</v>
      </c>
      <c r="BU41" s="779">
        <v>397014419</v>
      </c>
      <c r="BV41" s="779">
        <v>200128744</v>
      </c>
      <c r="BW41" s="764"/>
      <c r="BX41" s="764"/>
      <c r="BY41" s="764"/>
      <c r="BZ41" s="764"/>
      <c r="CA41" s="764"/>
      <c r="CB41" s="764"/>
      <c r="CC41" s="764"/>
      <c r="CD41" s="764"/>
      <c r="CE41" s="764"/>
      <c r="CF41" s="764"/>
      <c r="CG41" s="764"/>
      <c r="CH41" s="764"/>
      <c r="CI41" s="764"/>
      <c r="CJ41" s="764"/>
      <c r="CK41" s="764"/>
      <c r="CL41" s="764"/>
      <c r="CM41" s="764"/>
      <c r="CN41" s="764"/>
      <c r="CO41" s="764"/>
      <c r="CP41" s="764"/>
      <c r="CQ41" s="764"/>
      <c r="CR41" s="764"/>
      <c r="CS41" s="764"/>
      <c r="CT41" s="764"/>
      <c r="CU41" s="1891">
        <f t="shared" si="25"/>
        <v>400000000</v>
      </c>
      <c r="CV41" s="1891">
        <f t="shared" si="26"/>
        <v>399556712</v>
      </c>
      <c r="CW41" s="1891">
        <f t="shared" si="27"/>
        <v>397014419</v>
      </c>
      <c r="CX41" s="1891">
        <f t="shared" si="28"/>
        <v>200128744</v>
      </c>
      <c r="CY41" s="1892">
        <v>27087433</v>
      </c>
      <c r="CZ41" s="1893">
        <v>3172595</v>
      </c>
      <c r="DA41" s="1894">
        <v>2982870</v>
      </c>
      <c r="DB41" s="816">
        <f t="shared" si="30"/>
        <v>372469279</v>
      </c>
      <c r="DC41" s="816">
        <f t="shared" si="30"/>
        <v>393841824</v>
      </c>
      <c r="DD41" s="816">
        <f t="shared" si="30"/>
        <v>197145874</v>
      </c>
    </row>
    <row r="42" spans="1:108" s="765" customFormat="1" ht="110.25">
      <c r="A42" s="772" t="s">
        <v>556</v>
      </c>
      <c r="B42" s="759">
        <v>650000000</v>
      </c>
      <c r="C42" s="764"/>
      <c r="D42" s="764"/>
      <c r="E42" s="764"/>
      <c r="F42" s="764"/>
      <c r="G42" s="764"/>
      <c r="H42" s="764"/>
      <c r="I42" s="764"/>
      <c r="J42" s="764"/>
      <c r="K42" s="764"/>
      <c r="L42" s="764"/>
      <c r="M42" s="764"/>
      <c r="N42" s="764"/>
      <c r="O42" s="764"/>
      <c r="P42" s="764"/>
      <c r="Q42" s="764"/>
      <c r="R42" s="764"/>
      <c r="S42" s="764"/>
      <c r="T42" s="764"/>
      <c r="U42" s="764"/>
      <c r="V42" s="764"/>
      <c r="W42" s="764"/>
      <c r="X42" s="764"/>
      <c r="Y42" s="764"/>
      <c r="Z42" s="764"/>
      <c r="AA42" s="764"/>
      <c r="AB42" s="764"/>
      <c r="AC42" s="764"/>
      <c r="AD42" s="764"/>
      <c r="AE42" s="764"/>
      <c r="AF42" s="764"/>
      <c r="AG42" s="764"/>
      <c r="AH42" s="764"/>
      <c r="AI42" s="764"/>
      <c r="AJ42" s="764"/>
      <c r="AK42" s="764"/>
      <c r="AL42" s="764"/>
      <c r="AM42" s="764"/>
      <c r="AN42" s="764"/>
      <c r="AO42" s="764"/>
      <c r="AP42" s="764"/>
      <c r="AQ42" s="764"/>
      <c r="AR42" s="764"/>
      <c r="AS42" s="764"/>
      <c r="AT42" s="764"/>
      <c r="AU42" s="764"/>
      <c r="AV42" s="764"/>
      <c r="AW42" s="764"/>
      <c r="AX42" s="764"/>
      <c r="AY42" s="764"/>
      <c r="AZ42" s="764"/>
      <c r="BA42" s="764"/>
      <c r="BB42" s="764"/>
      <c r="BC42" s="764"/>
      <c r="BD42" s="764"/>
      <c r="BE42" s="764"/>
      <c r="BF42" s="764"/>
      <c r="BG42" s="764"/>
      <c r="BH42" s="764"/>
      <c r="BI42" s="764"/>
      <c r="BJ42" s="764"/>
      <c r="BK42" s="764"/>
      <c r="BL42" s="764"/>
      <c r="BM42" s="764"/>
      <c r="BN42" s="764"/>
      <c r="BO42" s="764"/>
      <c r="BP42" s="764"/>
      <c r="BQ42" s="764"/>
      <c r="BR42" s="764"/>
      <c r="BS42" s="779">
        <f t="shared" si="33"/>
        <v>650000000</v>
      </c>
      <c r="BT42" s="779">
        <v>649663517</v>
      </c>
      <c r="BU42" s="779">
        <v>648648936</v>
      </c>
      <c r="BV42" s="779">
        <v>622575794</v>
      </c>
      <c r="BW42" s="764"/>
      <c r="BX42" s="764"/>
      <c r="BY42" s="764"/>
      <c r="BZ42" s="764"/>
      <c r="CA42" s="764"/>
      <c r="CB42" s="764"/>
      <c r="CC42" s="764"/>
      <c r="CD42" s="764"/>
      <c r="CE42" s="764"/>
      <c r="CF42" s="764"/>
      <c r="CG42" s="764"/>
      <c r="CH42" s="764"/>
      <c r="CI42" s="764"/>
      <c r="CJ42" s="764"/>
      <c r="CK42" s="764"/>
      <c r="CL42" s="764"/>
      <c r="CM42" s="764"/>
      <c r="CN42" s="764"/>
      <c r="CO42" s="764"/>
      <c r="CP42" s="764"/>
      <c r="CQ42" s="764"/>
      <c r="CR42" s="764"/>
      <c r="CS42" s="764"/>
      <c r="CT42" s="764"/>
      <c r="CU42" s="1891">
        <f t="shared" si="25"/>
        <v>650000000</v>
      </c>
      <c r="CV42" s="1891">
        <f t="shared" si="26"/>
        <v>649663517</v>
      </c>
      <c r="CW42" s="1891">
        <f t="shared" si="27"/>
        <v>648648936</v>
      </c>
      <c r="CX42" s="1891">
        <f t="shared" si="28"/>
        <v>622575794</v>
      </c>
      <c r="CY42" s="1892">
        <v>35239342</v>
      </c>
      <c r="CZ42" s="1893">
        <v>10298184</v>
      </c>
      <c r="DA42" s="1894">
        <v>9990188</v>
      </c>
      <c r="DB42" s="816">
        <f t="shared" si="30"/>
        <v>614424175</v>
      </c>
      <c r="DC42" s="816">
        <f t="shared" si="30"/>
        <v>638350752</v>
      </c>
      <c r="DD42" s="816">
        <f t="shared" si="30"/>
        <v>612585606</v>
      </c>
    </row>
    <row r="43" spans="1:108" ht="63">
      <c r="A43" s="772" t="s">
        <v>959</v>
      </c>
      <c r="B43" s="759">
        <v>100000000</v>
      </c>
      <c r="C43" s="760"/>
      <c r="D43" s="760"/>
      <c r="E43" s="760"/>
      <c r="F43" s="760"/>
      <c r="G43" s="760"/>
      <c r="H43" s="760"/>
      <c r="I43" s="760"/>
      <c r="J43" s="760"/>
      <c r="K43" s="760"/>
      <c r="L43" s="760"/>
      <c r="M43" s="760"/>
      <c r="N43" s="760"/>
      <c r="O43" s="760"/>
      <c r="P43" s="760"/>
      <c r="Q43" s="760"/>
      <c r="R43" s="760"/>
      <c r="S43" s="760"/>
      <c r="T43" s="760"/>
      <c r="U43" s="760"/>
      <c r="V43" s="760"/>
      <c r="W43" s="761"/>
      <c r="X43" s="761"/>
      <c r="Y43" s="761"/>
      <c r="Z43" s="761"/>
      <c r="AA43" s="761"/>
      <c r="AB43" s="761"/>
      <c r="AC43" s="761"/>
      <c r="AD43" s="761"/>
      <c r="AE43" s="761"/>
      <c r="AF43" s="761"/>
      <c r="AG43" s="761"/>
      <c r="AH43" s="761"/>
      <c r="AI43" s="761"/>
      <c r="AJ43" s="761"/>
      <c r="AK43" s="761"/>
      <c r="AL43" s="761"/>
      <c r="AM43" s="761"/>
      <c r="AN43" s="761"/>
      <c r="AO43" s="761"/>
      <c r="AP43" s="761"/>
      <c r="AQ43" s="761"/>
      <c r="AR43" s="761"/>
      <c r="AS43" s="761"/>
      <c r="AT43" s="761"/>
      <c r="AU43" s="761"/>
      <c r="AV43" s="761"/>
      <c r="AW43" s="761"/>
      <c r="AX43" s="761"/>
      <c r="AY43" s="761"/>
      <c r="AZ43" s="761"/>
      <c r="BA43" s="761"/>
      <c r="BB43" s="761"/>
      <c r="BC43" s="761"/>
      <c r="BD43" s="761"/>
      <c r="BE43" s="761"/>
      <c r="BF43" s="761"/>
      <c r="BG43" s="761"/>
      <c r="BH43" s="761"/>
      <c r="BI43" s="761"/>
      <c r="BJ43" s="761"/>
      <c r="BK43" s="761"/>
      <c r="BL43" s="761"/>
      <c r="BM43" s="761"/>
      <c r="BN43" s="761"/>
      <c r="BO43" s="761"/>
      <c r="BP43" s="761"/>
      <c r="BQ43" s="761"/>
      <c r="BR43" s="761"/>
      <c r="BS43" s="779">
        <f t="shared" si="33"/>
        <v>100000000</v>
      </c>
      <c r="BT43" s="779">
        <v>99611316</v>
      </c>
      <c r="BU43" s="779">
        <v>97397324</v>
      </c>
      <c r="BV43" s="779">
        <v>95204970</v>
      </c>
      <c r="BW43" s="761"/>
      <c r="BX43" s="761"/>
      <c r="BY43" s="761"/>
      <c r="BZ43" s="761"/>
      <c r="CA43" s="761"/>
      <c r="CB43" s="761"/>
      <c r="CC43" s="761"/>
      <c r="CD43" s="761"/>
      <c r="CE43" s="761"/>
      <c r="CF43" s="761"/>
      <c r="CG43" s="761"/>
      <c r="CH43" s="761"/>
      <c r="CI43" s="761"/>
      <c r="CJ43" s="761"/>
      <c r="CK43" s="761"/>
      <c r="CL43" s="761"/>
      <c r="CM43" s="761"/>
      <c r="CN43" s="761"/>
      <c r="CO43" s="761"/>
      <c r="CP43" s="761"/>
      <c r="CQ43" s="761"/>
      <c r="CR43" s="761"/>
      <c r="CS43" s="761"/>
      <c r="CT43" s="761"/>
      <c r="CU43" s="1891">
        <f t="shared" si="25"/>
        <v>100000000</v>
      </c>
      <c r="CV43" s="1891">
        <f t="shared" si="26"/>
        <v>99611316</v>
      </c>
      <c r="CW43" s="1891">
        <f t="shared" si="27"/>
        <v>97397324</v>
      </c>
      <c r="CX43" s="1891">
        <f t="shared" si="28"/>
        <v>95204970</v>
      </c>
      <c r="CY43" s="1892">
        <v>76723762</v>
      </c>
      <c r="CZ43" s="1893">
        <v>54044801</v>
      </c>
      <c r="DA43" s="1894">
        <v>53997493</v>
      </c>
      <c r="DB43" s="816">
        <f t="shared" si="30"/>
        <v>22887554</v>
      </c>
      <c r="DC43" s="816">
        <f t="shared" si="30"/>
        <v>43352523</v>
      </c>
      <c r="DD43" s="816">
        <f t="shared" si="30"/>
        <v>41207477</v>
      </c>
    </row>
    <row r="44" spans="1:108" s="765" customFormat="1" ht="94.5">
      <c r="A44" s="772" t="s">
        <v>1369</v>
      </c>
      <c r="B44" s="759">
        <v>350000000</v>
      </c>
      <c r="C44" s="764"/>
      <c r="D44" s="764"/>
      <c r="E44" s="764"/>
      <c r="F44" s="764"/>
      <c r="G44" s="764"/>
      <c r="H44" s="764"/>
      <c r="I44" s="764"/>
      <c r="J44" s="764"/>
      <c r="K44" s="764"/>
      <c r="L44" s="764"/>
      <c r="M44" s="764"/>
      <c r="N44" s="764"/>
      <c r="O44" s="764"/>
      <c r="P44" s="764"/>
      <c r="Q44" s="764"/>
      <c r="R44" s="764"/>
      <c r="S44" s="764"/>
      <c r="T44" s="764"/>
      <c r="U44" s="764"/>
      <c r="V44" s="764"/>
      <c r="W44" s="764"/>
      <c r="X44" s="764"/>
      <c r="Y44" s="764"/>
      <c r="Z44" s="764"/>
      <c r="AA44" s="764"/>
      <c r="AB44" s="764"/>
      <c r="AC44" s="764"/>
      <c r="AD44" s="764"/>
      <c r="AE44" s="764"/>
      <c r="AF44" s="764"/>
      <c r="AG44" s="764"/>
      <c r="AH44" s="764"/>
      <c r="AI44" s="764"/>
      <c r="AJ44" s="764"/>
      <c r="AK44" s="764"/>
      <c r="AL44" s="764"/>
      <c r="AM44" s="764"/>
      <c r="AN44" s="764"/>
      <c r="AO44" s="764"/>
      <c r="AP44" s="764"/>
      <c r="AQ44" s="764"/>
      <c r="AR44" s="764"/>
      <c r="AS44" s="764"/>
      <c r="AT44" s="764"/>
      <c r="AU44" s="764"/>
      <c r="AV44" s="764"/>
      <c r="AW44" s="764"/>
      <c r="AX44" s="764"/>
      <c r="AY44" s="764"/>
      <c r="AZ44" s="764"/>
      <c r="BA44" s="764"/>
      <c r="BB44" s="764"/>
      <c r="BC44" s="764"/>
      <c r="BD44" s="764"/>
      <c r="BE44" s="764"/>
      <c r="BF44" s="764"/>
      <c r="BG44" s="764"/>
      <c r="BH44" s="764"/>
      <c r="BI44" s="764"/>
      <c r="BJ44" s="764"/>
      <c r="BK44" s="764"/>
      <c r="BL44" s="764"/>
      <c r="BM44" s="764"/>
      <c r="BN44" s="764"/>
      <c r="BO44" s="764"/>
      <c r="BP44" s="764"/>
      <c r="BQ44" s="764"/>
      <c r="BR44" s="764"/>
      <c r="BS44" s="779">
        <f t="shared" si="33"/>
        <v>350000000</v>
      </c>
      <c r="BT44" s="779">
        <v>349413380</v>
      </c>
      <c r="BU44" s="779">
        <v>346183084</v>
      </c>
      <c r="BV44" s="779">
        <v>336252934</v>
      </c>
      <c r="BW44" s="764"/>
      <c r="BX44" s="764"/>
      <c r="BY44" s="764"/>
      <c r="BZ44" s="764"/>
      <c r="CA44" s="764"/>
      <c r="CB44" s="764"/>
      <c r="CC44" s="764"/>
      <c r="CD44" s="764"/>
      <c r="CE44" s="764"/>
      <c r="CF44" s="764"/>
      <c r="CG44" s="764"/>
      <c r="CH44" s="764"/>
      <c r="CI44" s="764"/>
      <c r="CJ44" s="764"/>
      <c r="CK44" s="764"/>
      <c r="CL44" s="764"/>
      <c r="CM44" s="764"/>
      <c r="CN44" s="764"/>
      <c r="CO44" s="764"/>
      <c r="CP44" s="764"/>
      <c r="CQ44" s="764"/>
      <c r="CR44" s="764"/>
      <c r="CS44" s="764"/>
      <c r="CT44" s="764"/>
      <c r="CU44" s="1891">
        <f t="shared" si="25"/>
        <v>350000000</v>
      </c>
      <c r="CV44" s="1891">
        <f t="shared" si="26"/>
        <v>349413380</v>
      </c>
      <c r="CW44" s="1891">
        <f t="shared" si="27"/>
        <v>346183084</v>
      </c>
      <c r="CX44" s="1891">
        <f t="shared" si="28"/>
        <v>336252934</v>
      </c>
      <c r="CY44" s="1892">
        <v>329889669</v>
      </c>
      <c r="CZ44" s="1893">
        <v>165524804</v>
      </c>
      <c r="DA44" s="1894">
        <v>165359225</v>
      </c>
      <c r="DB44" s="816">
        <f t="shared" si="30"/>
        <v>19523711</v>
      </c>
      <c r="DC44" s="816">
        <f t="shared" si="30"/>
        <v>180658280</v>
      </c>
      <c r="DD44" s="816">
        <f t="shared" si="30"/>
        <v>170893709</v>
      </c>
    </row>
    <row r="45" spans="1:108" ht="94.5">
      <c r="A45" s="772" t="s">
        <v>1370</v>
      </c>
      <c r="B45" s="767">
        <v>428000000</v>
      </c>
      <c r="C45" s="760"/>
      <c r="D45" s="760"/>
      <c r="E45" s="760"/>
      <c r="F45" s="760"/>
      <c r="G45" s="760"/>
      <c r="H45" s="760"/>
      <c r="I45" s="760"/>
      <c r="J45" s="760"/>
      <c r="K45" s="760"/>
      <c r="L45" s="760"/>
      <c r="M45" s="760"/>
      <c r="N45" s="760"/>
      <c r="O45" s="760"/>
      <c r="P45" s="760"/>
      <c r="Q45" s="760"/>
      <c r="R45" s="760"/>
      <c r="S45" s="760"/>
      <c r="T45" s="760"/>
      <c r="U45" s="760"/>
      <c r="V45" s="760"/>
      <c r="W45" s="761"/>
      <c r="X45" s="761"/>
      <c r="Y45" s="761"/>
      <c r="Z45" s="761"/>
      <c r="AA45" s="761"/>
      <c r="AB45" s="761"/>
      <c r="AC45" s="761"/>
      <c r="AD45" s="761"/>
      <c r="AE45" s="761"/>
      <c r="AF45" s="761"/>
      <c r="AG45" s="761"/>
      <c r="AH45" s="761"/>
      <c r="AI45" s="761"/>
      <c r="AJ45" s="761"/>
      <c r="AK45" s="761"/>
      <c r="AL45" s="761"/>
      <c r="AM45" s="761"/>
      <c r="AN45" s="761"/>
      <c r="AO45" s="761"/>
      <c r="AP45" s="761"/>
      <c r="AQ45" s="761"/>
      <c r="AR45" s="761"/>
      <c r="AS45" s="761"/>
      <c r="AT45" s="761"/>
      <c r="AU45" s="761"/>
      <c r="AV45" s="761"/>
      <c r="AW45" s="761"/>
      <c r="AX45" s="761"/>
      <c r="AY45" s="761"/>
      <c r="AZ45" s="761"/>
      <c r="BA45" s="761"/>
      <c r="BB45" s="761"/>
      <c r="BC45" s="761"/>
      <c r="BD45" s="761"/>
      <c r="BE45" s="761"/>
      <c r="BF45" s="761"/>
      <c r="BG45" s="761"/>
      <c r="BH45" s="761"/>
      <c r="BI45" s="761"/>
      <c r="BJ45" s="761"/>
      <c r="BK45" s="761"/>
      <c r="BL45" s="761"/>
      <c r="BM45" s="761"/>
      <c r="BN45" s="761"/>
      <c r="BO45" s="761"/>
      <c r="BP45" s="761"/>
      <c r="BQ45" s="761"/>
      <c r="BR45" s="761"/>
      <c r="BS45" s="779">
        <v>428000000</v>
      </c>
      <c r="BT45" s="779">
        <v>425207843</v>
      </c>
      <c r="BU45" s="779">
        <v>422120093</v>
      </c>
      <c r="BV45" s="779">
        <v>95299023</v>
      </c>
      <c r="BW45" s="761"/>
      <c r="BX45" s="761"/>
      <c r="BY45" s="761"/>
      <c r="BZ45" s="761"/>
      <c r="CA45" s="761"/>
      <c r="CB45" s="761"/>
      <c r="CC45" s="761"/>
      <c r="CD45" s="761"/>
      <c r="CE45" s="761"/>
      <c r="CF45" s="761"/>
      <c r="CG45" s="761"/>
      <c r="CH45" s="761"/>
      <c r="CI45" s="761"/>
      <c r="CJ45" s="761"/>
      <c r="CK45" s="761"/>
      <c r="CL45" s="761"/>
      <c r="CM45" s="761"/>
      <c r="CN45" s="761"/>
      <c r="CO45" s="761"/>
      <c r="CP45" s="761"/>
      <c r="CQ45" s="761"/>
      <c r="CR45" s="761"/>
      <c r="CS45" s="761"/>
      <c r="CT45" s="761"/>
      <c r="CU45" s="1891">
        <f t="shared" si="25"/>
        <v>428000000</v>
      </c>
      <c r="CV45" s="1891">
        <f t="shared" si="26"/>
        <v>425207843</v>
      </c>
      <c r="CW45" s="1891">
        <f t="shared" si="27"/>
        <v>422120093</v>
      </c>
      <c r="CX45" s="1891">
        <f t="shared" si="28"/>
        <v>95299023</v>
      </c>
      <c r="CY45" s="1892">
        <v>76139870</v>
      </c>
      <c r="CZ45" s="1893">
        <v>61033308</v>
      </c>
      <c r="DA45" s="1894">
        <v>60848477</v>
      </c>
      <c r="DB45" s="816">
        <f t="shared" si="30"/>
        <v>349067973</v>
      </c>
      <c r="DC45" s="816">
        <f t="shared" si="30"/>
        <v>361086785</v>
      </c>
      <c r="DD45" s="816">
        <f t="shared" si="30"/>
        <v>34450546</v>
      </c>
    </row>
    <row r="46" spans="1:108" s="765" customFormat="1" ht="63">
      <c r="A46" s="772" t="s">
        <v>1371</v>
      </c>
      <c r="B46" s="1909">
        <v>67300000</v>
      </c>
      <c r="C46" s="764"/>
      <c r="D46" s="764"/>
      <c r="E46" s="764"/>
      <c r="F46" s="764"/>
      <c r="G46" s="764"/>
      <c r="H46" s="764"/>
      <c r="I46" s="764"/>
      <c r="J46" s="764"/>
      <c r="K46" s="764"/>
      <c r="L46" s="764"/>
      <c r="M46" s="764"/>
      <c r="N46" s="764"/>
      <c r="O46" s="764"/>
      <c r="P46" s="764"/>
      <c r="Q46" s="764"/>
      <c r="R46" s="764"/>
      <c r="S46" s="764"/>
      <c r="T46" s="764"/>
      <c r="U46" s="764"/>
      <c r="V46" s="764"/>
      <c r="W46" s="764"/>
      <c r="X46" s="764"/>
      <c r="Y46" s="764"/>
      <c r="Z46" s="764"/>
      <c r="AA46" s="764"/>
      <c r="AB46" s="764"/>
      <c r="AC46" s="764"/>
      <c r="AD46" s="764"/>
      <c r="AE46" s="764"/>
      <c r="AF46" s="764"/>
      <c r="AG46" s="764"/>
      <c r="AH46" s="764"/>
      <c r="AI46" s="764"/>
      <c r="AJ46" s="764"/>
      <c r="AK46" s="764"/>
      <c r="AL46" s="764"/>
      <c r="AM46" s="764"/>
      <c r="AN46" s="764"/>
      <c r="AO46" s="764"/>
      <c r="AP46" s="764"/>
      <c r="AQ46" s="764"/>
      <c r="AR46" s="764"/>
      <c r="AS46" s="764"/>
      <c r="AT46" s="764"/>
      <c r="AU46" s="764"/>
      <c r="AV46" s="764"/>
      <c r="AW46" s="764"/>
      <c r="AX46" s="764"/>
      <c r="AY46" s="764"/>
      <c r="AZ46" s="764"/>
      <c r="BA46" s="764"/>
      <c r="BB46" s="764"/>
      <c r="BC46" s="764"/>
      <c r="BD46" s="764"/>
      <c r="BE46" s="764"/>
      <c r="BF46" s="764"/>
      <c r="BG46" s="764"/>
      <c r="BH46" s="764"/>
      <c r="BI46" s="764"/>
      <c r="BJ46" s="764"/>
      <c r="BK46" s="764"/>
      <c r="BL46" s="764"/>
      <c r="BM46" s="764"/>
      <c r="BN46" s="764"/>
      <c r="BO46" s="764"/>
      <c r="BP46" s="764"/>
      <c r="BQ46" s="764"/>
      <c r="BR46" s="764"/>
      <c r="BS46" s="780">
        <f t="shared" si="33"/>
        <v>67300000</v>
      </c>
      <c r="BT46" s="781">
        <v>66525102</v>
      </c>
      <c r="BU46" s="781">
        <v>63484848</v>
      </c>
      <c r="BV46" s="781">
        <v>42614548</v>
      </c>
      <c r="BW46" s="764"/>
      <c r="BX46" s="764"/>
      <c r="BY46" s="764"/>
      <c r="BZ46" s="764"/>
      <c r="CA46" s="764"/>
      <c r="CB46" s="764"/>
      <c r="CC46" s="764"/>
      <c r="CD46" s="764"/>
      <c r="CE46" s="764"/>
      <c r="CF46" s="764"/>
      <c r="CG46" s="764"/>
      <c r="CH46" s="764"/>
      <c r="CI46" s="764"/>
      <c r="CJ46" s="764"/>
      <c r="CK46" s="764"/>
      <c r="CL46" s="764"/>
      <c r="CM46" s="764"/>
      <c r="CN46" s="764"/>
      <c r="CO46" s="764"/>
      <c r="CP46" s="764"/>
      <c r="CQ46" s="764"/>
      <c r="CR46" s="764"/>
      <c r="CS46" s="764"/>
      <c r="CT46" s="764"/>
      <c r="CU46" s="1891">
        <f t="shared" si="25"/>
        <v>67300000</v>
      </c>
      <c r="CV46" s="1891">
        <f t="shared" si="26"/>
        <v>66525102</v>
      </c>
      <c r="CW46" s="1891">
        <f t="shared" si="27"/>
        <v>63484848</v>
      </c>
      <c r="CX46" s="1891">
        <f t="shared" si="28"/>
        <v>42614548</v>
      </c>
      <c r="CY46" s="1892">
        <v>29869723</v>
      </c>
      <c r="CZ46" s="1893">
        <v>11089084</v>
      </c>
      <c r="DA46" s="1894">
        <v>10757434</v>
      </c>
      <c r="DB46" s="816">
        <f t="shared" si="30"/>
        <v>36655379</v>
      </c>
      <c r="DC46" s="816">
        <f t="shared" si="30"/>
        <v>52395764</v>
      </c>
      <c r="DD46" s="816">
        <f t="shared" si="30"/>
        <v>31857114</v>
      </c>
    </row>
    <row r="47" spans="1:108" s="765" customFormat="1" ht="63">
      <c r="A47" s="772" t="s">
        <v>563</v>
      </c>
      <c r="B47" s="759">
        <v>350000000</v>
      </c>
      <c r="C47" s="764"/>
      <c r="D47" s="764"/>
      <c r="E47" s="764"/>
      <c r="F47" s="764"/>
      <c r="G47" s="764"/>
      <c r="H47" s="764"/>
      <c r="I47" s="764"/>
      <c r="J47" s="764"/>
      <c r="K47" s="764"/>
      <c r="L47" s="764"/>
      <c r="M47" s="764"/>
      <c r="N47" s="764"/>
      <c r="O47" s="764"/>
      <c r="P47" s="764"/>
      <c r="Q47" s="764"/>
      <c r="R47" s="764"/>
      <c r="S47" s="764"/>
      <c r="T47" s="764"/>
      <c r="U47" s="764"/>
      <c r="V47" s="764"/>
      <c r="W47" s="764"/>
      <c r="X47" s="764"/>
      <c r="Y47" s="764"/>
      <c r="Z47" s="764"/>
      <c r="AA47" s="764"/>
      <c r="AB47" s="764"/>
      <c r="AC47" s="764"/>
      <c r="AD47" s="764"/>
      <c r="AE47" s="764"/>
      <c r="AF47" s="764"/>
      <c r="AG47" s="764"/>
      <c r="AH47" s="764"/>
      <c r="AI47" s="764"/>
      <c r="AJ47" s="764"/>
      <c r="AK47" s="764"/>
      <c r="AL47" s="764"/>
      <c r="AM47" s="764"/>
      <c r="AN47" s="764"/>
      <c r="AO47" s="764"/>
      <c r="AP47" s="764"/>
      <c r="AQ47" s="764"/>
      <c r="AR47" s="764"/>
      <c r="AS47" s="764"/>
      <c r="AT47" s="764"/>
      <c r="AU47" s="764"/>
      <c r="AV47" s="764"/>
      <c r="AW47" s="764"/>
      <c r="AX47" s="764"/>
      <c r="AY47" s="764"/>
      <c r="AZ47" s="764"/>
      <c r="BA47" s="764"/>
      <c r="BB47" s="764"/>
      <c r="BC47" s="764"/>
      <c r="BD47" s="764"/>
      <c r="BE47" s="764"/>
      <c r="BF47" s="764"/>
      <c r="BG47" s="764"/>
      <c r="BH47" s="764"/>
      <c r="BI47" s="764"/>
      <c r="BJ47" s="764"/>
      <c r="BK47" s="764"/>
      <c r="BL47" s="764"/>
      <c r="BM47" s="764"/>
      <c r="BN47" s="764"/>
      <c r="BO47" s="764"/>
      <c r="BP47" s="764"/>
      <c r="BQ47" s="764"/>
      <c r="BR47" s="764"/>
      <c r="BS47" s="779">
        <f t="shared" si="33"/>
        <v>350000000</v>
      </c>
      <c r="BT47" s="779">
        <v>349613127</v>
      </c>
      <c r="BU47" s="779">
        <v>347348899</v>
      </c>
      <c r="BV47" s="779">
        <v>330975397</v>
      </c>
      <c r="BW47" s="764"/>
      <c r="BX47" s="764"/>
      <c r="BY47" s="764"/>
      <c r="BZ47" s="764"/>
      <c r="CA47" s="764"/>
      <c r="CB47" s="764"/>
      <c r="CC47" s="764"/>
      <c r="CD47" s="764"/>
      <c r="CE47" s="764"/>
      <c r="CF47" s="764"/>
      <c r="CG47" s="764"/>
      <c r="CH47" s="764"/>
      <c r="CI47" s="764"/>
      <c r="CJ47" s="764"/>
      <c r="CK47" s="764"/>
      <c r="CL47" s="764"/>
      <c r="CM47" s="764"/>
      <c r="CN47" s="764"/>
      <c r="CO47" s="764"/>
      <c r="CP47" s="764"/>
      <c r="CQ47" s="764"/>
      <c r="CR47" s="764"/>
      <c r="CS47" s="764"/>
      <c r="CT47" s="764"/>
      <c r="CU47" s="1891">
        <f t="shared" si="25"/>
        <v>350000000</v>
      </c>
      <c r="CV47" s="1891">
        <f t="shared" si="26"/>
        <v>349613127</v>
      </c>
      <c r="CW47" s="1891">
        <f t="shared" si="27"/>
        <v>347348899</v>
      </c>
      <c r="CX47" s="1891">
        <f t="shared" si="28"/>
        <v>330975397</v>
      </c>
      <c r="CY47" s="1892">
        <v>14912669</v>
      </c>
      <c r="CZ47" s="1893">
        <v>5536304</v>
      </c>
      <c r="DA47" s="1894">
        <v>5370725</v>
      </c>
      <c r="DB47" s="816">
        <f t="shared" si="30"/>
        <v>334700458</v>
      </c>
      <c r="DC47" s="816">
        <f t="shared" si="30"/>
        <v>341812595</v>
      </c>
      <c r="DD47" s="816">
        <f t="shared" si="30"/>
        <v>325604672</v>
      </c>
    </row>
    <row r="48" spans="1:108" s="765" customFormat="1" ht="189">
      <c r="A48" s="772" t="s">
        <v>1372</v>
      </c>
      <c r="B48" s="759">
        <v>350000000</v>
      </c>
      <c r="C48" s="764"/>
      <c r="D48" s="764"/>
      <c r="E48" s="764"/>
      <c r="F48" s="764"/>
      <c r="G48" s="764"/>
      <c r="H48" s="764"/>
      <c r="I48" s="764"/>
      <c r="J48" s="764"/>
      <c r="K48" s="764"/>
      <c r="L48" s="764"/>
      <c r="M48" s="764"/>
      <c r="N48" s="764"/>
      <c r="O48" s="764"/>
      <c r="P48" s="764"/>
      <c r="Q48" s="764"/>
      <c r="R48" s="764"/>
      <c r="S48" s="764"/>
      <c r="T48" s="764"/>
      <c r="U48" s="764"/>
      <c r="V48" s="764"/>
      <c r="W48" s="764"/>
      <c r="X48" s="764"/>
      <c r="Y48" s="764"/>
      <c r="Z48" s="764"/>
      <c r="AA48" s="764"/>
      <c r="AB48" s="764"/>
      <c r="AC48" s="764"/>
      <c r="AD48" s="764"/>
      <c r="AE48" s="764"/>
      <c r="AF48" s="764"/>
      <c r="AG48" s="764"/>
      <c r="AH48" s="764"/>
      <c r="AI48" s="764"/>
      <c r="AJ48" s="764"/>
      <c r="AK48" s="764"/>
      <c r="AL48" s="764"/>
      <c r="AM48" s="764"/>
      <c r="AN48" s="764"/>
      <c r="AO48" s="764"/>
      <c r="AP48" s="764"/>
      <c r="AQ48" s="764"/>
      <c r="AR48" s="764"/>
      <c r="AS48" s="764"/>
      <c r="AT48" s="764"/>
      <c r="AU48" s="764"/>
      <c r="AV48" s="764"/>
      <c r="AW48" s="764"/>
      <c r="AX48" s="764"/>
      <c r="AY48" s="764"/>
      <c r="AZ48" s="764"/>
      <c r="BA48" s="764"/>
      <c r="BB48" s="764"/>
      <c r="BC48" s="764"/>
      <c r="BD48" s="764"/>
      <c r="BE48" s="764"/>
      <c r="BF48" s="764"/>
      <c r="BG48" s="764"/>
      <c r="BH48" s="764"/>
      <c r="BI48" s="764"/>
      <c r="BJ48" s="764"/>
      <c r="BK48" s="764"/>
      <c r="BL48" s="764"/>
      <c r="BM48" s="764"/>
      <c r="BN48" s="764"/>
      <c r="BO48" s="764"/>
      <c r="BP48" s="764"/>
      <c r="BQ48" s="764"/>
      <c r="BR48" s="764"/>
      <c r="BS48" s="779">
        <f t="shared" si="33"/>
        <v>350000000</v>
      </c>
      <c r="BT48" s="779">
        <v>349613127</v>
      </c>
      <c r="BU48" s="779">
        <v>347050299</v>
      </c>
      <c r="BV48" s="779">
        <v>337376797</v>
      </c>
      <c r="BW48" s="764"/>
      <c r="BX48" s="764"/>
      <c r="BY48" s="764"/>
      <c r="BZ48" s="764"/>
      <c r="CA48" s="764"/>
      <c r="CB48" s="764"/>
      <c r="CC48" s="764"/>
      <c r="CD48" s="764"/>
      <c r="CE48" s="764"/>
      <c r="CF48" s="764"/>
      <c r="CG48" s="764"/>
      <c r="CH48" s="764"/>
      <c r="CI48" s="764"/>
      <c r="CJ48" s="764"/>
      <c r="CK48" s="764"/>
      <c r="CL48" s="764"/>
      <c r="CM48" s="764"/>
      <c r="CN48" s="764"/>
      <c r="CO48" s="764"/>
      <c r="CP48" s="764"/>
      <c r="CQ48" s="764"/>
      <c r="CR48" s="764"/>
      <c r="CS48" s="764"/>
      <c r="CT48" s="764"/>
      <c r="CU48" s="1891">
        <f t="shared" si="25"/>
        <v>350000000</v>
      </c>
      <c r="CV48" s="1891">
        <f t="shared" si="26"/>
        <v>349613127</v>
      </c>
      <c r="CW48" s="1891">
        <f t="shared" si="27"/>
        <v>347050299</v>
      </c>
      <c r="CX48" s="1891">
        <f t="shared" si="28"/>
        <v>337376797</v>
      </c>
      <c r="CY48" s="1892">
        <v>331312669</v>
      </c>
      <c r="CZ48" s="1893">
        <v>299332304</v>
      </c>
      <c r="DA48" s="1894">
        <v>299166725</v>
      </c>
      <c r="DB48" s="816">
        <f t="shared" si="30"/>
        <v>18300458</v>
      </c>
      <c r="DC48" s="816">
        <f t="shared" si="30"/>
        <v>47717995</v>
      </c>
      <c r="DD48" s="816">
        <f t="shared" si="30"/>
        <v>38210072</v>
      </c>
    </row>
    <row r="49" spans="1:108" s="765" customFormat="1" ht="220.5">
      <c r="A49" s="772" t="s">
        <v>1373</v>
      </c>
      <c r="B49" s="759">
        <v>300000000</v>
      </c>
      <c r="C49" s="764"/>
      <c r="D49" s="764"/>
      <c r="E49" s="764"/>
      <c r="F49" s="764"/>
      <c r="G49" s="764"/>
      <c r="H49" s="764"/>
      <c r="I49" s="764"/>
      <c r="J49" s="764"/>
      <c r="K49" s="764"/>
      <c r="L49" s="764"/>
      <c r="M49" s="764"/>
      <c r="N49" s="764"/>
      <c r="O49" s="764"/>
      <c r="P49" s="764"/>
      <c r="Q49" s="764"/>
      <c r="R49" s="764"/>
      <c r="S49" s="764"/>
      <c r="T49" s="764"/>
      <c r="U49" s="764"/>
      <c r="V49" s="764"/>
      <c r="W49" s="764"/>
      <c r="X49" s="764"/>
      <c r="Y49" s="764"/>
      <c r="Z49" s="764"/>
      <c r="AA49" s="764"/>
      <c r="AB49" s="764"/>
      <c r="AC49" s="764"/>
      <c r="AD49" s="764"/>
      <c r="AE49" s="764"/>
      <c r="AF49" s="764"/>
      <c r="AG49" s="764"/>
      <c r="AH49" s="764"/>
      <c r="AI49" s="764"/>
      <c r="AJ49" s="764"/>
      <c r="AK49" s="764"/>
      <c r="AL49" s="764"/>
      <c r="AM49" s="764"/>
      <c r="AN49" s="764"/>
      <c r="AO49" s="764"/>
      <c r="AP49" s="764"/>
      <c r="AQ49" s="764"/>
      <c r="AR49" s="764"/>
      <c r="AS49" s="764"/>
      <c r="AT49" s="764"/>
      <c r="AU49" s="764"/>
      <c r="AV49" s="764"/>
      <c r="AW49" s="764"/>
      <c r="AX49" s="764"/>
      <c r="AY49" s="764"/>
      <c r="AZ49" s="764"/>
      <c r="BA49" s="764"/>
      <c r="BB49" s="764"/>
      <c r="BC49" s="764"/>
      <c r="BD49" s="764"/>
      <c r="BE49" s="764"/>
      <c r="BF49" s="764"/>
      <c r="BG49" s="764"/>
      <c r="BH49" s="764"/>
      <c r="BI49" s="764"/>
      <c r="BJ49" s="764"/>
      <c r="BK49" s="764"/>
      <c r="BL49" s="764"/>
      <c r="BM49" s="764"/>
      <c r="BN49" s="764"/>
      <c r="BO49" s="764"/>
      <c r="BP49" s="764"/>
      <c r="BQ49" s="764"/>
      <c r="BR49" s="764"/>
      <c r="BS49" s="779">
        <f t="shared" si="33"/>
        <v>300000000</v>
      </c>
      <c r="BT49" s="779">
        <v>299660398</v>
      </c>
      <c r="BU49" s="779">
        <v>297396474</v>
      </c>
      <c r="BV49" s="779">
        <v>289061745</v>
      </c>
      <c r="BW49" s="764"/>
      <c r="BX49" s="764"/>
      <c r="BY49" s="764"/>
      <c r="BZ49" s="764"/>
      <c r="CA49" s="764"/>
      <c r="CB49" s="764"/>
      <c r="CC49" s="764"/>
      <c r="CD49" s="764"/>
      <c r="CE49" s="764"/>
      <c r="CF49" s="764"/>
      <c r="CG49" s="764"/>
      <c r="CH49" s="764"/>
      <c r="CI49" s="764"/>
      <c r="CJ49" s="764"/>
      <c r="CK49" s="764"/>
      <c r="CL49" s="764"/>
      <c r="CM49" s="764"/>
      <c r="CN49" s="764"/>
      <c r="CO49" s="764"/>
      <c r="CP49" s="764"/>
      <c r="CQ49" s="764"/>
      <c r="CR49" s="764"/>
      <c r="CS49" s="764"/>
      <c r="CT49" s="764"/>
      <c r="CU49" s="1891">
        <f t="shared" si="25"/>
        <v>300000000</v>
      </c>
      <c r="CV49" s="1891">
        <f t="shared" si="26"/>
        <v>299660398</v>
      </c>
      <c r="CW49" s="1891">
        <f t="shared" si="27"/>
        <v>297396474</v>
      </c>
      <c r="CX49" s="1891">
        <f t="shared" si="28"/>
        <v>289061745</v>
      </c>
      <c r="CY49" s="1892">
        <v>283974576</v>
      </c>
      <c r="CZ49" s="1893">
        <v>151643400</v>
      </c>
      <c r="DA49" s="1894">
        <v>151501478</v>
      </c>
      <c r="DB49" s="816">
        <f t="shared" si="30"/>
        <v>15685822</v>
      </c>
      <c r="DC49" s="816">
        <f t="shared" si="30"/>
        <v>145753074</v>
      </c>
      <c r="DD49" s="816">
        <f t="shared" si="30"/>
        <v>137560267</v>
      </c>
    </row>
    <row r="50" spans="1:108" s="765" customFormat="1" ht="173.25">
      <c r="A50" s="772" t="s">
        <v>1374</v>
      </c>
      <c r="B50" s="759">
        <v>700000000</v>
      </c>
      <c r="C50" s="764"/>
      <c r="D50" s="764"/>
      <c r="E50" s="764"/>
      <c r="F50" s="764"/>
      <c r="G50" s="764"/>
      <c r="H50" s="764"/>
      <c r="I50" s="764"/>
      <c r="J50" s="764"/>
      <c r="K50" s="764"/>
      <c r="L50" s="764"/>
      <c r="M50" s="764"/>
      <c r="N50" s="764"/>
      <c r="O50" s="764"/>
      <c r="P50" s="764"/>
      <c r="Q50" s="764"/>
      <c r="R50" s="764"/>
      <c r="S50" s="764"/>
      <c r="T50" s="764"/>
      <c r="U50" s="764"/>
      <c r="V50" s="764"/>
      <c r="W50" s="764"/>
      <c r="X50" s="764"/>
      <c r="Y50" s="764"/>
      <c r="Z50" s="764"/>
      <c r="AA50" s="764"/>
      <c r="AB50" s="764"/>
      <c r="AC50" s="764"/>
      <c r="AD50" s="764"/>
      <c r="AE50" s="764"/>
      <c r="AF50" s="764"/>
      <c r="AG50" s="764"/>
      <c r="AH50" s="764"/>
      <c r="AI50" s="764"/>
      <c r="AJ50" s="764"/>
      <c r="AK50" s="764"/>
      <c r="AL50" s="764"/>
      <c r="AM50" s="764"/>
      <c r="AN50" s="764"/>
      <c r="AO50" s="764"/>
      <c r="AP50" s="764"/>
      <c r="AQ50" s="764"/>
      <c r="AR50" s="764"/>
      <c r="AS50" s="764"/>
      <c r="AT50" s="764"/>
      <c r="AU50" s="764"/>
      <c r="AV50" s="764"/>
      <c r="AW50" s="764"/>
      <c r="AX50" s="764"/>
      <c r="AY50" s="764"/>
      <c r="AZ50" s="764"/>
      <c r="BA50" s="764"/>
      <c r="BB50" s="764"/>
      <c r="BC50" s="764"/>
      <c r="BD50" s="764"/>
      <c r="BE50" s="764"/>
      <c r="BF50" s="764"/>
      <c r="BG50" s="764"/>
      <c r="BH50" s="764"/>
      <c r="BI50" s="764"/>
      <c r="BJ50" s="764"/>
      <c r="BK50" s="764"/>
      <c r="BL50" s="764"/>
      <c r="BM50" s="764"/>
      <c r="BN50" s="764"/>
      <c r="BO50" s="764"/>
      <c r="BP50" s="764"/>
      <c r="BQ50" s="764"/>
      <c r="BR50" s="764"/>
      <c r="BS50" s="779">
        <f t="shared" si="33"/>
        <v>700000000</v>
      </c>
      <c r="BT50" s="779">
        <v>699225102</v>
      </c>
      <c r="BU50" s="779">
        <v>665935670</v>
      </c>
      <c r="BV50" s="779">
        <v>561359246</v>
      </c>
      <c r="BW50" s="764"/>
      <c r="BX50" s="764"/>
      <c r="BY50" s="764"/>
      <c r="BZ50" s="764"/>
      <c r="CA50" s="764"/>
      <c r="CB50" s="764"/>
      <c r="CC50" s="764"/>
      <c r="CD50" s="764"/>
      <c r="CE50" s="764"/>
      <c r="CF50" s="764"/>
      <c r="CG50" s="764"/>
      <c r="CH50" s="764"/>
      <c r="CI50" s="764"/>
      <c r="CJ50" s="764"/>
      <c r="CK50" s="764"/>
      <c r="CL50" s="764"/>
      <c r="CM50" s="764"/>
      <c r="CN50" s="764"/>
      <c r="CO50" s="764"/>
      <c r="CP50" s="764"/>
      <c r="CQ50" s="764"/>
      <c r="CR50" s="764"/>
      <c r="CS50" s="764"/>
      <c r="CT50" s="764"/>
      <c r="CU50" s="1891">
        <f t="shared" si="25"/>
        <v>700000000</v>
      </c>
      <c r="CV50" s="1891">
        <f t="shared" si="26"/>
        <v>699225102</v>
      </c>
      <c r="CW50" s="1891">
        <f t="shared" si="27"/>
        <v>665935670</v>
      </c>
      <c r="CX50" s="1891">
        <f t="shared" si="28"/>
        <v>561359246</v>
      </c>
      <c r="CY50" s="1892">
        <v>29869723</v>
      </c>
      <c r="CZ50" s="1893">
        <v>11089084</v>
      </c>
      <c r="DA50" s="1894">
        <v>10757434</v>
      </c>
      <c r="DB50" s="816">
        <f t="shared" si="30"/>
        <v>669355379</v>
      </c>
      <c r="DC50" s="816">
        <f t="shared" si="30"/>
        <v>654846586</v>
      </c>
      <c r="DD50" s="816">
        <f t="shared" si="30"/>
        <v>550601812</v>
      </c>
    </row>
    <row r="51" spans="1:108" s="765" customFormat="1" ht="94.5">
      <c r="A51" s="772" t="s">
        <v>569</v>
      </c>
      <c r="B51" s="759">
        <v>175000000</v>
      </c>
      <c r="C51" s="764"/>
      <c r="D51" s="764"/>
      <c r="E51" s="764"/>
      <c r="F51" s="764"/>
      <c r="G51" s="764"/>
      <c r="H51" s="764"/>
      <c r="I51" s="764"/>
      <c r="J51" s="764"/>
      <c r="K51" s="764"/>
      <c r="L51" s="764"/>
      <c r="M51" s="764"/>
      <c r="N51" s="764"/>
      <c r="O51" s="764"/>
      <c r="P51" s="764"/>
      <c r="Q51" s="764"/>
      <c r="R51" s="764"/>
      <c r="S51" s="764"/>
      <c r="T51" s="764"/>
      <c r="U51" s="764"/>
      <c r="V51" s="764"/>
      <c r="W51" s="764"/>
      <c r="X51" s="764"/>
      <c r="Y51" s="764"/>
      <c r="Z51" s="764"/>
      <c r="AA51" s="764"/>
      <c r="AB51" s="764"/>
      <c r="AC51" s="764"/>
      <c r="AD51" s="764"/>
      <c r="AE51" s="764"/>
      <c r="AF51" s="764"/>
      <c r="AG51" s="764"/>
      <c r="AH51" s="764"/>
      <c r="AI51" s="764"/>
      <c r="AJ51" s="764"/>
      <c r="AK51" s="764"/>
      <c r="AL51" s="764"/>
      <c r="AM51" s="764"/>
      <c r="AN51" s="764"/>
      <c r="AO51" s="764"/>
      <c r="AP51" s="764"/>
      <c r="AQ51" s="764"/>
      <c r="AR51" s="764"/>
      <c r="AS51" s="764"/>
      <c r="AT51" s="764"/>
      <c r="AU51" s="764"/>
      <c r="AV51" s="764"/>
      <c r="AW51" s="764"/>
      <c r="AX51" s="764"/>
      <c r="AY51" s="764"/>
      <c r="AZ51" s="764"/>
      <c r="BA51" s="764"/>
      <c r="BB51" s="764"/>
      <c r="BC51" s="764"/>
      <c r="BD51" s="764"/>
      <c r="BE51" s="764"/>
      <c r="BF51" s="764"/>
      <c r="BG51" s="764"/>
      <c r="BH51" s="764"/>
      <c r="BI51" s="764"/>
      <c r="BJ51" s="764"/>
      <c r="BK51" s="764"/>
      <c r="BL51" s="764"/>
      <c r="BM51" s="764"/>
      <c r="BN51" s="764"/>
      <c r="BO51" s="764"/>
      <c r="BP51" s="764"/>
      <c r="BQ51" s="764"/>
      <c r="BR51" s="764"/>
      <c r="BS51" s="779">
        <f t="shared" si="33"/>
        <v>175000000</v>
      </c>
      <c r="BT51" s="779">
        <v>174806563</v>
      </c>
      <c r="BU51" s="779">
        <v>113799978</v>
      </c>
      <c r="BV51" s="779">
        <v>109070242</v>
      </c>
      <c r="BW51" s="764"/>
      <c r="BX51" s="764"/>
      <c r="BY51" s="764"/>
      <c r="BZ51" s="764"/>
      <c r="CA51" s="764"/>
      <c r="CB51" s="764"/>
      <c r="CC51" s="764"/>
      <c r="CD51" s="764"/>
      <c r="CE51" s="764"/>
      <c r="CF51" s="764"/>
      <c r="CG51" s="764"/>
      <c r="CH51" s="764"/>
      <c r="CI51" s="764"/>
      <c r="CJ51" s="764"/>
      <c r="CK51" s="764"/>
      <c r="CL51" s="764"/>
      <c r="CM51" s="764"/>
      <c r="CN51" s="764"/>
      <c r="CO51" s="764"/>
      <c r="CP51" s="764"/>
      <c r="CQ51" s="764"/>
      <c r="CR51" s="764"/>
      <c r="CS51" s="764"/>
      <c r="CT51" s="764"/>
      <c r="CU51" s="1891">
        <f t="shared" si="25"/>
        <v>175000000</v>
      </c>
      <c r="CV51" s="1891">
        <f t="shared" si="26"/>
        <v>174806563</v>
      </c>
      <c r="CW51" s="1891">
        <f t="shared" si="27"/>
        <v>113799978</v>
      </c>
      <c r="CX51" s="1891">
        <f t="shared" si="28"/>
        <v>109070242</v>
      </c>
      <c r="CY51" s="1892">
        <v>7456336</v>
      </c>
      <c r="CZ51" s="1893">
        <v>2768151</v>
      </c>
      <c r="DA51" s="1894">
        <v>2685362</v>
      </c>
      <c r="DB51" s="816">
        <f t="shared" si="30"/>
        <v>167350227</v>
      </c>
      <c r="DC51" s="816">
        <f t="shared" si="30"/>
        <v>111031827</v>
      </c>
      <c r="DD51" s="816">
        <f t="shared" si="30"/>
        <v>106384880</v>
      </c>
    </row>
    <row r="52" spans="1:108" s="765" customFormat="1" ht="94.5">
      <c r="A52" s="772" t="s">
        <v>960</v>
      </c>
      <c r="B52" s="1909">
        <v>310000000</v>
      </c>
      <c r="C52" s="764"/>
      <c r="D52" s="764"/>
      <c r="E52" s="764"/>
      <c r="F52" s="764"/>
      <c r="G52" s="764"/>
      <c r="H52" s="764"/>
      <c r="I52" s="764"/>
      <c r="J52" s="764"/>
      <c r="K52" s="764"/>
      <c r="L52" s="764"/>
      <c r="M52" s="764"/>
      <c r="N52" s="764"/>
      <c r="O52" s="764"/>
      <c r="P52" s="764"/>
      <c r="Q52" s="764"/>
      <c r="R52" s="764"/>
      <c r="S52" s="764"/>
      <c r="T52" s="764"/>
      <c r="U52" s="764"/>
      <c r="V52" s="764"/>
      <c r="W52" s="764"/>
      <c r="X52" s="764"/>
      <c r="Y52" s="764"/>
      <c r="Z52" s="764"/>
      <c r="AA52" s="764"/>
      <c r="AB52" s="764"/>
      <c r="AC52" s="764"/>
      <c r="AD52" s="764"/>
      <c r="AE52" s="764"/>
      <c r="AF52" s="764"/>
      <c r="AG52" s="764"/>
      <c r="AH52" s="764"/>
      <c r="AI52" s="764"/>
      <c r="AJ52" s="764"/>
      <c r="AK52" s="764"/>
      <c r="AL52" s="764"/>
      <c r="AM52" s="764"/>
      <c r="AN52" s="764"/>
      <c r="AO52" s="764"/>
      <c r="AP52" s="764"/>
      <c r="AQ52" s="764"/>
      <c r="AR52" s="764"/>
      <c r="AS52" s="764"/>
      <c r="AT52" s="764"/>
      <c r="AU52" s="764"/>
      <c r="AV52" s="764"/>
      <c r="AW52" s="764"/>
      <c r="AX52" s="764"/>
      <c r="AY52" s="764"/>
      <c r="AZ52" s="764"/>
      <c r="BA52" s="764"/>
      <c r="BB52" s="764"/>
      <c r="BC52" s="764"/>
      <c r="BD52" s="764"/>
      <c r="BE52" s="764"/>
      <c r="BF52" s="764"/>
      <c r="BG52" s="764"/>
      <c r="BH52" s="764"/>
      <c r="BI52" s="764"/>
      <c r="BJ52" s="764"/>
      <c r="BK52" s="764"/>
      <c r="BL52" s="764"/>
      <c r="BM52" s="764"/>
      <c r="BN52" s="764"/>
      <c r="BO52" s="764"/>
      <c r="BP52" s="764"/>
      <c r="BQ52" s="764"/>
      <c r="BR52" s="764"/>
      <c r="BS52" s="779">
        <v>310000000</v>
      </c>
      <c r="BT52" s="779">
        <v>309778927</v>
      </c>
      <c r="BU52" s="779">
        <v>308203832</v>
      </c>
      <c r="BV52" s="779">
        <v>294912984</v>
      </c>
      <c r="BW52" s="764"/>
      <c r="BX52" s="764"/>
      <c r="BY52" s="764"/>
      <c r="BZ52" s="764"/>
      <c r="CA52" s="764"/>
      <c r="CB52" s="764"/>
      <c r="CC52" s="764"/>
      <c r="CD52" s="764"/>
      <c r="CE52" s="764"/>
      <c r="CF52" s="764"/>
      <c r="CG52" s="764"/>
      <c r="CH52" s="764"/>
      <c r="CI52" s="764"/>
      <c r="CJ52" s="764"/>
      <c r="CK52" s="764"/>
      <c r="CL52" s="764"/>
      <c r="CM52" s="764"/>
      <c r="CN52" s="764"/>
      <c r="CO52" s="764"/>
      <c r="CP52" s="764"/>
      <c r="CQ52" s="764"/>
      <c r="CR52" s="764"/>
      <c r="CS52" s="764"/>
      <c r="CT52" s="764"/>
      <c r="CU52" s="1891">
        <f t="shared" si="25"/>
        <v>310000000</v>
      </c>
      <c r="CV52" s="1891">
        <f t="shared" si="26"/>
        <v>309778927</v>
      </c>
      <c r="CW52" s="1891">
        <f t="shared" si="27"/>
        <v>308203832</v>
      </c>
      <c r="CX52" s="1891">
        <f t="shared" si="28"/>
        <v>294912984</v>
      </c>
      <c r="CY52" s="1892">
        <v>49321527</v>
      </c>
      <c r="CZ52" s="1893">
        <v>3163602</v>
      </c>
      <c r="DA52" s="1894">
        <v>3068986</v>
      </c>
      <c r="DB52" s="816">
        <f t="shared" si="30"/>
        <v>260457400</v>
      </c>
      <c r="DC52" s="816">
        <f t="shared" si="30"/>
        <v>305040230</v>
      </c>
      <c r="DD52" s="816">
        <f t="shared" si="30"/>
        <v>291843998</v>
      </c>
    </row>
    <row r="53" spans="1:108" s="765" customFormat="1" ht="189">
      <c r="A53" s="772" t="s">
        <v>961</v>
      </c>
      <c r="B53" s="1909">
        <v>15000000</v>
      </c>
      <c r="C53" s="764"/>
      <c r="D53" s="764"/>
      <c r="E53" s="764"/>
      <c r="F53" s="764"/>
      <c r="G53" s="764"/>
      <c r="H53" s="764"/>
      <c r="I53" s="764"/>
      <c r="J53" s="764"/>
      <c r="K53" s="764"/>
      <c r="L53" s="764"/>
      <c r="M53" s="764"/>
      <c r="N53" s="764"/>
      <c r="O53" s="764"/>
      <c r="P53" s="764"/>
      <c r="Q53" s="764"/>
      <c r="R53" s="764"/>
      <c r="S53" s="764"/>
      <c r="T53" s="764"/>
      <c r="U53" s="764"/>
      <c r="V53" s="764"/>
      <c r="W53" s="764"/>
      <c r="X53" s="764"/>
      <c r="Y53" s="764"/>
      <c r="Z53" s="764"/>
      <c r="AA53" s="764"/>
      <c r="AB53" s="764"/>
      <c r="AC53" s="764"/>
      <c r="AD53" s="764"/>
      <c r="AE53" s="764"/>
      <c r="AF53" s="764"/>
      <c r="AG53" s="764"/>
      <c r="AH53" s="764"/>
      <c r="AI53" s="764"/>
      <c r="AJ53" s="764"/>
      <c r="AK53" s="764"/>
      <c r="AL53" s="764"/>
      <c r="AM53" s="764"/>
      <c r="AN53" s="764"/>
      <c r="AO53" s="764"/>
      <c r="AP53" s="764"/>
      <c r="AQ53" s="764"/>
      <c r="AR53" s="764"/>
      <c r="AS53" s="764"/>
      <c r="AT53" s="764"/>
      <c r="AU53" s="764"/>
      <c r="AV53" s="764"/>
      <c r="AW53" s="764"/>
      <c r="AX53" s="764"/>
      <c r="AY53" s="764"/>
      <c r="AZ53" s="764"/>
      <c r="BA53" s="764"/>
      <c r="BB53" s="764"/>
      <c r="BC53" s="764"/>
      <c r="BD53" s="764"/>
      <c r="BE53" s="764"/>
      <c r="BF53" s="764"/>
      <c r="BG53" s="764"/>
      <c r="BH53" s="764"/>
      <c r="BI53" s="764"/>
      <c r="BJ53" s="764"/>
      <c r="BK53" s="764"/>
      <c r="BL53" s="764"/>
      <c r="BM53" s="764"/>
      <c r="BN53" s="764"/>
      <c r="BO53" s="764"/>
      <c r="BP53" s="764"/>
      <c r="BQ53" s="764"/>
      <c r="BR53" s="764"/>
      <c r="BS53" s="779">
        <v>15000000</v>
      </c>
      <c r="BT53" s="779">
        <v>14935395</v>
      </c>
      <c r="BU53" s="779">
        <v>12546021</v>
      </c>
      <c r="BV53" s="779">
        <v>7542553</v>
      </c>
      <c r="BW53" s="764"/>
      <c r="BX53" s="764"/>
      <c r="BY53" s="764"/>
      <c r="BZ53" s="764"/>
      <c r="CA53" s="764"/>
      <c r="CB53" s="764"/>
      <c r="CC53" s="764"/>
      <c r="CD53" s="764"/>
      <c r="CE53" s="764"/>
      <c r="CF53" s="764"/>
      <c r="CG53" s="764"/>
      <c r="CH53" s="764"/>
      <c r="CI53" s="764"/>
      <c r="CJ53" s="764"/>
      <c r="CK53" s="764"/>
      <c r="CL53" s="764"/>
      <c r="CM53" s="764"/>
      <c r="CN53" s="764"/>
      <c r="CO53" s="764"/>
      <c r="CP53" s="764"/>
      <c r="CQ53" s="764"/>
      <c r="CR53" s="764"/>
      <c r="CS53" s="764"/>
      <c r="CT53" s="764"/>
      <c r="CU53" s="1891">
        <f t="shared" si="25"/>
        <v>15000000</v>
      </c>
      <c r="CV53" s="1891">
        <f t="shared" si="26"/>
        <v>14935395</v>
      </c>
      <c r="CW53" s="1891">
        <f t="shared" si="27"/>
        <v>12546021</v>
      </c>
      <c r="CX53" s="1891">
        <f t="shared" si="28"/>
        <v>7542553</v>
      </c>
      <c r="CY53" s="1892">
        <v>8325952</v>
      </c>
      <c r="CZ53" s="1893">
        <v>1977251</v>
      </c>
      <c r="DA53" s="1894">
        <v>1918116</v>
      </c>
      <c r="DB53" s="816">
        <f t="shared" si="30"/>
        <v>6609443</v>
      </c>
      <c r="DC53" s="816">
        <f t="shared" si="30"/>
        <v>10568770</v>
      </c>
      <c r="DD53" s="816">
        <f t="shared" si="30"/>
        <v>5624437</v>
      </c>
    </row>
    <row r="54" spans="1:108" ht="189">
      <c r="A54" s="782" t="s">
        <v>574</v>
      </c>
      <c r="B54" s="759">
        <v>100000000</v>
      </c>
      <c r="C54" s="760"/>
      <c r="D54" s="760"/>
      <c r="E54" s="760"/>
      <c r="F54" s="760"/>
      <c r="G54" s="760"/>
      <c r="H54" s="760"/>
      <c r="I54" s="760"/>
      <c r="J54" s="760"/>
      <c r="K54" s="760"/>
      <c r="L54" s="760"/>
      <c r="M54" s="760"/>
      <c r="N54" s="760"/>
      <c r="O54" s="760"/>
      <c r="P54" s="760"/>
      <c r="Q54" s="760"/>
      <c r="R54" s="760"/>
      <c r="S54" s="760"/>
      <c r="T54" s="760"/>
      <c r="U54" s="760"/>
      <c r="V54" s="760"/>
      <c r="W54" s="761"/>
      <c r="X54" s="761"/>
      <c r="Y54" s="761"/>
      <c r="Z54" s="761"/>
      <c r="AA54" s="761"/>
      <c r="AB54" s="761"/>
      <c r="AC54" s="761"/>
      <c r="AD54" s="761"/>
      <c r="AE54" s="761"/>
      <c r="AF54" s="761"/>
      <c r="AG54" s="761"/>
      <c r="AH54" s="761"/>
      <c r="AI54" s="761"/>
      <c r="AJ54" s="761"/>
      <c r="AK54" s="761"/>
      <c r="AL54" s="761"/>
      <c r="AM54" s="761"/>
      <c r="AN54" s="761"/>
      <c r="AO54" s="761"/>
      <c r="AP54" s="761"/>
      <c r="AQ54" s="761"/>
      <c r="AR54" s="761"/>
      <c r="AS54" s="761"/>
      <c r="AT54" s="761"/>
      <c r="AU54" s="761"/>
      <c r="AV54" s="761"/>
      <c r="AW54" s="761"/>
      <c r="AX54" s="761"/>
      <c r="AY54" s="761"/>
      <c r="AZ54" s="761"/>
      <c r="BA54" s="761"/>
      <c r="BB54" s="761"/>
      <c r="BC54" s="761"/>
      <c r="BD54" s="761"/>
      <c r="BE54" s="761"/>
      <c r="BF54" s="761"/>
      <c r="BG54" s="761"/>
      <c r="BH54" s="761"/>
      <c r="BI54" s="761"/>
      <c r="BJ54" s="761"/>
      <c r="BK54" s="761"/>
      <c r="BL54" s="761"/>
      <c r="BM54" s="761"/>
      <c r="BN54" s="761"/>
      <c r="BO54" s="761"/>
      <c r="BP54" s="761"/>
      <c r="BQ54" s="761"/>
      <c r="BR54" s="761"/>
      <c r="BS54" s="779">
        <f t="shared" si="33"/>
        <v>100000000</v>
      </c>
      <c r="BT54" s="779">
        <v>99948316</v>
      </c>
      <c r="BU54" s="779">
        <v>98385673</v>
      </c>
      <c r="BV54" s="779">
        <v>96193319</v>
      </c>
      <c r="BW54" s="761"/>
      <c r="BX54" s="761"/>
      <c r="BY54" s="761"/>
      <c r="BZ54" s="761"/>
      <c r="CA54" s="761"/>
      <c r="CB54" s="761"/>
      <c r="CC54" s="761"/>
      <c r="CD54" s="761"/>
      <c r="CE54" s="761"/>
      <c r="CF54" s="761"/>
      <c r="CG54" s="761"/>
      <c r="CH54" s="761"/>
      <c r="CI54" s="761"/>
      <c r="CJ54" s="761"/>
      <c r="CK54" s="761"/>
      <c r="CL54" s="761"/>
      <c r="CM54" s="761"/>
      <c r="CN54" s="761"/>
      <c r="CO54" s="761"/>
      <c r="CP54" s="761"/>
      <c r="CQ54" s="761"/>
      <c r="CR54" s="761"/>
      <c r="CS54" s="761"/>
      <c r="CT54" s="761"/>
      <c r="CU54" s="1891">
        <f t="shared" si="25"/>
        <v>100000000</v>
      </c>
      <c r="CV54" s="1891">
        <f t="shared" si="26"/>
        <v>99948316</v>
      </c>
      <c r="CW54" s="1891">
        <f t="shared" si="27"/>
        <v>98385673</v>
      </c>
      <c r="CX54" s="1891">
        <f t="shared" si="28"/>
        <v>96193319</v>
      </c>
      <c r="CY54" s="1892">
        <v>94660762</v>
      </c>
      <c r="CZ54" s="1893">
        <v>42581801</v>
      </c>
      <c r="DA54" s="1894">
        <v>37534493</v>
      </c>
      <c r="DB54" s="816">
        <f t="shared" si="30"/>
        <v>5287554</v>
      </c>
      <c r="DC54" s="816">
        <f t="shared" si="30"/>
        <v>55803872</v>
      </c>
      <c r="DD54" s="816">
        <f t="shared" si="30"/>
        <v>58658826</v>
      </c>
    </row>
    <row r="55" spans="1:108" s="765" customFormat="1" ht="78.75">
      <c r="A55" s="772" t="s">
        <v>1375</v>
      </c>
      <c r="B55" s="759">
        <v>200000000</v>
      </c>
      <c r="C55" s="764"/>
      <c r="D55" s="764"/>
      <c r="E55" s="764"/>
      <c r="F55" s="764"/>
      <c r="G55" s="764"/>
      <c r="H55" s="764"/>
      <c r="I55" s="764"/>
      <c r="J55" s="764"/>
      <c r="K55" s="764"/>
      <c r="L55" s="764"/>
      <c r="M55" s="764"/>
      <c r="N55" s="764"/>
      <c r="O55" s="764"/>
      <c r="P55" s="764"/>
      <c r="Q55" s="764"/>
      <c r="R55" s="764"/>
      <c r="S55" s="764"/>
      <c r="T55" s="764"/>
      <c r="U55" s="764"/>
      <c r="V55" s="764"/>
      <c r="W55" s="764"/>
      <c r="X55" s="764"/>
      <c r="Y55" s="764"/>
      <c r="Z55" s="764"/>
      <c r="AA55" s="764"/>
      <c r="AB55" s="764"/>
      <c r="AC55" s="764"/>
      <c r="AD55" s="764"/>
      <c r="AE55" s="764"/>
      <c r="AF55" s="764"/>
      <c r="AG55" s="764"/>
      <c r="AH55" s="764"/>
      <c r="AI55" s="764"/>
      <c r="AJ55" s="764"/>
      <c r="AK55" s="764"/>
      <c r="AL55" s="764"/>
      <c r="AM55" s="764"/>
      <c r="AN55" s="764"/>
      <c r="AO55" s="764"/>
      <c r="AP55" s="764"/>
      <c r="AQ55" s="764"/>
      <c r="AR55" s="764"/>
      <c r="AS55" s="764"/>
      <c r="AT55" s="764"/>
      <c r="AU55" s="764"/>
      <c r="AV55" s="764"/>
      <c r="AW55" s="764"/>
      <c r="AX55" s="764"/>
      <c r="AY55" s="764"/>
      <c r="AZ55" s="764"/>
      <c r="BA55" s="764"/>
      <c r="BB55" s="764"/>
      <c r="BC55" s="764"/>
      <c r="BD55" s="764"/>
      <c r="BE55" s="764"/>
      <c r="BF55" s="764"/>
      <c r="BG55" s="764"/>
      <c r="BH55" s="764"/>
      <c r="BI55" s="764"/>
      <c r="BJ55" s="764"/>
      <c r="BK55" s="764"/>
      <c r="BL55" s="764"/>
      <c r="BM55" s="764"/>
      <c r="BN55" s="764"/>
      <c r="BO55" s="764"/>
      <c r="BP55" s="764"/>
      <c r="BQ55" s="764"/>
      <c r="BR55" s="764"/>
      <c r="BS55" s="779">
        <f t="shared" si="33"/>
        <v>200000000</v>
      </c>
      <c r="BT55" s="779">
        <v>196077931</v>
      </c>
      <c r="BU55" s="779">
        <v>167648610</v>
      </c>
      <c r="BV55" s="779">
        <v>162067207</v>
      </c>
      <c r="BW55" s="764"/>
      <c r="BX55" s="764"/>
      <c r="BY55" s="764"/>
      <c r="BZ55" s="764"/>
      <c r="CA55" s="764"/>
      <c r="CB55" s="764"/>
      <c r="CC55" s="764"/>
      <c r="CD55" s="764"/>
      <c r="CE55" s="764"/>
      <c r="CF55" s="764"/>
      <c r="CG55" s="764"/>
      <c r="CH55" s="764"/>
      <c r="CI55" s="764"/>
      <c r="CJ55" s="764"/>
      <c r="CK55" s="764"/>
      <c r="CL55" s="764"/>
      <c r="CM55" s="764"/>
      <c r="CN55" s="764"/>
      <c r="CO55" s="764"/>
      <c r="CP55" s="764"/>
      <c r="CQ55" s="764"/>
      <c r="CR55" s="764"/>
      <c r="CS55" s="764"/>
      <c r="CT55" s="764"/>
      <c r="CU55" s="1891">
        <f t="shared" si="25"/>
        <v>200000000</v>
      </c>
      <c r="CV55" s="1891">
        <f t="shared" si="26"/>
        <v>196077931</v>
      </c>
      <c r="CW55" s="1891">
        <f t="shared" si="27"/>
        <v>167648610</v>
      </c>
      <c r="CX55" s="1891">
        <f t="shared" si="28"/>
        <v>162067207</v>
      </c>
      <c r="CY55" s="1892">
        <v>8521527</v>
      </c>
      <c r="CZ55" s="1893">
        <v>3163602</v>
      </c>
      <c r="DA55" s="1894">
        <v>3068986</v>
      </c>
      <c r="DB55" s="816">
        <f t="shared" si="30"/>
        <v>187556404</v>
      </c>
      <c r="DC55" s="816">
        <f t="shared" si="30"/>
        <v>164485008</v>
      </c>
      <c r="DD55" s="816">
        <f t="shared" si="30"/>
        <v>158998221</v>
      </c>
    </row>
    <row r="56" spans="1:108" ht="78.75">
      <c r="A56" s="772" t="s">
        <v>1376</v>
      </c>
      <c r="B56" s="759">
        <v>150000000</v>
      </c>
      <c r="C56" s="760"/>
      <c r="D56" s="760"/>
      <c r="E56" s="760"/>
      <c r="F56" s="760"/>
      <c r="G56" s="760"/>
      <c r="H56" s="760"/>
      <c r="I56" s="760"/>
      <c r="J56" s="760"/>
      <c r="K56" s="760"/>
      <c r="L56" s="760"/>
      <c r="M56" s="760"/>
      <c r="N56" s="760"/>
      <c r="O56" s="760"/>
      <c r="P56" s="760"/>
      <c r="Q56" s="760"/>
      <c r="R56" s="760"/>
      <c r="S56" s="760"/>
      <c r="T56" s="760"/>
      <c r="U56" s="760"/>
      <c r="V56" s="760"/>
      <c r="W56" s="761"/>
      <c r="X56" s="761"/>
      <c r="Y56" s="761"/>
      <c r="Z56" s="761"/>
      <c r="AA56" s="761"/>
      <c r="AB56" s="761"/>
      <c r="AC56" s="761"/>
      <c r="AD56" s="761"/>
      <c r="AE56" s="761"/>
      <c r="AF56" s="761"/>
      <c r="AG56" s="761"/>
      <c r="AH56" s="761"/>
      <c r="AI56" s="761"/>
      <c r="AJ56" s="761"/>
      <c r="AK56" s="761"/>
      <c r="AL56" s="761"/>
      <c r="AM56" s="761"/>
      <c r="AN56" s="761"/>
      <c r="AO56" s="761"/>
      <c r="AP56" s="761"/>
      <c r="AQ56" s="761"/>
      <c r="AR56" s="761"/>
      <c r="AS56" s="761"/>
      <c r="AT56" s="761"/>
      <c r="AU56" s="761"/>
      <c r="AV56" s="761"/>
      <c r="AW56" s="761"/>
      <c r="AX56" s="761"/>
      <c r="AY56" s="761"/>
      <c r="AZ56" s="761"/>
      <c r="BA56" s="761"/>
      <c r="BB56" s="761"/>
      <c r="BC56" s="761"/>
      <c r="BD56" s="761"/>
      <c r="BE56" s="761"/>
      <c r="BF56" s="761"/>
      <c r="BG56" s="761"/>
      <c r="BH56" s="761"/>
      <c r="BI56" s="761"/>
      <c r="BJ56" s="761"/>
      <c r="BK56" s="761"/>
      <c r="BL56" s="761"/>
      <c r="BM56" s="761"/>
      <c r="BN56" s="761"/>
      <c r="BO56" s="761"/>
      <c r="BP56" s="761"/>
      <c r="BQ56" s="761"/>
      <c r="BR56" s="761"/>
      <c r="BS56" s="779">
        <f t="shared" si="33"/>
        <v>150000000</v>
      </c>
      <c r="BT56" s="779">
        <v>149769921</v>
      </c>
      <c r="BU56" s="779">
        <v>106044941</v>
      </c>
      <c r="BV56" s="779">
        <v>98596914</v>
      </c>
      <c r="BW56" s="761"/>
      <c r="BX56" s="761"/>
      <c r="BY56" s="761"/>
      <c r="BZ56" s="761"/>
      <c r="CA56" s="761"/>
      <c r="CB56" s="761"/>
      <c r="CC56" s="761"/>
      <c r="CD56" s="761"/>
      <c r="CE56" s="761"/>
      <c r="CF56" s="761"/>
      <c r="CG56" s="761"/>
      <c r="CH56" s="761"/>
      <c r="CI56" s="761"/>
      <c r="CJ56" s="761"/>
      <c r="CK56" s="761"/>
      <c r="CL56" s="761"/>
      <c r="CM56" s="761"/>
      <c r="CN56" s="761"/>
      <c r="CO56" s="761"/>
      <c r="CP56" s="761"/>
      <c r="CQ56" s="761"/>
      <c r="CR56" s="761"/>
      <c r="CS56" s="761"/>
      <c r="CT56" s="761"/>
      <c r="CU56" s="1891">
        <f t="shared" si="25"/>
        <v>150000000</v>
      </c>
      <c r="CV56" s="1891">
        <f t="shared" si="26"/>
        <v>149769921</v>
      </c>
      <c r="CW56" s="1891">
        <f t="shared" si="27"/>
        <v>106044941</v>
      </c>
      <c r="CX56" s="1891">
        <f t="shared" si="28"/>
        <v>98596914</v>
      </c>
      <c r="CY56" s="1892">
        <v>55035528</v>
      </c>
      <c r="CZ56" s="1893">
        <v>29389179</v>
      </c>
      <c r="DA56" s="1894">
        <v>23917724</v>
      </c>
      <c r="DB56" s="816">
        <f t="shared" si="30"/>
        <v>94734393</v>
      </c>
      <c r="DC56" s="816">
        <f t="shared" si="30"/>
        <v>76655762</v>
      </c>
      <c r="DD56" s="816">
        <f t="shared" si="30"/>
        <v>74679190</v>
      </c>
    </row>
    <row r="57" spans="1:108" ht="78.75">
      <c r="A57" s="772" t="s">
        <v>1377</v>
      </c>
      <c r="B57" s="759">
        <v>350000000</v>
      </c>
      <c r="C57" s="760"/>
      <c r="D57" s="760"/>
      <c r="E57" s="760"/>
      <c r="F57" s="760"/>
      <c r="G57" s="760"/>
      <c r="H57" s="760"/>
      <c r="I57" s="760"/>
      <c r="J57" s="760"/>
      <c r="K57" s="760"/>
      <c r="L57" s="760"/>
      <c r="M57" s="760"/>
      <c r="N57" s="760"/>
      <c r="O57" s="760"/>
      <c r="P57" s="760"/>
      <c r="Q57" s="760"/>
      <c r="R57" s="760"/>
      <c r="S57" s="760"/>
      <c r="T57" s="760"/>
      <c r="U57" s="760"/>
      <c r="V57" s="760"/>
      <c r="W57" s="761"/>
      <c r="X57" s="761"/>
      <c r="Y57" s="761"/>
      <c r="Z57" s="761"/>
      <c r="AA57" s="761"/>
      <c r="AB57" s="761"/>
      <c r="AC57" s="761"/>
      <c r="AD57" s="761"/>
      <c r="AE57" s="761"/>
      <c r="AF57" s="761"/>
      <c r="AG57" s="761"/>
      <c r="AH57" s="761"/>
      <c r="AI57" s="761"/>
      <c r="AJ57" s="761"/>
      <c r="AK57" s="761"/>
      <c r="AL57" s="761"/>
      <c r="AM57" s="761"/>
      <c r="AN57" s="761"/>
      <c r="AO57" s="761"/>
      <c r="AP57" s="761"/>
      <c r="AQ57" s="761"/>
      <c r="AR57" s="761"/>
      <c r="AS57" s="761"/>
      <c r="AT57" s="761"/>
      <c r="AU57" s="761"/>
      <c r="AV57" s="761"/>
      <c r="AW57" s="761"/>
      <c r="AX57" s="761"/>
      <c r="AY57" s="761"/>
      <c r="AZ57" s="761"/>
      <c r="BA57" s="761"/>
      <c r="BB57" s="761"/>
      <c r="BC57" s="761"/>
      <c r="BD57" s="761"/>
      <c r="BE57" s="761"/>
      <c r="BF57" s="761"/>
      <c r="BG57" s="761"/>
      <c r="BH57" s="761"/>
      <c r="BI57" s="761"/>
      <c r="BJ57" s="761"/>
      <c r="BK57" s="761"/>
      <c r="BL57" s="761"/>
      <c r="BM57" s="761"/>
      <c r="BN57" s="761"/>
      <c r="BO57" s="761"/>
      <c r="BP57" s="761"/>
      <c r="BQ57" s="761"/>
      <c r="BR57" s="761"/>
      <c r="BS57" s="779">
        <f t="shared" si="33"/>
        <v>350000000</v>
      </c>
      <c r="BT57" s="779">
        <v>347997852</v>
      </c>
      <c r="BU57" s="779">
        <v>335939372</v>
      </c>
      <c r="BV57" s="779">
        <v>310435943</v>
      </c>
      <c r="BW57" s="761"/>
      <c r="BX57" s="761"/>
      <c r="BY57" s="761"/>
      <c r="BZ57" s="761"/>
      <c r="CA57" s="761"/>
      <c r="CB57" s="761"/>
      <c r="CC57" s="761"/>
      <c r="CD57" s="761"/>
      <c r="CE57" s="761"/>
      <c r="CF57" s="761"/>
      <c r="CG57" s="761"/>
      <c r="CH57" s="761"/>
      <c r="CI57" s="761"/>
      <c r="CJ57" s="761"/>
      <c r="CK57" s="761"/>
      <c r="CL57" s="761"/>
      <c r="CM57" s="761"/>
      <c r="CN57" s="761"/>
      <c r="CO57" s="761"/>
      <c r="CP57" s="761"/>
      <c r="CQ57" s="761"/>
      <c r="CR57" s="761"/>
      <c r="CS57" s="761"/>
      <c r="CT57" s="761"/>
      <c r="CU57" s="1891">
        <f t="shared" si="25"/>
        <v>350000000</v>
      </c>
      <c r="CV57" s="1891">
        <f t="shared" si="26"/>
        <v>347997852</v>
      </c>
      <c r="CW57" s="1891">
        <f t="shared" si="27"/>
        <v>335939372</v>
      </c>
      <c r="CX57" s="1891">
        <f t="shared" si="28"/>
        <v>310435943</v>
      </c>
      <c r="CY57" s="1892">
        <v>30957052</v>
      </c>
      <c r="CZ57" s="1893">
        <v>5552780</v>
      </c>
      <c r="DA57" s="1894">
        <v>5386709</v>
      </c>
      <c r="DB57" s="816">
        <f t="shared" si="30"/>
        <v>317040800</v>
      </c>
      <c r="DC57" s="816">
        <f t="shared" si="30"/>
        <v>330386592</v>
      </c>
      <c r="DD57" s="816">
        <f t="shared" si="30"/>
        <v>305049234</v>
      </c>
    </row>
    <row r="58" spans="1:108" ht="141.75">
      <c r="A58" s="772" t="s">
        <v>1378</v>
      </c>
      <c r="B58" s="759">
        <v>150000000</v>
      </c>
      <c r="C58" s="760"/>
      <c r="D58" s="760"/>
      <c r="E58" s="760"/>
      <c r="F58" s="760"/>
      <c r="G58" s="760"/>
      <c r="H58" s="760"/>
      <c r="I58" s="760"/>
      <c r="J58" s="760"/>
      <c r="K58" s="760"/>
      <c r="L58" s="760"/>
      <c r="M58" s="760"/>
      <c r="N58" s="760"/>
      <c r="O58" s="760"/>
      <c r="P58" s="760"/>
      <c r="Q58" s="760"/>
      <c r="R58" s="760"/>
      <c r="S58" s="760"/>
      <c r="T58" s="760"/>
      <c r="U58" s="760"/>
      <c r="V58" s="760"/>
      <c r="W58" s="761"/>
      <c r="X58" s="761"/>
      <c r="Y58" s="761"/>
      <c r="Z58" s="761"/>
      <c r="AA58" s="761"/>
      <c r="AB58" s="761"/>
      <c r="AC58" s="761"/>
      <c r="AD58" s="761"/>
      <c r="AE58" s="761"/>
      <c r="AF58" s="761"/>
      <c r="AG58" s="761"/>
      <c r="AH58" s="761"/>
      <c r="AI58" s="761"/>
      <c r="AJ58" s="761"/>
      <c r="AK58" s="761"/>
      <c r="AL58" s="761"/>
      <c r="AM58" s="761"/>
      <c r="AN58" s="761"/>
      <c r="AO58" s="761"/>
      <c r="AP58" s="761"/>
      <c r="AQ58" s="761"/>
      <c r="AR58" s="761"/>
      <c r="AS58" s="761"/>
      <c r="AT58" s="761"/>
      <c r="AU58" s="761"/>
      <c r="AV58" s="761"/>
      <c r="AW58" s="761"/>
      <c r="AX58" s="761"/>
      <c r="AY58" s="761"/>
      <c r="AZ58" s="761"/>
      <c r="BA58" s="761"/>
      <c r="BB58" s="761"/>
      <c r="BC58" s="761"/>
      <c r="BD58" s="761"/>
      <c r="BE58" s="761"/>
      <c r="BF58" s="761"/>
      <c r="BG58" s="761"/>
      <c r="BH58" s="761"/>
      <c r="BI58" s="761"/>
      <c r="BJ58" s="761"/>
      <c r="BK58" s="761"/>
      <c r="BL58" s="761"/>
      <c r="BM58" s="761"/>
      <c r="BN58" s="761"/>
      <c r="BO58" s="761"/>
      <c r="BP58" s="761"/>
      <c r="BQ58" s="761"/>
      <c r="BR58" s="761"/>
      <c r="BS58" s="779">
        <f t="shared" si="33"/>
        <v>150000000</v>
      </c>
      <c r="BT58" s="779">
        <v>149833045</v>
      </c>
      <c r="BU58" s="779">
        <v>140063341</v>
      </c>
      <c r="BV58" s="779">
        <v>26467914</v>
      </c>
      <c r="BW58" s="761"/>
      <c r="BX58" s="761"/>
      <c r="BY58" s="761"/>
      <c r="BZ58" s="761"/>
      <c r="CA58" s="761"/>
      <c r="CB58" s="761"/>
      <c r="CC58" s="761"/>
      <c r="CD58" s="761"/>
      <c r="CE58" s="761"/>
      <c r="CF58" s="761"/>
      <c r="CG58" s="761"/>
      <c r="CH58" s="761"/>
      <c r="CI58" s="761"/>
      <c r="CJ58" s="761"/>
      <c r="CK58" s="761"/>
      <c r="CL58" s="761"/>
      <c r="CM58" s="761"/>
      <c r="CN58" s="761"/>
      <c r="CO58" s="761"/>
      <c r="CP58" s="761"/>
      <c r="CQ58" s="761"/>
      <c r="CR58" s="761"/>
      <c r="CS58" s="761"/>
      <c r="CT58" s="761"/>
      <c r="CU58" s="1891">
        <f t="shared" si="25"/>
        <v>150000000</v>
      </c>
      <c r="CV58" s="1891">
        <f t="shared" si="26"/>
        <v>149833045</v>
      </c>
      <c r="CW58" s="1891">
        <f t="shared" si="27"/>
        <v>140063341</v>
      </c>
      <c r="CX58" s="1891">
        <f t="shared" si="28"/>
        <v>26467914</v>
      </c>
      <c r="CY58" s="1892">
        <v>16435528</v>
      </c>
      <c r="CZ58" s="1893">
        <v>2389179</v>
      </c>
      <c r="DA58" s="1894">
        <v>2317724</v>
      </c>
      <c r="DB58" s="816">
        <f t="shared" si="30"/>
        <v>133397517</v>
      </c>
      <c r="DC58" s="816">
        <f t="shared" si="30"/>
        <v>137674162</v>
      </c>
      <c r="DD58" s="816">
        <f t="shared" si="30"/>
        <v>24150190</v>
      </c>
    </row>
    <row r="59" spans="1:108" ht="110.25">
      <c r="A59" s="772" t="s">
        <v>1379</v>
      </c>
      <c r="B59" s="759">
        <v>100000000</v>
      </c>
      <c r="C59" s="760"/>
      <c r="D59" s="760"/>
      <c r="E59" s="760"/>
      <c r="F59" s="760"/>
      <c r="G59" s="760"/>
      <c r="H59" s="760"/>
      <c r="I59" s="760"/>
      <c r="J59" s="760"/>
      <c r="K59" s="760"/>
      <c r="L59" s="760"/>
      <c r="M59" s="760"/>
      <c r="N59" s="760"/>
      <c r="O59" s="760"/>
      <c r="P59" s="760"/>
      <c r="Q59" s="760"/>
      <c r="R59" s="760"/>
      <c r="S59" s="760"/>
      <c r="T59" s="760"/>
      <c r="U59" s="760"/>
      <c r="V59" s="760"/>
      <c r="W59" s="761"/>
      <c r="X59" s="761"/>
      <c r="Y59" s="761"/>
      <c r="Z59" s="761"/>
      <c r="AA59" s="761"/>
      <c r="AB59" s="761"/>
      <c r="AC59" s="761"/>
      <c r="AD59" s="761"/>
      <c r="AE59" s="761"/>
      <c r="AF59" s="761"/>
      <c r="AG59" s="761"/>
      <c r="AH59" s="761"/>
      <c r="AI59" s="761"/>
      <c r="AJ59" s="761"/>
      <c r="AK59" s="761"/>
      <c r="AL59" s="761"/>
      <c r="AM59" s="761"/>
      <c r="AN59" s="761"/>
      <c r="AO59" s="761"/>
      <c r="AP59" s="761"/>
      <c r="AQ59" s="761"/>
      <c r="AR59" s="761"/>
      <c r="AS59" s="761"/>
      <c r="AT59" s="761"/>
      <c r="AU59" s="761"/>
      <c r="AV59" s="761"/>
      <c r="AW59" s="761"/>
      <c r="AX59" s="761"/>
      <c r="AY59" s="761"/>
      <c r="AZ59" s="761"/>
      <c r="BA59" s="761"/>
      <c r="BB59" s="761"/>
      <c r="BC59" s="761"/>
      <c r="BD59" s="761"/>
      <c r="BE59" s="761"/>
      <c r="BF59" s="761"/>
      <c r="BG59" s="761"/>
      <c r="BH59" s="761"/>
      <c r="BI59" s="761"/>
      <c r="BJ59" s="761"/>
      <c r="BK59" s="761"/>
      <c r="BL59" s="761"/>
      <c r="BM59" s="761"/>
      <c r="BN59" s="761"/>
      <c r="BO59" s="761"/>
      <c r="BP59" s="761"/>
      <c r="BQ59" s="761"/>
      <c r="BR59" s="761"/>
      <c r="BS59" s="779">
        <f t="shared" si="33"/>
        <v>100000000</v>
      </c>
      <c r="BT59" s="779">
        <v>99948316</v>
      </c>
      <c r="BU59" s="779">
        <v>61823593</v>
      </c>
      <c r="BV59" s="779">
        <v>5659082</v>
      </c>
      <c r="BW59" s="761"/>
      <c r="BX59" s="761"/>
      <c r="BY59" s="761"/>
      <c r="BZ59" s="761"/>
      <c r="CA59" s="761"/>
      <c r="CB59" s="761"/>
      <c r="CC59" s="761"/>
      <c r="CD59" s="761"/>
      <c r="CE59" s="761"/>
      <c r="CF59" s="761"/>
      <c r="CG59" s="761"/>
      <c r="CH59" s="761"/>
      <c r="CI59" s="761"/>
      <c r="CJ59" s="761"/>
      <c r="CK59" s="761"/>
      <c r="CL59" s="761"/>
      <c r="CM59" s="761"/>
      <c r="CN59" s="761"/>
      <c r="CO59" s="761"/>
      <c r="CP59" s="761"/>
      <c r="CQ59" s="761"/>
      <c r="CR59" s="761"/>
      <c r="CS59" s="761"/>
      <c r="CT59" s="761"/>
      <c r="CU59" s="1891">
        <f t="shared" si="25"/>
        <v>100000000</v>
      </c>
      <c r="CV59" s="1891">
        <f t="shared" si="26"/>
        <v>99948316</v>
      </c>
      <c r="CW59" s="1891">
        <f t="shared" si="27"/>
        <v>61823593</v>
      </c>
      <c r="CX59" s="1891">
        <f t="shared" si="28"/>
        <v>5659082</v>
      </c>
      <c r="CY59" s="1892">
        <v>4262235</v>
      </c>
      <c r="CZ59" s="1893">
        <v>1581801</v>
      </c>
      <c r="DA59" s="1894">
        <v>1534493</v>
      </c>
      <c r="DB59" s="816">
        <f t="shared" si="30"/>
        <v>95686081</v>
      </c>
      <c r="DC59" s="816">
        <f t="shared" si="30"/>
        <v>60241792</v>
      </c>
      <c r="DD59" s="816">
        <f t="shared" si="30"/>
        <v>4124589</v>
      </c>
    </row>
    <row r="60" spans="1:108" s="765" customFormat="1" ht="110.25">
      <c r="A60" s="783" t="s">
        <v>1380</v>
      </c>
      <c r="B60" s="759">
        <v>120000000</v>
      </c>
      <c r="C60" s="764"/>
      <c r="D60" s="764"/>
      <c r="E60" s="764"/>
      <c r="F60" s="764"/>
      <c r="G60" s="764"/>
      <c r="H60" s="764"/>
      <c r="I60" s="764"/>
      <c r="J60" s="764"/>
      <c r="K60" s="764"/>
      <c r="L60" s="764"/>
      <c r="M60" s="764"/>
      <c r="N60" s="764"/>
      <c r="O60" s="764"/>
      <c r="P60" s="764"/>
      <c r="Q60" s="764"/>
      <c r="R60" s="764"/>
      <c r="S60" s="764"/>
      <c r="T60" s="764"/>
      <c r="U60" s="764"/>
      <c r="V60" s="764"/>
      <c r="W60" s="764"/>
      <c r="X60" s="764"/>
      <c r="Y60" s="764"/>
      <c r="Z60" s="764"/>
      <c r="AA60" s="764"/>
      <c r="AB60" s="764"/>
      <c r="AC60" s="764"/>
      <c r="AD60" s="764"/>
      <c r="AE60" s="764"/>
      <c r="AF60" s="764"/>
      <c r="AG60" s="764"/>
      <c r="AH60" s="764"/>
      <c r="AI60" s="764"/>
      <c r="AJ60" s="764"/>
      <c r="AK60" s="764"/>
      <c r="AL60" s="764"/>
      <c r="AM60" s="764"/>
      <c r="AN60" s="764"/>
      <c r="AO60" s="764"/>
      <c r="AP60" s="764"/>
      <c r="AQ60" s="764"/>
      <c r="AR60" s="764"/>
      <c r="AS60" s="764"/>
      <c r="AT60" s="764"/>
      <c r="AU60" s="764"/>
      <c r="AV60" s="764"/>
      <c r="AW60" s="764"/>
      <c r="AX60" s="764"/>
      <c r="AY60" s="764"/>
      <c r="AZ60" s="764"/>
      <c r="BA60" s="764"/>
      <c r="BB60" s="764"/>
      <c r="BC60" s="764"/>
      <c r="BD60" s="764"/>
      <c r="BE60" s="764"/>
      <c r="BF60" s="764"/>
      <c r="BG60" s="764"/>
      <c r="BH60" s="764"/>
      <c r="BI60" s="764"/>
      <c r="BJ60" s="764"/>
      <c r="BK60" s="764"/>
      <c r="BL60" s="764"/>
      <c r="BM60" s="764"/>
      <c r="BN60" s="764"/>
      <c r="BO60" s="764"/>
      <c r="BP60" s="764"/>
      <c r="BQ60" s="764"/>
      <c r="BR60" s="764"/>
      <c r="BS60" s="764"/>
      <c r="BT60" s="764"/>
      <c r="BU60" s="764"/>
      <c r="BV60" s="764"/>
      <c r="BW60" s="764">
        <v>120000000</v>
      </c>
      <c r="BX60" s="764">
        <v>119867588</v>
      </c>
      <c r="BY60" s="764">
        <v>18325235</v>
      </c>
      <c r="BZ60" s="764">
        <v>6973689</v>
      </c>
      <c r="CA60" s="764"/>
      <c r="CB60" s="764"/>
      <c r="CC60" s="764"/>
      <c r="CD60" s="764"/>
      <c r="CE60" s="764"/>
      <c r="CF60" s="764"/>
      <c r="CG60" s="764"/>
      <c r="CH60" s="764"/>
      <c r="CI60" s="764"/>
      <c r="CJ60" s="764"/>
      <c r="CK60" s="764"/>
      <c r="CL60" s="764"/>
      <c r="CM60" s="764"/>
      <c r="CN60" s="764"/>
      <c r="CO60" s="764"/>
      <c r="CP60" s="764"/>
      <c r="CQ60" s="764"/>
      <c r="CR60" s="764"/>
      <c r="CS60" s="764"/>
      <c r="CT60" s="764"/>
      <c r="CU60" s="1891">
        <f t="shared" si="25"/>
        <v>120000000</v>
      </c>
      <c r="CV60" s="1891">
        <f t="shared" si="26"/>
        <v>119867588</v>
      </c>
      <c r="CW60" s="1891">
        <f t="shared" si="27"/>
        <v>18325235</v>
      </c>
      <c r="CX60" s="1891">
        <f t="shared" si="28"/>
        <v>6973689</v>
      </c>
      <c r="CY60" s="1892">
        <v>13604037</v>
      </c>
      <c r="CZ60" s="1893">
        <v>1894866</v>
      </c>
      <c r="DA60" s="1894">
        <v>1838195</v>
      </c>
      <c r="DB60" s="816">
        <f t="shared" si="30"/>
        <v>106263551</v>
      </c>
      <c r="DC60" s="816">
        <f t="shared" si="30"/>
        <v>16430369</v>
      </c>
      <c r="DD60" s="816">
        <f t="shared" si="30"/>
        <v>5135494</v>
      </c>
    </row>
    <row r="61" spans="1:108" ht="157.5">
      <c r="A61" s="772" t="s">
        <v>583</v>
      </c>
      <c r="B61" s="759">
        <v>520000000</v>
      </c>
      <c r="C61" s="760"/>
      <c r="D61" s="760"/>
      <c r="E61" s="760"/>
      <c r="F61" s="760"/>
      <c r="G61" s="760"/>
      <c r="H61" s="760"/>
      <c r="I61" s="760"/>
      <c r="J61" s="760"/>
      <c r="K61" s="760"/>
      <c r="L61" s="760"/>
      <c r="M61" s="760"/>
      <c r="N61" s="760"/>
      <c r="O61" s="760"/>
      <c r="P61" s="760"/>
      <c r="Q61" s="760"/>
      <c r="R61" s="760"/>
      <c r="S61" s="760"/>
      <c r="T61" s="760"/>
      <c r="U61" s="760"/>
      <c r="V61" s="760"/>
      <c r="W61" s="761"/>
      <c r="X61" s="761"/>
      <c r="Y61" s="761"/>
      <c r="Z61" s="761"/>
      <c r="AA61" s="761"/>
      <c r="AB61" s="761"/>
      <c r="AC61" s="761"/>
      <c r="AD61" s="761"/>
      <c r="AE61" s="761"/>
      <c r="AF61" s="761"/>
      <c r="AG61" s="761"/>
      <c r="AH61" s="761"/>
      <c r="AI61" s="761"/>
      <c r="AJ61" s="761"/>
      <c r="AK61" s="761"/>
      <c r="AL61" s="761"/>
      <c r="AM61" s="761"/>
      <c r="AN61" s="761"/>
      <c r="AO61" s="761"/>
      <c r="AP61" s="761"/>
      <c r="AQ61" s="761"/>
      <c r="AR61" s="761"/>
      <c r="AS61" s="761"/>
      <c r="AT61" s="761"/>
      <c r="AU61" s="761"/>
      <c r="AV61" s="761"/>
      <c r="AW61" s="761"/>
      <c r="AX61" s="761"/>
      <c r="AY61" s="761"/>
      <c r="AZ61" s="761"/>
      <c r="BA61" s="761"/>
      <c r="BB61" s="761"/>
      <c r="BC61" s="761"/>
      <c r="BD61" s="761"/>
      <c r="BE61" s="761"/>
      <c r="BF61" s="761"/>
      <c r="BG61" s="761"/>
      <c r="BH61" s="761"/>
      <c r="BI61" s="761"/>
      <c r="BJ61" s="761"/>
      <c r="BK61" s="761"/>
      <c r="BL61" s="761"/>
      <c r="BM61" s="761"/>
      <c r="BN61" s="761"/>
      <c r="BO61" s="761"/>
      <c r="BP61" s="761"/>
      <c r="BQ61" s="761"/>
      <c r="BR61" s="761"/>
      <c r="BS61" s="781">
        <f t="shared" ref="BS61:BS67" si="34">+B61</f>
        <v>520000000</v>
      </c>
      <c r="BT61" s="781">
        <v>519424295</v>
      </c>
      <c r="BU61" s="781">
        <v>305890412</v>
      </c>
      <c r="BV61" s="781">
        <v>280492388</v>
      </c>
      <c r="BW61" s="761"/>
      <c r="BX61" s="761"/>
      <c r="BY61" s="761"/>
      <c r="BZ61" s="761"/>
      <c r="CA61" s="761"/>
      <c r="CB61" s="761"/>
      <c r="CC61" s="761"/>
      <c r="CD61" s="761"/>
      <c r="CE61" s="761"/>
      <c r="CF61" s="761"/>
      <c r="CG61" s="761"/>
      <c r="CH61" s="761"/>
      <c r="CI61" s="761"/>
      <c r="CJ61" s="761"/>
      <c r="CK61" s="761"/>
      <c r="CL61" s="761"/>
      <c r="CM61" s="761"/>
      <c r="CN61" s="761"/>
      <c r="CO61" s="761"/>
      <c r="CP61" s="761"/>
      <c r="CQ61" s="761"/>
      <c r="CR61" s="761"/>
      <c r="CS61" s="761"/>
      <c r="CT61" s="761"/>
      <c r="CU61" s="1891">
        <f t="shared" si="25"/>
        <v>520000000</v>
      </c>
      <c r="CV61" s="1891">
        <f t="shared" si="26"/>
        <v>519424295</v>
      </c>
      <c r="CW61" s="1891">
        <f t="shared" si="27"/>
        <v>305890412</v>
      </c>
      <c r="CX61" s="1891">
        <f t="shared" si="28"/>
        <v>280492388</v>
      </c>
      <c r="CY61" s="1892">
        <v>32191473</v>
      </c>
      <c r="CZ61" s="1893">
        <v>8238547</v>
      </c>
      <c r="DA61" s="1894">
        <v>7992150</v>
      </c>
      <c r="DB61" s="816">
        <f t="shared" si="30"/>
        <v>487232822</v>
      </c>
      <c r="DC61" s="816">
        <f t="shared" si="30"/>
        <v>297651865</v>
      </c>
      <c r="DD61" s="816">
        <f t="shared" si="30"/>
        <v>272500238</v>
      </c>
    </row>
    <row r="62" spans="1:108" s="765" customFormat="1" ht="94.5">
      <c r="A62" s="784" t="s">
        <v>1381</v>
      </c>
      <c r="B62" s="759">
        <v>350000000</v>
      </c>
      <c r="C62" s="764"/>
      <c r="D62" s="764"/>
      <c r="E62" s="764"/>
      <c r="F62" s="764"/>
      <c r="G62" s="764"/>
      <c r="H62" s="764"/>
      <c r="I62" s="764"/>
      <c r="J62" s="764"/>
      <c r="K62" s="764"/>
      <c r="L62" s="764"/>
      <c r="M62" s="764"/>
      <c r="N62" s="764"/>
      <c r="O62" s="764"/>
      <c r="P62" s="764"/>
      <c r="Q62" s="764"/>
      <c r="R62" s="764"/>
      <c r="S62" s="764"/>
      <c r="T62" s="764"/>
      <c r="U62" s="764"/>
      <c r="V62" s="764"/>
      <c r="W62" s="764"/>
      <c r="X62" s="764"/>
      <c r="Y62" s="764"/>
      <c r="Z62" s="764"/>
      <c r="AA62" s="764"/>
      <c r="AB62" s="764"/>
      <c r="AC62" s="764"/>
      <c r="AD62" s="764"/>
      <c r="AE62" s="764"/>
      <c r="AF62" s="764"/>
      <c r="AG62" s="764"/>
      <c r="AH62" s="764"/>
      <c r="AI62" s="764"/>
      <c r="AJ62" s="764"/>
      <c r="AK62" s="764"/>
      <c r="AL62" s="764"/>
      <c r="AM62" s="764"/>
      <c r="AN62" s="764"/>
      <c r="AO62" s="764"/>
      <c r="AP62" s="764"/>
      <c r="AQ62" s="764"/>
      <c r="AR62" s="764"/>
      <c r="AS62" s="764"/>
      <c r="AT62" s="764"/>
      <c r="AU62" s="764"/>
      <c r="AV62" s="764"/>
      <c r="AW62" s="764"/>
      <c r="AX62" s="764"/>
      <c r="AY62" s="764"/>
      <c r="AZ62" s="764"/>
      <c r="BA62" s="764"/>
      <c r="BB62" s="764"/>
      <c r="BC62" s="764"/>
      <c r="BD62" s="764"/>
      <c r="BE62" s="764"/>
      <c r="BF62" s="764"/>
      <c r="BG62" s="764"/>
      <c r="BH62" s="764"/>
      <c r="BI62" s="764"/>
      <c r="BJ62" s="764"/>
      <c r="BK62" s="764"/>
      <c r="BL62" s="764"/>
      <c r="BM62" s="764"/>
      <c r="BN62" s="764"/>
      <c r="BO62" s="764"/>
      <c r="BP62" s="764"/>
      <c r="BQ62" s="764"/>
      <c r="BR62" s="764"/>
      <c r="BS62" s="762">
        <f t="shared" si="34"/>
        <v>350000000</v>
      </c>
      <c r="BT62" s="762">
        <v>349611977</v>
      </c>
      <c r="BU62" s="762">
        <v>339791922</v>
      </c>
      <c r="BV62" s="762">
        <v>319497941</v>
      </c>
      <c r="BW62" s="764"/>
      <c r="BX62" s="764"/>
      <c r="BY62" s="764"/>
      <c r="BZ62" s="764"/>
      <c r="CA62" s="764"/>
      <c r="CB62" s="764"/>
      <c r="CC62" s="764"/>
      <c r="CD62" s="764"/>
      <c r="CE62" s="764"/>
      <c r="CF62" s="764"/>
      <c r="CG62" s="764"/>
      <c r="CH62" s="764"/>
      <c r="CI62" s="764"/>
      <c r="CJ62" s="764"/>
      <c r="CK62" s="764"/>
      <c r="CL62" s="764"/>
      <c r="CM62" s="764"/>
      <c r="CN62" s="764"/>
      <c r="CO62" s="764"/>
      <c r="CP62" s="764"/>
      <c r="CQ62" s="764"/>
      <c r="CR62" s="764"/>
      <c r="CS62" s="764"/>
      <c r="CT62" s="764"/>
      <c r="CU62" s="1891">
        <f t="shared" si="25"/>
        <v>350000000</v>
      </c>
      <c r="CV62" s="1891">
        <f t="shared" si="26"/>
        <v>349611977</v>
      </c>
      <c r="CW62" s="1891">
        <f t="shared" si="27"/>
        <v>339791922</v>
      </c>
      <c r="CX62" s="1891">
        <f t="shared" si="28"/>
        <v>319497941</v>
      </c>
      <c r="CY62" s="1892">
        <v>331257343</v>
      </c>
      <c r="CZ62" s="1893">
        <v>270549083</v>
      </c>
      <c r="DA62" s="1894">
        <v>270383014</v>
      </c>
      <c r="DB62" s="816">
        <f t="shared" si="30"/>
        <v>18354634</v>
      </c>
      <c r="DC62" s="816">
        <f t="shared" si="30"/>
        <v>69242839</v>
      </c>
      <c r="DD62" s="816">
        <f t="shared" si="30"/>
        <v>49114927</v>
      </c>
    </row>
    <row r="63" spans="1:108" ht="141.75">
      <c r="A63" s="772" t="s">
        <v>1382</v>
      </c>
      <c r="B63" s="759">
        <v>260000000</v>
      </c>
      <c r="C63" s="760"/>
      <c r="D63" s="760"/>
      <c r="E63" s="760"/>
      <c r="F63" s="760"/>
      <c r="G63" s="760"/>
      <c r="H63" s="760"/>
      <c r="I63" s="760"/>
      <c r="J63" s="760"/>
      <c r="K63" s="760"/>
      <c r="L63" s="760"/>
      <c r="M63" s="760"/>
      <c r="N63" s="760"/>
      <c r="O63" s="760"/>
      <c r="P63" s="760"/>
      <c r="Q63" s="760"/>
      <c r="R63" s="760"/>
      <c r="S63" s="760"/>
      <c r="T63" s="760"/>
      <c r="U63" s="760"/>
      <c r="V63" s="760"/>
      <c r="W63" s="761"/>
      <c r="X63" s="761"/>
      <c r="Y63" s="761"/>
      <c r="Z63" s="761"/>
      <c r="AA63" s="761"/>
      <c r="AB63" s="761"/>
      <c r="AC63" s="761"/>
      <c r="AD63" s="761"/>
      <c r="AE63" s="761"/>
      <c r="AF63" s="761"/>
      <c r="AG63" s="761"/>
      <c r="AH63" s="761"/>
      <c r="AI63" s="761"/>
      <c r="AJ63" s="761"/>
      <c r="AK63" s="761"/>
      <c r="AL63" s="761"/>
      <c r="AM63" s="761"/>
      <c r="AN63" s="761"/>
      <c r="AO63" s="761"/>
      <c r="AP63" s="761"/>
      <c r="AQ63" s="761"/>
      <c r="AR63" s="761"/>
      <c r="AS63" s="761"/>
      <c r="AT63" s="761"/>
      <c r="AU63" s="761"/>
      <c r="AV63" s="761"/>
      <c r="AW63" s="761"/>
      <c r="AX63" s="761"/>
      <c r="AY63" s="761"/>
      <c r="AZ63" s="761"/>
      <c r="BA63" s="761"/>
      <c r="BB63" s="761"/>
      <c r="BC63" s="761"/>
      <c r="BD63" s="761"/>
      <c r="BE63" s="761"/>
      <c r="BF63" s="761"/>
      <c r="BG63" s="761"/>
      <c r="BH63" s="761"/>
      <c r="BI63" s="761"/>
      <c r="BJ63" s="761"/>
      <c r="BK63" s="761"/>
      <c r="BL63" s="761"/>
      <c r="BM63" s="761"/>
      <c r="BN63" s="761"/>
      <c r="BO63" s="761"/>
      <c r="BP63" s="761"/>
      <c r="BQ63" s="761"/>
      <c r="BR63" s="761"/>
      <c r="BS63" s="770">
        <f t="shared" si="34"/>
        <v>260000000</v>
      </c>
      <c r="BT63" s="770">
        <v>259688348</v>
      </c>
      <c r="BU63" s="770">
        <v>256207032</v>
      </c>
      <c r="BV63" s="770">
        <v>235828983</v>
      </c>
      <c r="BW63" s="761"/>
      <c r="BX63" s="761"/>
      <c r="BY63" s="761"/>
      <c r="BZ63" s="761"/>
      <c r="CA63" s="761"/>
      <c r="CB63" s="761"/>
      <c r="CC63" s="761"/>
      <c r="CD63" s="761"/>
      <c r="CE63" s="761"/>
      <c r="CF63" s="761"/>
      <c r="CG63" s="761"/>
      <c r="CH63" s="761"/>
      <c r="CI63" s="761"/>
      <c r="CJ63" s="761"/>
      <c r="CK63" s="761"/>
      <c r="CL63" s="761"/>
      <c r="CM63" s="761"/>
      <c r="CN63" s="761"/>
      <c r="CO63" s="761"/>
      <c r="CP63" s="761"/>
      <c r="CQ63" s="761"/>
      <c r="CR63" s="761"/>
      <c r="CS63" s="761"/>
      <c r="CT63" s="761"/>
      <c r="CU63" s="1891">
        <f t="shared" si="25"/>
        <v>260000000</v>
      </c>
      <c r="CV63" s="1891">
        <f t="shared" si="26"/>
        <v>259688348</v>
      </c>
      <c r="CW63" s="1891">
        <f t="shared" si="27"/>
        <v>256207032</v>
      </c>
      <c r="CX63" s="1891">
        <f t="shared" si="28"/>
        <v>235828983</v>
      </c>
      <c r="CY63" s="1892">
        <v>21095737</v>
      </c>
      <c r="CZ63" s="1893">
        <v>4119273</v>
      </c>
      <c r="DA63" s="1894">
        <v>3996075</v>
      </c>
      <c r="DB63" s="816">
        <f t="shared" si="30"/>
        <v>238592611</v>
      </c>
      <c r="DC63" s="816">
        <f t="shared" si="30"/>
        <v>252087759</v>
      </c>
      <c r="DD63" s="816">
        <f t="shared" si="30"/>
        <v>231832908</v>
      </c>
    </row>
    <row r="64" spans="1:108" ht="94.5">
      <c r="A64" s="772" t="s">
        <v>1383</v>
      </c>
      <c r="B64" s="759">
        <v>400000000</v>
      </c>
      <c r="C64" s="760"/>
      <c r="D64" s="760"/>
      <c r="E64" s="760"/>
      <c r="F64" s="760"/>
      <c r="G64" s="760"/>
      <c r="H64" s="760"/>
      <c r="I64" s="760"/>
      <c r="J64" s="760"/>
      <c r="K64" s="760"/>
      <c r="L64" s="760"/>
      <c r="M64" s="760"/>
      <c r="N64" s="760"/>
      <c r="O64" s="760"/>
      <c r="P64" s="760"/>
      <c r="Q64" s="760"/>
      <c r="R64" s="760"/>
      <c r="S64" s="760"/>
      <c r="T64" s="760"/>
      <c r="U64" s="760"/>
      <c r="V64" s="760"/>
      <c r="W64" s="761"/>
      <c r="X64" s="761"/>
      <c r="Y64" s="761"/>
      <c r="Z64" s="761"/>
      <c r="AA64" s="761"/>
      <c r="AB64" s="761"/>
      <c r="AC64" s="761"/>
      <c r="AD64" s="761"/>
      <c r="AE64" s="761"/>
      <c r="AF64" s="761"/>
      <c r="AG64" s="761"/>
      <c r="AH64" s="761"/>
      <c r="AI64" s="761"/>
      <c r="AJ64" s="761"/>
      <c r="AK64" s="761"/>
      <c r="AL64" s="761"/>
      <c r="AM64" s="761"/>
      <c r="AN64" s="761"/>
      <c r="AO64" s="761"/>
      <c r="AP64" s="761"/>
      <c r="AQ64" s="761"/>
      <c r="AR64" s="761"/>
      <c r="AS64" s="761"/>
      <c r="AT64" s="761"/>
      <c r="AU64" s="761"/>
      <c r="AV64" s="761"/>
      <c r="AW64" s="761"/>
      <c r="AX64" s="761"/>
      <c r="AY64" s="761"/>
      <c r="AZ64" s="761"/>
      <c r="BA64" s="761"/>
      <c r="BB64" s="761"/>
      <c r="BC64" s="761"/>
      <c r="BD64" s="761"/>
      <c r="BE64" s="761"/>
      <c r="BF64" s="761"/>
      <c r="BG64" s="761"/>
      <c r="BH64" s="761"/>
      <c r="BI64" s="761"/>
      <c r="BJ64" s="761"/>
      <c r="BK64" s="761"/>
      <c r="BL64" s="761"/>
      <c r="BM64" s="761"/>
      <c r="BN64" s="761"/>
      <c r="BO64" s="761"/>
      <c r="BP64" s="761"/>
      <c r="BQ64" s="761"/>
      <c r="BR64" s="761"/>
      <c r="BS64" s="770">
        <f t="shared" si="34"/>
        <v>400000000</v>
      </c>
      <c r="BT64" s="770">
        <v>399556707</v>
      </c>
      <c r="BU64" s="770">
        <v>108765679</v>
      </c>
      <c r="BV64" s="770">
        <v>82527223</v>
      </c>
      <c r="BW64" s="761"/>
      <c r="BX64" s="761"/>
      <c r="BY64" s="761"/>
      <c r="BZ64" s="761"/>
      <c r="CA64" s="761"/>
      <c r="CB64" s="761"/>
      <c r="CC64" s="761"/>
      <c r="CD64" s="761"/>
      <c r="CE64" s="761"/>
      <c r="CF64" s="761"/>
      <c r="CG64" s="761"/>
      <c r="CH64" s="761"/>
      <c r="CI64" s="761"/>
      <c r="CJ64" s="761"/>
      <c r="CK64" s="761"/>
      <c r="CL64" s="761"/>
      <c r="CM64" s="761"/>
      <c r="CN64" s="761"/>
      <c r="CO64" s="761"/>
      <c r="CP64" s="761"/>
      <c r="CQ64" s="761"/>
      <c r="CR64" s="761"/>
      <c r="CS64" s="761"/>
      <c r="CT64" s="761"/>
      <c r="CU64" s="1891">
        <f t="shared" si="25"/>
        <v>400000000</v>
      </c>
      <c r="CV64" s="1891">
        <f t="shared" si="26"/>
        <v>399556707</v>
      </c>
      <c r="CW64" s="1891">
        <f t="shared" si="27"/>
        <v>108765679</v>
      </c>
      <c r="CX64" s="1891">
        <f t="shared" si="28"/>
        <v>82527223</v>
      </c>
      <c r="CY64" s="1892">
        <v>27087433</v>
      </c>
      <c r="CZ64" s="1893">
        <v>6343681</v>
      </c>
      <c r="DA64" s="1894">
        <v>6153956</v>
      </c>
      <c r="DB64" s="816">
        <f t="shared" si="30"/>
        <v>372469274</v>
      </c>
      <c r="DC64" s="816">
        <f t="shared" si="30"/>
        <v>102421998</v>
      </c>
      <c r="DD64" s="816">
        <f t="shared" si="30"/>
        <v>76373267</v>
      </c>
    </row>
    <row r="65" spans="1:108" ht="299.25">
      <c r="A65" s="772" t="s">
        <v>1384</v>
      </c>
      <c r="B65" s="759">
        <v>300000000</v>
      </c>
      <c r="C65" s="760"/>
      <c r="D65" s="760"/>
      <c r="E65" s="760"/>
      <c r="F65" s="760"/>
      <c r="G65" s="760"/>
      <c r="H65" s="760"/>
      <c r="I65" s="760"/>
      <c r="J65" s="760"/>
      <c r="K65" s="760"/>
      <c r="L65" s="760"/>
      <c r="M65" s="760"/>
      <c r="N65" s="760"/>
      <c r="O65" s="760"/>
      <c r="P65" s="760"/>
      <c r="Q65" s="760"/>
      <c r="R65" s="760"/>
      <c r="S65" s="760"/>
      <c r="T65" s="760"/>
      <c r="U65" s="760"/>
      <c r="V65" s="760"/>
      <c r="W65" s="761"/>
      <c r="X65" s="761"/>
      <c r="Y65" s="761"/>
      <c r="Z65" s="761"/>
      <c r="AA65" s="761"/>
      <c r="AB65" s="761"/>
      <c r="AC65" s="761"/>
      <c r="AD65" s="761"/>
      <c r="AE65" s="761"/>
      <c r="AF65" s="761"/>
      <c r="AG65" s="761"/>
      <c r="AH65" s="761"/>
      <c r="AI65" s="761"/>
      <c r="AJ65" s="761"/>
      <c r="AK65" s="761"/>
      <c r="AL65" s="761"/>
      <c r="AM65" s="761"/>
      <c r="AN65" s="761"/>
      <c r="AO65" s="761"/>
      <c r="AP65" s="761"/>
      <c r="AQ65" s="761"/>
      <c r="AR65" s="761"/>
      <c r="AS65" s="761"/>
      <c r="AT65" s="761"/>
      <c r="AU65" s="761"/>
      <c r="AV65" s="761"/>
      <c r="AW65" s="761"/>
      <c r="AX65" s="761"/>
      <c r="AY65" s="761"/>
      <c r="AZ65" s="761"/>
      <c r="BA65" s="761"/>
      <c r="BB65" s="761"/>
      <c r="BC65" s="761"/>
      <c r="BD65" s="761"/>
      <c r="BE65" s="761"/>
      <c r="BF65" s="761"/>
      <c r="BG65" s="761"/>
      <c r="BH65" s="761"/>
      <c r="BI65" s="761"/>
      <c r="BJ65" s="761"/>
      <c r="BK65" s="761"/>
      <c r="BL65" s="761"/>
      <c r="BM65" s="761"/>
      <c r="BN65" s="761"/>
      <c r="BO65" s="761"/>
      <c r="BP65" s="761"/>
      <c r="BQ65" s="761"/>
      <c r="BR65" s="761"/>
      <c r="BS65" s="770">
        <f t="shared" si="34"/>
        <v>300000000</v>
      </c>
      <c r="BT65" s="770">
        <v>299668395</v>
      </c>
      <c r="BU65" s="770">
        <v>262704021</v>
      </c>
      <c r="BV65" s="770">
        <v>251657185</v>
      </c>
      <c r="BW65" s="761"/>
      <c r="BX65" s="761"/>
      <c r="BY65" s="761"/>
      <c r="BZ65" s="761"/>
      <c r="CA65" s="761"/>
      <c r="CB65" s="761"/>
      <c r="CC65" s="761"/>
      <c r="CD65" s="761"/>
      <c r="CE65" s="761"/>
      <c r="CF65" s="761"/>
      <c r="CG65" s="761"/>
      <c r="CH65" s="761"/>
      <c r="CI65" s="761"/>
      <c r="CJ65" s="761"/>
      <c r="CK65" s="761"/>
      <c r="CL65" s="761"/>
      <c r="CM65" s="761"/>
      <c r="CN65" s="761"/>
      <c r="CO65" s="761"/>
      <c r="CP65" s="761"/>
      <c r="CQ65" s="761"/>
      <c r="CR65" s="761"/>
      <c r="CS65" s="761"/>
      <c r="CT65" s="761"/>
      <c r="CU65" s="1891">
        <f t="shared" si="25"/>
        <v>300000000</v>
      </c>
      <c r="CV65" s="1891">
        <f t="shared" si="26"/>
        <v>299668395</v>
      </c>
      <c r="CW65" s="1891">
        <f t="shared" si="27"/>
        <v>262704021</v>
      </c>
      <c r="CX65" s="1891">
        <f t="shared" si="28"/>
        <v>251657185</v>
      </c>
      <c r="CY65" s="1892">
        <v>283982286</v>
      </c>
      <c r="CZ65" s="1893">
        <v>41045402</v>
      </c>
      <c r="DA65" s="1894">
        <v>36103478</v>
      </c>
      <c r="DB65" s="816">
        <f t="shared" si="30"/>
        <v>15686109</v>
      </c>
      <c r="DC65" s="816">
        <f t="shared" si="30"/>
        <v>221658619</v>
      </c>
      <c r="DD65" s="816">
        <f t="shared" si="30"/>
        <v>215553707</v>
      </c>
    </row>
    <row r="66" spans="1:108" s="765" customFormat="1" ht="141.75">
      <c r="A66" s="784" t="s">
        <v>588</v>
      </c>
      <c r="B66" s="759">
        <v>350000000</v>
      </c>
      <c r="C66" s="764"/>
      <c r="D66" s="764"/>
      <c r="E66" s="764"/>
      <c r="F66" s="764"/>
      <c r="G66" s="764"/>
      <c r="H66" s="764"/>
      <c r="I66" s="764"/>
      <c r="J66" s="764"/>
      <c r="K66" s="764"/>
      <c r="L66" s="764"/>
      <c r="M66" s="764"/>
      <c r="N66" s="764"/>
      <c r="O66" s="764"/>
      <c r="P66" s="764"/>
      <c r="Q66" s="764"/>
      <c r="R66" s="764"/>
      <c r="S66" s="764"/>
      <c r="T66" s="764"/>
      <c r="U66" s="764"/>
      <c r="V66" s="764"/>
      <c r="W66" s="764"/>
      <c r="X66" s="764"/>
      <c r="Y66" s="764"/>
      <c r="Z66" s="764"/>
      <c r="AA66" s="764"/>
      <c r="AB66" s="764"/>
      <c r="AC66" s="764"/>
      <c r="AD66" s="764"/>
      <c r="AE66" s="764"/>
      <c r="AF66" s="764"/>
      <c r="AG66" s="764"/>
      <c r="AH66" s="764"/>
      <c r="AI66" s="764"/>
      <c r="AJ66" s="764"/>
      <c r="AK66" s="764"/>
      <c r="AL66" s="764"/>
      <c r="AM66" s="764"/>
      <c r="AN66" s="764"/>
      <c r="AO66" s="764"/>
      <c r="AP66" s="764"/>
      <c r="AQ66" s="764"/>
      <c r="AR66" s="764"/>
      <c r="AS66" s="764"/>
      <c r="AT66" s="764"/>
      <c r="AU66" s="764"/>
      <c r="AV66" s="764"/>
      <c r="AW66" s="764"/>
      <c r="AX66" s="764"/>
      <c r="AY66" s="764"/>
      <c r="AZ66" s="764"/>
      <c r="BA66" s="764"/>
      <c r="BB66" s="764"/>
      <c r="BC66" s="764"/>
      <c r="BD66" s="764"/>
      <c r="BE66" s="764"/>
      <c r="BF66" s="764"/>
      <c r="BG66" s="764"/>
      <c r="BH66" s="764"/>
      <c r="BI66" s="764"/>
      <c r="BJ66" s="764"/>
      <c r="BK66" s="764"/>
      <c r="BL66" s="764"/>
      <c r="BM66" s="764"/>
      <c r="BN66" s="764"/>
      <c r="BO66" s="764"/>
      <c r="BP66" s="764"/>
      <c r="BQ66" s="764"/>
      <c r="BR66" s="764"/>
      <c r="BS66" s="762">
        <f t="shared" si="34"/>
        <v>350000000</v>
      </c>
      <c r="BT66" s="762">
        <v>349613127</v>
      </c>
      <c r="BU66" s="762">
        <v>151871358</v>
      </c>
      <c r="BV66" s="762">
        <v>138987092</v>
      </c>
      <c r="BW66" s="764"/>
      <c r="BX66" s="764"/>
      <c r="BY66" s="764"/>
      <c r="BZ66" s="764"/>
      <c r="CA66" s="764"/>
      <c r="CB66" s="764"/>
      <c r="CC66" s="764"/>
      <c r="CD66" s="764"/>
      <c r="CE66" s="764"/>
      <c r="CF66" s="764"/>
      <c r="CG66" s="764"/>
      <c r="CH66" s="764"/>
      <c r="CI66" s="764"/>
      <c r="CJ66" s="764"/>
      <c r="CK66" s="764"/>
      <c r="CL66" s="764"/>
      <c r="CM66" s="764"/>
      <c r="CN66" s="764"/>
      <c r="CO66" s="764"/>
      <c r="CP66" s="764"/>
      <c r="CQ66" s="764"/>
      <c r="CR66" s="764"/>
      <c r="CS66" s="764"/>
      <c r="CT66" s="764"/>
      <c r="CU66" s="1891">
        <f t="shared" si="25"/>
        <v>350000000</v>
      </c>
      <c r="CV66" s="1891">
        <f t="shared" si="26"/>
        <v>349613127</v>
      </c>
      <c r="CW66" s="1891">
        <f t="shared" si="27"/>
        <v>151871358</v>
      </c>
      <c r="CX66" s="1891">
        <f t="shared" si="28"/>
        <v>138987092</v>
      </c>
      <c r="CY66" s="1892">
        <v>331312669</v>
      </c>
      <c r="CZ66" s="1893">
        <v>98034456</v>
      </c>
      <c r="DA66" s="1894">
        <v>97868877</v>
      </c>
      <c r="DB66" s="816">
        <f t="shared" si="30"/>
        <v>18300458</v>
      </c>
      <c r="DC66" s="816">
        <f t="shared" si="30"/>
        <v>53836902</v>
      </c>
      <c r="DD66" s="816">
        <f t="shared" si="30"/>
        <v>41118215</v>
      </c>
    </row>
    <row r="67" spans="1:108" ht="126">
      <c r="A67" s="783" t="s">
        <v>1385</v>
      </c>
      <c r="B67" s="759">
        <v>460000000</v>
      </c>
      <c r="C67" s="760"/>
      <c r="D67" s="760"/>
      <c r="E67" s="760"/>
      <c r="F67" s="760"/>
      <c r="G67" s="760"/>
      <c r="H67" s="760"/>
      <c r="I67" s="760"/>
      <c r="J67" s="760"/>
      <c r="K67" s="760"/>
      <c r="L67" s="760"/>
      <c r="M67" s="760"/>
      <c r="N67" s="760"/>
      <c r="O67" s="760"/>
      <c r="P67" s="760"/>
      <c r="Q67" s="760"/>
      <c r="R67" s="760"/>
      <c r="S67" s="760"/>
      <c r="T67" s="760"/>
      <c r="U67" s="760"/>
      <c r="V67" s="760"/>
      <c r="W67" s="761"/>
      <c r="X67" s="761"/>
      <c r="Y67" s="761"/>
      <c r="Z67" s="761"/>
      <c r="AA67" s="761"/>
      <c r="AB67" s="761"/>
      <c r="AC67" s="761"/>
      <c r="AD67" s="761"/>
      <c r="AE67" s="761"/>
      <c r="AF67" s="761"/>
      <c r="AG67" s="761"/>
      <c r="AH67" s="761"/>
      <c r="AI67" s="761"/>
      <c r="AJ67" s="761"/>
      <c r="AK67" s="761"/>
      <c r="AL67" s="761"/>
      <c r="AM67" s="761"/>
      <c r="AN67" s="761"/>
      <c r="AO67" s="761"/>
      <c r="AP67" s="761"/>
      <c r="AQ67" s="761"/>
      <c r="AR67" s="761"/>
      <c r="AS67" s="761"/>
      <c r="AT67" s="761"/>
      <c r="AU67" s="761"/>
      <c r="AV67" s="761"/>
      <c r="AW67" s="761"/>
      <c r="AX67" s="761"/>
      <c r="AY67" s="761"/>
      <c r="AZ67" s="761"/>
      <c r="BA67" s="761"/>
      <c r="BB67" s="761"/>
      <c r="BC67" s="761"/>
      <c r="BD67" s="761"/>
      <c r="BE67" s="761"/>
      <c r="BF67" s="761"/>
      <c r="BG67" s="761"/>
      <c r="BH67" s="761"/>
      <c r="BI67" s="761"/>
      <c r="BJ67" s="761"/>
      <c r="BK67" s="761"/>
      <c r="BL67" s="761"/>
      <c r="BM67" s="761"/>
      <c r="BN67" s="761"/>
      <c r="BO67" s="761"/>
      <c r="BP67" s="761"/>
      <c r="BQ67" s="761"/>
      <c r="BR67" s="761"/>
      <c r="BS67" s="781">
        <f t="shared" si="34"/>
        <v>460000000</v>
      </c>
      <c r="BT67" s="781">
        <v>453053830</v>
      </c>
      <c r="BU67" s="781">
        <v>425232234</v>
      </c>
      <c r="BV67" s="781">
        <v>393078748</v>
      </c>
      <c r="BW67" s="761"/>
      <c r="BX67" s="761"/>
      <c r="BY67" s="761"/>
      <c r="BZ67" s="761"/>
      <c r="CA67" s="761"/>
      <c r="CB67" s="761"/>
      <c r="CC67" s="761"/>
      <c r="CD67" s="761"/>
      <c r="CE67" s="761"/>
      <c r="CF67" s="761"/>
      <c r="CG67" s="761"/>
      <c r="CH67" s="761"/>
      <c r="CI67" s="761"/>
      <c r="CJ67" s="761"/>
      <c r="CK67" s="761"/>
      <c r="CL67" s="761"/>
      <c r="CM67" s="761"/>
      <c r="CN67" s="761"/>
      <c r="CO67" s="761"/>
      <c r="CP67" s="761"/>
      <c r="CQ67" s="761"/>
      <c r="CR67" s="761"/>
      <c r="CS67" s="761"/>
      <c r="CT67" s="761"/>
      <c r="CU67" s="1891">
        <f t="shared" si="25"/>
        <v>460000000</v>
      </c>
      <c r="CV67" s="1891">
        <f t="shared" si="26"/>
        <v>453053830</v>
      </c>
      <c r="CW67" s="1891">
        <f t="shared" si="27"/>
        <v>425232234</v>
      </c>
      <c r="CX67" s="1891">
        <f t="shared" si="28"/>
        <v>393078748</v>
      </c>
      <c r="CY67" s="1892">
        <v>397817264</v>
      </c>
      <c r="CZ67" s="1893">
        <v>357282876</v>
      </c>
      <c r="DA67" s="1894">
        <v>357065061</v>
      </c>
      <c r="DB67" s="816">
        <f t="shared" si="30"/>
        <v>55236566</v>
      </c>
      <c r="DC67" s="816">
        <f t="shared" si="30"/>
        <v>67949358</v>
      </c>
      <c r="DD67" s="816">
        <f t="shared" si="30"/>
        <v>36013687</v>
      </c>
    </row>
    <row r="68" spans="1:108" ht="110.25">
      <c r="A68" s="772" t="s">
        <v>1386</v>
      </c>
      <c r="B68" s="759">
        <v>170000000</v>
      </c>
      <c r="C68" s="760"/>
      <c r="D68" s="760"/>
      <c r="E68" s="760"/>
      <c r="F68" s="760"/>
      <c r="G68" s="760"/>
      <c r="H68" s="760"/>
      <c r="I68" s="760"/>
      <c r="J68" s="760"/>
      <c r="K68" s="760"/>
      <c r="L68" s="760"/>
      <c r="M68" s="760"/>
      <c r="N68" s="760"/>
      <c r="O68" s="760"/>
      <c r="P68" s="760"/>
      <c r="Q68" s="760"/>
      <c r="R68" s="760"/>
      <c r="S68" s="760"/>
      <c r="T68" s="760"/>
      <c r="U68" s="760"/>
      <c r="V68" s="760"/>
      <c r="W68" s="761"/>
      <c r="X68" s="761"/>
      <c r="Y68" s="761"/>
      <c r="Z68" s="761"/>
      <c r="AA68" s="761"/>
      <c r="AB68" s="761"/>
      <c r="AC68" s="761"/>
      <c r="AD68" s="761"/>
      <c r="AE68" s="761"/>
      <c r="AF68" s="761"/>
      <c r="AG68" s="761"/>
      <c r="AH68" s="761"/>
      <c r="AI68" s="761"/>
      <c r="AJ68" s="761"/>
      <c r="AK68" s="761"/>
      <c r="AL68" s="761"/>
      <c r="AM68" s="761"/>
      <c r="AN68" s="761"/>
      <c r="AO68" s="761"/>
      <c r="AP68" s="761"/>
      <c r="AQ68" s="761"/>
      <c r="AR68" s="761"/>
      <c r="AS68" s="761"/>
      <c r="AT68" s="761"/>
      <c r="AU68" s="761"/>
      <c r="AV68" s="761"/>
      <c r="AW68" s="761"/>
      <c r="AX68" s="761"/>
      <c r="AY68" s="761"/>
      <c r="AZ68" s="761"/>
      <c r="BA68" s="761"/>
      <c r="BB68" s="761"/>
      <c r="BC68" s="761"/>
      <c r="BD68" s="761"/>
      <c r="BE68" s="761"/>
      <c r="BF68" s="761"/>
      <c r="BG68" s="761"/>
      <c r="BH68" s="761"/>
      <c r="BI68" s="761"/>
      <c r="BJ68" s="761"/>
      <c r="BK68" s="761"/>
      <c r="BL68" s="761"/>
      <c r="BM68" s="761"/>
      <c r="BN68" s="761"/>
      <c r="BO68" s="761"/>
      <c r="BP68" s="761"/>
      <c r="BQ68" s="761"/>
      <c r="BR68" s="761"/>
      <c r="BS68" s="770">
        <f>+B68</f>
        <v>170000000</v>
      </c>
      <c r="BT68" s="770">
        <v>169812317</v>
      </c>
      <c r="BU68" s="770">
        <v>22859255</v>
      </c>
      <c r="BV68" s="770">
        <v>6371988</v>
      </c>
      <c r="BW68" s="761"/>
      <c r="BX68" s="761"/>
      <c r="BY68" s="761"/>
      <c r="BZ68" s="761"/>
      <c r="CA68" s="761"/>
      <c r="CB68" s="761"/>
      <c r="CC68" s="761"/>
      <c r="CD68" s="761"/>
      <c r="CE68" s="761"/>
      <c r="CF68" s="761"/>
      <c r="CG68" s="761"/>
      <c r="CH68" s="761"/>
      <c r="CI68" s="761"/>
      <c r="CJ68" s="761"/>
      <c r="CK68" s="761"/>
      <c r="CL68" s="761"/>
      <c r="CM68" s="761"/>
      <c r="CN68" s="761"/>
      <c r="CO68" s="761"/>
      <c r="CP68" s="761"/>
      <c r="CQ68" s="761"/>
      <c r="CR68" s="761"/>
      <c r="CS68" s="761"/>
      <c r="CT68" s="761"/>
      <c r="CU68" s="1891">
        <f t="shared" si="25"/>
        <v>170000000</v>
      </c>
      <c r="CV68" s="1891">
        <f t="shared" si="26"/>
        <v>169812317</v>
      </c>
      <c r="CW68" s="1891">
        <f t="shared" si="27"/>
        <v>22859255</v>
      </c>
      <c r="CX68" s="1891">
        <f t="shared" si="28"/>
        <v>6371988</v>
      </c>
      <c r="CY68" s="1892">
        <v>17934421</v>
      </c>
      <c r="CZ68" s="1893">
        <v>2685766</v>
      </c>
      <c r="DA68" s="1894">
        <v>2605441</v>
      </c>
      <c r="DB68" s="816">
        <f t="shared" si="30"/>
        <v>151877896</v>
      </c>
      <c r="DC68" s="816">
        <f t="shared" si="30"/>
        <v>20173489</v>
      </c>
      <c r="DD68" s="816">
        <f t="shared" si="30"/>
        <v>3766547</v>
      </c>
    </row>
    <row r="69" spans="1:108" ht="126">
      <c r="A69" s="785" t="s">
        <v>1387</v>
      </c>
      <c r="B69" s="759">
        <v>50000000</v>
      </c>
      <c r="C69" s="760"/>
      <c r="D69" s="760"/>
      <c r="E69" s="760"/>
      <c r="F69" s="760"/>
      <c r="G69" s="760"/>
      <c r="H69" s="760"/>
      <c r="I69" s="760"/>
      <c r="J69" s="760"/>
      <c r="K69" s="760"/>
      <c r="L69" s="760"/>
      <c r="M69" s="760"/>
      <c r="N69" s="760"/>
      <c r="O69" s="760"/>
      <c r="P69" s="760"/>
      <c r="Q69" s="760"/>
      <c r="R69" s="760"/>
      <c r="S69" s="760"/>
      <c r="T69" s="760"/>
      <c r="U69" s="760"/>
      <c r="V69" s="760"/>
      <c r="W69" s="761"/>
      <c r="X69" s="761"/>
      <c r="Y69" s="761"/>
      <c r="Z69" s="761"/>
      <c r="AA69" s="761"/>
      <c r="AB69" s="761"/>
      <c r="AC69" s="761"/>
      <c r="AD69" s="761"/>
      <c r="AE69" s="761"/>
      <c r="AF69" s="761"/>
      <c r="AG69" s="761"/>
      <c r="AH69" s="761"/>
      <c r="AI69" s="761"/>
      <c r="AJ69" s="761"/>
      <c r="AK69" s="761"/>
      <c r="AL69" s="761"/>
      <c r="AM69" s="761"/>
      <c r="AN69" s="761"/>
      <c r="AO69" s="761"/>
      <c r="AP69" s="761"/>
      <c r="AQ69" s="761"/>
      <c r="AR69" s="761"/>
      <c r="AS69" s="761"/>
      <c r="AT69" s="761"/>
      <c r="AU69" s="761"/>
      <c r="AV69" s="761"/>
      <c r="AW69" s="761"/>
      <c r="AX69" s="761"/>
      <c r="AY69" s="761"/>
      <c r="AZ69" s="761"/>
      <c r="BA69" s="761"/>
      <c r="BB69" s="761"/>
      <c r="BC69" s="761"/>
      <c r="BD69" s="761"/>
      <c r="BE69" s="761"/>
      <c r="BF69" s="761"/>
      <c r="BG69" s="761"/>
      <c r="BH69" s="761"/>
      <c r="BI69" s="761"/>
      <c r="BJ69" s="761"/>
      <c r="BK69" s="761"/>
      <c r="BL69" s="761"/>
      <c r="BM69" s="761"/>
      <c r="BN69" s="761"/>
      <c r="BO69" s="761"/>
      <c r="BP69" s="761"/>
      <c r="BQ69" s="761"/>
      <c r="BR69" s="761"/>
      <c r="BS69" s="770">
        <f>+B69</f>
        <v>50000000</v>
      </c>
      <c r="BT69" s="770">
        <v>49974158</v>
      </c>
      <c r="BU69" s="770">
        <v>46022601</v>
      </c>
      <c r="BV69" s="770">
        <v>36844567.5</v>
      </c>
      <c r="BW69" s="761"/>
      <c r="BX69" s="761"/>
      <c r="BY69" s="761"/>
      <c r="BZ69" s="761"/>
      <c r="CA69" s="761"/>
      <c r="CB69" s="761"/>
      <c r="CC69" s="761"/>
      <c r="CD69" s="761"/>
      <c r="CE69" s="761"/>
      <c r="CF69" s="761"/>
      <c r="CG69" s="761"/>
      <c r="CH69" s="761"/>
      <c r="CI69" s="761"/>
      <c r="CJ69" s="761"/>
      <c r="CK69" s="761"/>
      <c r="CL69" s="761"/>
      <c r="CM69" s="761"/>
      <c r="CN69" s="761"/>
      <c r="CO69" s="761"/>
      <c r="CP69" s="761"/>
      <c r="CQ69" s="761"/>
      <c r="CR69" s="761"/>
      <c r="CS69" s="761"/>
      <c r="CT69" s="761"/>
      <c r="CU69" s="1891">
        <f t="shared" ref="CU69:CU132" si="35">+C69+G69+K69+O69+S69+W69+AA69+AE69+AI69+AM69+AQ69+AU69+AY69+BC69+BG69+BK69+BO69+BS69+BW69+CA69+CE69+CI69+CM69+CQ69</f>
        <v>50000000</v>
      </c>
      <c r="CV69" s="1891">
        <f t="shared" ref="CV69:CV132" si="36">+D69+H69+L69+P69+T69+X69+AB69+AF69+AJ69+AN69+AR69+AV69+AZ69+BD69+BH69+BL69+BP69+BT69+BX69+CB69+CF69+CJ69+CN69+CR69</f>
        <v>49974158</v>
      </c>
      <c r="CW69" s="1891">
        <f t="shared" ref="CW69:CW132" si="37">+E69+I69+M69+Q69+U69+Y69+AC69+AG69+AK69+AO69+AS69+AW69+BA69+BE69+BI69+BM69+BQ69+BU69+BY69+CC69+CG69+CK69+CO69+CS69</f>
        <v>46022601</v>
      </c>
      <c r="CX69" s="1891">
        <f t="shared" ref="CX69:CX132" si="38">+F69+J69+N69+R69+V69+Z69+AD69+AH69+AL69+AP69+AT69+AX69+BB69+BF69+BJ69+BN69+BR69+BV69+BZ69+CD69+CH69+CL69+CP69+CT69</f>
        <v>36844567.5</v>
      </c>
      <c r="CY69" s="1892">
        <v>19630381</v>
      </c>
      <c r="CZ69" s="1893">
        <v>10790899.5</v>
      </c>
      <c r="DA69" s="1894">
        <v>7433912.5</v>
      </c>
      <c r="DB69" s="816">
        <f t="shared" si="30"/>
        <v>30343777</v>
      </c>
      <c r="DC69" s="816">
        <f t="shared" si="30"/>
        <v>35231701.5</v>
      </c>
      <c r="DD69" s="816">
        <f t="shared" si="30"/>
        <v>29410655</v>
      </c>
    </row>
    <row r="70" spans="1:108" ht="126">
      <c r="A70" s="785" t="s">
        <v>1388</v>
      </c>
      <c r="B70" s="759">
        <v>50000000</v>
      </c>
      <c r="C70" s="760"/>
      <c r="D70" s="760"/>
      <c r="E70" s="760"/>
      <c r="F70" s="760"/>
      <c r="G70" s="760"/>
      <c r="H70" s="760"/>
      <c r="I70" s="760"/>
      <c r="J70" s="760"/>
      <c r="K70" s="760"/>
      <c r="L70" s="760"/>
      <c r="M70" s="760"/>
      <c r="N70" s="760"/>
      <c r="O70" s="760"/>
      <c r="P70" s="760"/>
      <c r="Q70" s="760"/>
      <c r="R70" s="760"/>
      <c r="S70" s="760"/>
      <c r="T70" s="760"/>
      <c r="U70" s="760"/>
      <c r="V70" s="760"/>
      <c r="W70" s="761"/>
      <c r="X70" s="761"/>
      <c r="Y70" s="761"/>
      <c r="Z70" s="761"/>
      <c r="AA70" s="761"/>
      <c r="AB70" s="761"/>
      <c r="AC70" s="761"/>
      <c r="AD70" s="761"/>
      <c r="AE70" s="761"/>
      <c r="AF70" s="761"/>
      <c r="AG70" s="761"/>
      <c r="AH70" s="761"/>
      <c r="AI70" s="761"/>
      <c r="AJ70" s="761"/>
      <c r="AK70" s="761"/>
      <c r="AL70" s="761"/>
      <c r="AM70" s="761"/>
      <c r="AN70" s="761"/>
      <c r="AO70" s="761"/>
      <c r="AP70" s="761"/>
      <c r="AQ70" s="761"/>
      <c r="AR70" s="761"/>
      <c r="AS70" s="761"/>
      <c r="AT70" s="761"/>
      <c r="AU70" s="761"/>
      <c r="AV70" s="761"/>
      <c r="AW70" s="761"/>
      <c r="AX70" s="761"/>
      <c r="AY70" s="761"/>
      <c r="AZ70" s="761"/>
      <c r="BA70" s="761"/>
      <c r="BB70" s="761"/>
      <c r="BC70" s="761"/>
      <c r="BD70" s="761"/>
      <c r="BE70" s="761"/>
      <c r="BF70" s="761"/>
      <c r="BG70" s="761"/>
      <c r="BH70" s="761"/>
      <c r="BI70" s="761"/>
      <c r="BJ70" s="761"/>
      <c r="BK70" s="761"/>
      <c r="BL70" s="761"/>
      <c r="BM70" s="761"/>
      <c r="BN70" s="761"/>
      <c r="BO70" s="761"/>
      <c r="BP70" s="761"/>
      <c r="BQ70" s="761"/>
      <c r="BR70" s="761"/>
      <c r="BS70" s="770">
        <f>+B70</f>
        <v>50000000</v>
      </c>
      <c r="BT70" s="770">
        <v>49974158</v>
      </c>
      <c r="BU70" s="770">
        <v>46022601</v>
      </c>
      <c r="BV70" s="770">
        <v>36844567.5</v>
      </c>
      <c r="BW70" s="761"/>
      <c r="BX70" s="761"/>
      <c r="BY70" s="761"/>
      <c r="BZ70" s="761"/>
      <c r="CA70" s="761"/>
      <c r="CB70" s="761"/>
      <c r="CC70" s="761"/>
      <c r="CD70" s="761"/>
      <c r="CE70" s="761"/>
      <c r="CF70" s="761"/>
      <c r="CG70" s="761"/>
      <c r="CH70" s="761"/>
      <c r="CI70" s="761"/>
      <c r="CJ70" s="761"/>
      <c r="CK70" s="761"/>
      <c r="CL70" s="761"/>
      <c r="CM70" s="761"/>
      <c r="CN70" s="761"/>
      <c r="CO70" s="761"/>
      <c r="CP70" s="761"/>
      <c r="CQ70" s="761"/>
      <c r="CR70" s="761"/>
      <c r="CS70" s="761"/>
      <c r="CT70" s="761"/>
      <c r="CU70" s="1891">
        <f t="shared" si="35"/>
        <v>50000000</v>
      </c>
      <c r="CV70" s="1891">
        <f t="shared" si="36"/>
        <v>49974158</v>
      </c>
      <c r="CW70" s="1891">
        <f t="shared" si="37"/>
        <v>46022601</v>
      </c>
      <c r="CX70" s="1891">
        <f t="shared" si="38"/>
        <v>36844567.5</v>
      </c>
      <c r="CY70" s="1892">
        <v>19630381</v>
      </c>
      <c r="CZ70" s="1893">
        <v>10790899.5</v>
      </c>
      <c r="DA70" s="1894">
        <v>7433912.5</v>
      </c>
      <c r="DB70" s="816">
        <f t="shared" ref="DB70:DD133" si="39">+CV70-CY70</f>
        <v>30343777</v>
      </c>
      <c r="DC70" s="816">
        <f t="shared" si="39"/>
        <v>35231701.5</v>
      </c>
      <c r="DD70" s="816">
        <f t="shared" si="39"/>
        <v>29410655</v>
      </c>
    </row>
    <row r="71" spans="1:108" s="765" customFormat="1" ht="204.75">
      <c r="A71" s="784" t="s">
        <v>1389</v>
      </c>
      <c r="B71" s="759">
        <v>80000000</v>
      </c>
      <c r="C71" s="764"/>
      <c r="D71" s="764"/>
      <c r="E71" s="764"/>
      <c r="F71" s="764"/>
      <c r="G71" s="764"/>
      <c r="H71" s="764"/>
      <c r="I71" s="764"/>
      <c r="J71" s="764"/>
      <c r="K71" s="764"/>
      <c r="L71" s="764"/>
      <c r="M71" s="764"/>
      <c r="N71" s="764"/>
      <c r="O71" s="764"/>
      <c r="P71" s="764"/>
      <c r="Q71" s="764"/>
      <c r="R71" s="764"/>
      <c r="S71" s="764"/>
      <c r="T71" s="764"/>
      <c r="U71" s="764"/>
      <c r="V71" s="764"/>
      <c r="W71" s="764"/>
      <c r="X71" s="764"/>
      <c r="Y71" s="764"/>
      <c r="Z71" s="764"/>
      <c r="AA71" s="764"/>
      <c r="AB71" s="764"/>
      <c r="AC71" s="764"/>
      <c r="AD71" s="764"/>
      <c r="AE71" s="764"/>
      <c r="AF71" s="764"/>
      <c r="AG71" s="764"/>
      <c r="AH71" s="764"/>
      <c r="AI71" s="764"/>
      <c r="AJ71" s="764"/>
      <c r="AK71" s="764"/>
      <c r="AL71" s="764"/>
      <c r="AM71" s="764"/>
      <c r="AN71" s="764"/>
      <c r="AO71" s="764"/>
      <c r="AP71" s="764"/>
      <c r="AQ71" s="764"/>
      <c r="AR71" s="764"/>
      <c r="AS71" s="764"/>
      <c r="AT71" s="764"/>
      <c r="AU71" s="764"/>
      <c r="AV71" s="764"/>
      <c r="AW71" s="764"/>
      <c r="AX71" s="764"/>
      <c r="AY71" s="764"/>
      <c r="AZ71" s="764"/>
      <c r="BA71" s="764"/>
      <c r="BB71" s="764"/>
      <c r="BC71" s="764"/>
      <c r="BD71" s="764"/>
      <c r="BE71" s="764"/>
      <c r="BF71" s="764"/>
      <c r="BG71" s="764"/>
      <c r="BH71" s="764"/>
      <c r="BI71" s="764"/>
      <c r="BJ71" s="764"/>
      <c r="BK71" s="764"/>
      <c r="BL71" s="764"/>
      <c r="BM71" s="764"/>
      <c r="BN71" s="764"/>
      <c r="BO71" s="764"/>
      <c r="BP71" s="764"/>
      <c r="BQ71" s="764"/>
      <c r="BR71" s="764"/>
      <c r="BS71" s="770">
        <f>+B71</f>
        <v>80000000</v>
      </c>
      <c r="BT71" s="770">
        <v>71208584</v>
      </c>
      <c r="BU71" s="770">
        <v>65623970</v>
      </c>
      <c r="BV71" s="770">
        <v>44140398</v>
      </c>
      <c r="BW71" s="764"/>
      <c r="BX71" s="764"/>
      <c r="BY71" s="764"/>
      <c r="BZ71" s="764"/>
      <c r="CA71" s="764"/>
      <c r="CB71" s="764"/>
      <c r="CC71" s="764"/>
      <c r="CD71" s="764"/>
      <c r="CE71" s="764"/>
      <c r="CF71" s="764"/>
      <c r="CG71" s="764"/>
      <c r="CH71" s="764"/>
      <c r="CI71" s="764"/>
      <c r="CJ71" s="764"/>
      <c r="CK71" s="764"/>
      <c r="CL71" s="764"/>
      <c r="CM71" s="764"/>
      <c r="CN71" s="764"/>
      <c r="CO71" s="764"/>
      <c r="CP71" s="764"/>
      <c r="CQ71" s="764"/>
      <c r="CR71" s="764"/>
      <c r="CS71" s="764"/>
      <c r="CT71" s="764"/>
      <c r="CU71" s="1891">
        <f t="shared" si="35"/>
        <v>80000000</v>
      </c>
      <c r="CV71" s="1891">
        <f t="shared" si="36"/>
        <v>71208584</v>
      </c>
      <c r="CW71" s="1891">
        <f t="shared" si="37"/>
        <v>65623970</v>
      </c>
      <c r="CX71" s="1891">
        <f t="shared" si="38"/>
        <v>44140398</v>
      </c>
      <c r="CY71" s="1892">
        <v>26273101</v>
      </c>
      <c r="CZ71" s="1893">
        <v>14152259</v>
      </c>
      <c r="DA71" s="1894">
        <v>14114807</v>
      </c>
      <c r="DB71" s="816">
        <f t="shared" si="39"/>
        <v>44935483</v>
      </c>
      <c r="DC71" s="816">
        <f t="shared" si="39"/>
        <v>51471711</v>
      </c>
      <c r="DD71" s="816">
        <f t="shared" si="39"/>
        <v>30025591</v>
      </c>
    </row>
    <row r="72" spans="1:108" ht="173.25">
      <c r="A72" s="772" t="s">
        <v>1390</v>
      </c>
      <c r="B72" s="767">
        <v>80000000</v>
      </c>
      <c r="C72" s="760"/>
      <c r="D72" s="760"/>
      <c r="E72" s="760"/>
      <c r="F72" s="760"/>
      <c r="G72" s="760"/>
      <c r="H72" s="760"/>
      <c r="I72" s="760"/>
      <c r="J72" s="760"/>
      <c r="K72" s="760"/>
      <c r="L72" s="760"/>
      <c r="M72" s="760"/>
      <c r="N72" s="760"/>
      <c r="O72" s="760"/>
      <c r="P72" s="760"/>
      <c r="Q72" s="760"/>
      <c r="R72" s="760"/>
      <c r="S72" s="760"/>
      <c r="T72" s="760"/>
      <c r="U72" s="760"/>
      <c r="V72" s="760"/>
      <c r="W72" s="761"/>
      <c r="X72" s="761"/>
      <c r="Y72" s="761"/>
      <c r="Z72" s="761"/>
      <c r="AA72" s="761"/>
      <c r="AB72" s="761"/>
      <c r="AC72" s="761"/>
      <c r="AD72" s="761"/>
      <c r="AE72" s="761"/>
      <c r="AF72" s="761"/>
      <c r="AG72" s="761"/>
      <c r="AH72" s="761"/>
      <c r="AI72" s="761"/>
      <c r="AJ72" s="761"/>
      <c r="AK72" s="761"/>
      <c r="AL72" s="761"/>
      <c r="AM72" s="761"/>
      <c r="AN72" s="761"/>
      <c r="AO72" s="761"/>
      <c r="AP72" s="761"/>
      <c r="AQ72" s="761"/>
      <c r="AR72" s="761"/>
      <c r="AS72" s="761"/>
      <c r="AT72" s="761"/>
      <c r="AU72" s="761"/>
      <c r="AV72" s="761"/>
      <c r="AW72" s="761"/>
      <c r="AX72" s="761"/>
      <c r="AY72" s="761"/>
      <c r="AZ72" s="761"/>
      <c r="BA72" s="761"/>
      <c r="BB72" s="761"/>
      <c r="BC72" s="761"/>
      <c r="BD72" s="761"/>
      <c r="BE72" s="761"/>
      <c r="BF72" s="761"/>
      <c r="BG72" s="761"/>
      <c r="BH72" s="761"/>
      <c r="BI72" s="761"/>
      <c r="BJ72" s="761"/>
      <c r="BK72" s="761"/>
      <c r="BL72" s="761"/>
      <c r="BM72" s="761"/>
      <c r="BN72" s="761"/>
      <c r="BO72" s="761"/>
      <c r="BP72" s="761"/>
      <c r="BQ72" s="761"/>
      <c r="BR72" s="761"/>
      <c r="BS72" s="770">
        <v>80000000</v>
      </c>
      <c r="BT72" s="770">
        <v>79123194.159999996</v>
      </c>
      <c r="BU72" s="770">
        <v>35908271</v>
      </c>
      <c r="BV72" s="770">
        <v>22797549</v>
      </c>
      <c r="BW72" s="761"/>
      <c r="BX72" s="761"/>
      <c r="BY72" s="761"/>
      <c r="BZ72" s="761"/>
      <c r="CA72" s="761"/>
      <c r="CB72" s="761"/>
      <c r="CC72" s="761"/>
      <c r="CD72" s="761"/>
      <c r="CE72" s="761"/>
      <c r="CF72" s="761"/>
      <c r="CG72" s="761"/>
      <c r="CH72" s="761"/>
      <c r="CI72" s="761"/>
      <c r="CJ72" s="761"/>
      <c r="CK72" s="761"/>
      <c r="CL72" s="761"/>
      <c r="CM72" s="761"/>
      <c r="CN72" s="761"/>
      <c r="CO72" s="761"/>
      <c r="CP72" s="761"/>
      <c r="CQ72" s="761"/>
      <c r="CR72" s="761"/>
      <c r="CS72" s="761"/>
      <c r="CT72" s="761"/>
      <c r="CU72" s="1891">
        <f t="shared" si="35"/>
        <v>80000000</v>
      </c>
      <c r="CV72" s="1891">
        <f t="shared" si="36"/>
        <v>79123194.159999996</v>
      </c>
      <c r="CW72" s="1891">
        <f t="shared" si="37"/>
        <v>35908271</v>
      </c>
      <c r="CX72" s="1891">
        <f t="shared" si="38"/>
        <v>22797549</v>
      </c>
      <c r="CY72" s="1892">
        <v>14260762</v>
      </c>
      <c r="CZ72" s="1893">
        <v>1581801</v>
      </c>
      <c r="DA72" s="1894">
        <v>1534493</v>
      </c>
      <c r="DB72" s="816">
        <f t="shared" si="39"/>
        <v>64862432.159999996</v>
      </c>
      <c r="DC72" s="816">
        <f t="shared" si="39"/>
        <v>34326470</v>
      </c>
      <c r="DD72" s="816">
        <f t="shared" si="39"/>
        <v>21263056</v>
      </c>
    </row>
    <row r="73" spans="1:108" s="765" customFormat="1" ht="126">
      <c r="A73" s="783" t="s">
        <v>1391</v>
      </c>
      <c r="B73" s="767">
        <v>50000000</v>
      </c>
      <c r="C73" s="764"/>
      <c r="D73" s="764"/>
      <c r="E73" s="764"/>
      <c r="F73" s="764"/>
      <c r="G73" s="764"/>
      <c r="H73" s="764"/>
      <c r="I73" s="764"/>
      <c r="J73" s="764"/>
      <c r="K73" s="764"/>
      <c r="L73" s="764"/>
      <c r="M73" s="764"/>
      <c r="N73" s="764"/>
      <c r="O73" s="764"/>
      <c r="P73" s="764"/>
      <c r="Q73" s="764"/>
      <c r="R73" s="764"/>
      <c r="S73" s="764"/>
      <c r="T73" s="764"/>
      <c r="U73" s="764"/>
      <c r="V73" s="764"/>
      <c r="W73" s="764"/>
      <c r="X73" s="764"/>
      <c r="Y73" s="764"/>
      <c r="Z73" s="764"/>
      <c r="AA73" s="764"/>
      <c r="AB73" s="764"/>
      <c r="AC73" s="764"/>
      <c r="AD73" s="764"/>
      <c r="AE73" s="764"/>
      <c r="AF73" s="764"/>
      <c r="AG73" s="764"/>
      <c r="AH73" s="764"/>
      <c r="AI73" s="764"/>
      <c r="AJ73" s="764"/>
      <c r="AK73" s="764"/>
      <c r="AL73" s="764"/>
      <c r="AM73" s="764"/>
      <c r="AN73" s="764"/>
      <c r="AO73" s="764"/>
      <c r="AP73" s="764"/>
      <c r="AQ73" s="764"/>
      <c r="AR73" s="764"/>
      <c r="AS73" s="764"/>
      <c r="AT73" s="764"/>
      <c r="AU73" s="764"/>
      <c r="AV73" s="764"/>
      <c r="AW73" s="764"/>
      <c r="AX73" s="764"/>
      <c r="AY73" s="764"/>
      <c r="AZ73" s="764"/>
      <c r="BA73" s="764"/>
      <c r="BB73" s="764"/>
      <c r="BC73" s="764"/>
      <c r="BD73" s="764"/>
      <c r="BE73" s="764"/>
      <c r="BF73" s="764"/>
      <c r="BG73" s="764"/>
      <c r="BH73" s="764"/>
      <c r="BI73" s="764"/>
      <c r="BJ73" s="764"/>
      <c r="BK73" s="764"/>
      <c r="BL73" s="764"/>
      <c r="BM73" s="764"/>
      <c r="BN73" s="764"/>
      <c r="BO73" s="764"/>
      <c r="BP73" s="764"/>
      <c r="BQ73" s="764"/>
      <c r="BR73" s="764"/>
      <c r="BS73" s="779">
        <v>50000000</v>
      </c>
      <c r="BT73" s="779">
        <v>49984926</v>
      </c>
      <c r="BU73" s="779">
        <v>49449449</v>
      </c>
      <c r="BV73" s="779">
        <v>48530132</v>
      </c>
      <c r="BW73" s="764"/>
      <c r="BX73" s="764"/>
      <c r="BY73" s="764"/>
      <c r="BZ73" s="764"/>
      <c r="CA73" s="764"/>
      <c r="CB73" s="764"/>
      <c r="CC73" s="764"/>
      <c r="CD73" s="764"/>
      <c r="CE73" s="764"/>
      <c r="CF73" s="764"/>
      <c r="CG73" s="764"/>
      <c r="CH73" s="764"/>
      <c r="CI73" s="764"/>
      <c r="CJ73" s="764"/>
      <c r="CK73" s="764"/>
      <c r="CL73" s="764"/>
      <c r="CM73" s="764"/>
      <c r="CN73" s="764"/>
      <c r="CO73" s="764"/>
      <c r="CP73" s="764"/>
      <c r="CQ73" s="764"/>
      <c r="CR73" s="764"/>
      <c r="CS73" s="764"/>
      <c r="CT73" s="764"/>
      <c r="CU73" s="1891">
        <f t="shared" si="35"/>
        <v>50000000</v>
      </c>
      <c r="CV73" s="1891">
        <f t="shared" si="36"/>
        <v>49984926</v>
      </c>
      <c r="CW73" s="1891">
        <f t="shared" si="37"/>
        <v>49449449</v>
      </c>
      <c r="CX73" s="1891">
        <f t="shared" si="38"/>
        <v>48530132</v>
      </c>
      <c r="CY73" s="1892">
        <v>1242721</v>
      </c>
      <c r="CZ73" s="1893">
        <v>461358</v>
      </c>
      <c r="DA73" s="1894">
        <v>447560</v>
      </c>
      <c r="DB73" s="816">
        <f t="shared" si="39"/>
        <v>48742205</v>
      </c>
      <c r="DC73" s="816">
        <f t="shared" si="39"/>
        <v>48988091</v>
      </c>
      <c r="DD73" s="816">
        <f t="shared" si="39"/>
        <v>48082572</v>
      </c>
    </row>
    <row r="74" spans="1:108" ht="110.25">
      <c r="A74" s="772" t="s">
        <v>1392</v>
      </c>
      <c r="B74" s="759">
        <v>100000000</v>
      </c>
      <c r="C74" s="760"/>
      <c r="D74" s="760"/>
      <c r="E74" s="760"/>
      <c r="F74" s="760"/>
      <c r="G74" s="760"/>
      <c r="H74" s="760"/>
      <c r="I74" s="760"/>
      <c r="J74" s="760"/>
      <c r="K74" s="760"/>
      <c r="L74" s="760"/>
      <c r="M74" s="760"/>
      <c r="N74" s="760"/>
      <c r="O74" s="760"/>
      <c r="P74" s="760"/>
      <c r="Q74" s="760"/>
      <c r="R74" s="760"/>
      <c r="S74" s="760"/>
      <c r="T74" s="760"/>
      <c r="U74" s="760"/>
      <c r="V74" s="760"/>
      <c r="W74" s="761"/>
      <c r="X74" s="761"/>
      <c r="Y74" s="761"/>
      <c r="Z74" s="761"/>
      <c r="AA74" s="761"/>
      <c r="AB74" s="761"/>
      <c r="AC74" s="761"/>
      <c r="AD74" s="761"/>
      <c r="AE74" s="761"/>
      <c r="AF74" s="761"/>
      <c r="AG74" s="761"/>
      <c r="AH74" s="761"/>
      <c r="AI74" s="761"/>
      <c r="AJ74" s="761"/>
      <c r="AK74" s="761"/>
      <c r="AL74" s="761"/>
      <c r="AM74" s="761"/>
      <c r="AN74" s="761"/>
      <c r="AO74" s="761"/>
      <c r="AP74" s="761"/>
      <c r="AQ74" s="761"/>
      <c r="AR74" s="761"/>
      <c r="AS74" s="761"/>
      <c r="AT74" s="761"/>
      <c r="AU74" s="761"/>
      <c r="AV74" s="761"/>
      <c r="AW74" s="761"/>
      <c r="AX74" s="761"/>
      <c r="AY74" s="761"/>
      <c r="AZ74" s="761"/>
      <c r="BA74" s="761"/>
      <c r="BB74" s="761"/>
      <c r="BC74" s="761"/>
      <c r="BD74" s="761"/>
      <c r="BE74" s="761"/>
      <c r="BF74" s="761"/>
      <c r="BG74" s="761"/>
      <c r="BH74" s="761"/>
      <c r="BI74" s="761"/>
      <c r="BJ74" s="761"/>
      <c r="BK74" s="761"/>
      <c r="BL74" s="761"/>
      <c r="BM74" s="761"/>
      <c r="BN74" s="761"/>
      <c r="BO74" s="761"/>
      <c r="BP74" s="761"/>
      <c r="BQ74" s="761"/>
      <c r="BR74" s="761"/>
      <c r="BS74" s="781">
        <f t="shared" ref="BS74:BS92" si="40">+B74</f>
        <v>100000000</v>
      </c>
      <c r="BT74" s="781">
        <v>99889401</v>
      </c>
      <c r="BU74" s="781">
        <v>6957167</v>
      </c>
      <c r="BV74" s="781">
        <v>3610571</v>
      </c>
      <c r="BW74" s="761"/>
      <c r="BX74" s="761"/>
      <c r="BY74" s="761"/>
      <c r="BZ74" s="761"/>
      <c r="CA74" s="761"/>
      <c r="CB74" s="761"/>
      <c r="CC74" s="761"/>
      <c r="CD74" s="761"/>
      <c r="CE74" s="761"/>
      <c r="CF74" s="761"/>
      <c r="CG74" s="761"/>
      <c r="CH74" s="761"/>
      <c r="CI74" s="761"/>
      <c r="CJ74" s="761"/>
      <c r="CK74" s="761"/>
      <c r="CL74" s="761"/>
      <c r="CM74" s="761"/>
      <c r="CN74" s="761"/>
      <c r="CO74" s="761"/>
      <c r="CP74" s="761"/>
      <c r="CQ74" s="761"/>
      <c r="CR74" s="761"/>
      <c r="CS74" s="761"/>
      <c r="CT74" s="761"/>
      <c r="CU74" s="1891">
        <f t="shared" si="35"/>
        <v>100000000</v>
      </c>
      <c r="CV74" s="1891">
        <f t="shared" si="36"/>
        <v>99889401</v>
      </c>
      <c r="CW74" s="1891">
        <f t="shared" si="37"/>
        <v>6957167</v>
      </c>
      <c r="CX74" s="1891">
        <f t="shared" si="38"/>
        <v>3610571</v>
      </c>
      <c r="CY74" s="1892">
        <v>4254876</v>
      </c>
      <c r="CZ74" s="1893">
        <v>1581801</v>
      </c>
      <c r="DA74" s="1894">
        <v>1534493</v>
      </c>
      <c r="DB74" s="816">
        <f t="shared" si="39"/>
        <v>95634525</v>
      </c>
      <c r="DC74" s="816">
        <f t="shared" si="39"/>
        <v>5375366</v>
      </c>
      <c r="DD74" s="816">
        <f t="shared" si="39"/>
        <v>2076078</v>
      </c>
    </row>
    <row r="75" spans="1:108" ht="189">
      <c r="A75" s="772" t="s">
        <v>1393</v>
      </c>
      <c r="B75" s="759">
        <v>150000000</v>
      </c>
      <c r="C75" s="760"/>
      <c r="D75" s="760"/>
      <c r="E75" s="760"/>
      <c r="F75" s="760"/>
      <c r="G75" s="760"/>
      <c r="H75" s="760"/>
      <c r="I75" s="760"/>
      <c r="J75" s="760"/>
      <c r="K75" s="760"/>
      <c r="L75" s="760"/>
      <c r="M75" s="760"/>
      <c r="N75" s="760"/>
      <c r="O75" s="760"/>
      <c r="P75" s="760"/>
      <c r="Q75" s="760"/>
      <c r="R75" s="760"/>
      <c r="S75" s="760"/>
      <c r="T75" s="760"/>
      <c r="U75" s="760"/>
      <c r="V75" s="760"/>
      <c r="W75" s="761"/>
      <c r="X75" s="761"/>
      <c r="Y75" s="761"/>
      <c r="Z75" s="761"/>
      <c r="AA75" s="761"/>
      <c r="AB75" s="761"/>
      <c r="AC75" s="761"/>
      <c r="AD75" s="761"/>
      <c r="AE75" s="761"/>
      <c r="AF75" s="761"/>
      <c r="AG75" s="761"/>
      <c r="AH75" s="761"/>
      <c r="AI75" s="761"/>
      <c r="AJ75" s="761"/>
      <c r="AK75" s="761"/>
      <c r="AL75" s="761"/>
      <c r="AM75" s="761"/>
      <c r="AN75" s="761"/>
      <c r="AO75" s="761"/>
      <c r="AP75" s="761"/>
      <c r="AQ75" s="761"/>
      <c r="AR75" s="761"/>
      <c r="AS75" s="761"/>
      <c r="AT75" s="761"/>
      <c r="AU75" s="761"/>
      <c r="AV75" s="761"/>
      <c r="AW75" s="761"/>
      <c r="AX75" s="761"/>
      <c r="AY75" s="761"/>
      <c r="AZ75" s="761"/>
      <c r="BA75" s="761"/>
      <c r="BB75" s="761"/>
      <c r="BC75" s="761"/>
      <c r="BD75" s="761"/>
      <c r="BE75" s="761"/>
      <c r="BF75" s="761"/>
      <c r="BG75" s="761"/>
      <c r="BH75" s="761"/>
      <c r="BI75" s="761"/>
      <c r="BJ75" s="761"/>
      <c r="BK75" s="761"/>
      <c r="BL75" s="761"/>
      <c r="BM75" s="761"/>
      <c r="BN75" s="761"/>
      <c r="BO75" s="761"/>
      <c r="BP75" s="761"/>
      <c r="BQ75" s="761"/>
      <c r="BR75" s="761"/>
      <c r="BS75" s="779">
        <f t="shared" si="40"/>
        <v>150000000</v>
      </c>
      <c r="BT75" s="779">
        <v>149833109</v>
      </c>
      <c r="BU75" s="779">
        <v>141900353</v>
      </c>
      <c r="BV75" s="779">
        <v>136833451</v>
      </c>
      <c r="BW75" s="761"/>
      <c r="BX75" s="761"/>
      <c r="BY75" s="761"/>
      <c r="BZ75" s="761"/>
      <c r="CA75" s="761"/>
      <c r="CB75" s="761"/>
      <c r="CC75" s="761"/>
      <c r="CD75" s="761"/>
      <c r="CE75" s="761"/>
      <c r="CF75" s="761"/>
      <c r="CG75" s="761"/>
      <c r="CH75" s="761"/>
      <c r="CI75" s="761"/>
      <c r="CJ75" s="761"/>
      <c r="CK75" s="761"/>
      <c r="CL75" s="761"/>
      <c r="CM75" s="761"/>
      <c r="CN75" s="761"/>
      <c r="CO75" s="761"/>
      <c r="CP75" s="761"/>
      <c r="CQ75" s="761"/>
      <c r="CR75" s="761"/>
      <c r="CS75" s="761"/>
      <c r="CT75" s="761"/>
      <c r="CU75" s="1891">
        <f t="shared" si="35"/>
        <v>150000000</v>
      </c>
      <c r="CV75" s="1891">
        <f t="shared" si="36"/>
        <v>149833109</v>
      </c>
      <c r="CW75" s="1891">
        <f t="shared" si="37"/>
        <v>141900353</v>
      </c>
      <c r="CX75" s="1891">
        <f t="shared" si="38"/>
        <v>136833451</v>
      </c>
      <c r="CY75" s="1892">
        <v>6441413</v>
      </c>
      <c r="CZ75" s="1893">
        <v>2389179</v>
      </c>
      <c r="DA75" s="1894">
        <v>2317724</v>
      </c>
      <c r="DB75" s="816">
        <f t="shared" si="39"/>
        <v>143391696</v>
      </c>
      <c r="DC75" s="816">
        <f t="shared" si="39"/>
        <v>139511174</v>
      </c>
      <c r="DD75" s="816">
        <f t="shared" si="39"/>
        <v>134515727</v>
      </c>
    </row>
    <row r="76" spans="1:108" ht="141.75">
      <c r="A76" s="772" t="s">
        <v>1394</v>
      </c>
      <c r="B76" s="759">
        <v>150000000</v>
      </c>
      <c r="C76" s="760"/>
      <c r="D76" s="760"/>
      <c r="E76" s="760"/>
      <c r="F76" s="760"/>
      <c r="G76" s="760"/>
      <c r="H76" s="760"/>
      <c r="I76" s="760"/>
      <c r="J76" s="760"/>
      <c r="K76" s="760"/>
      <c r="L76" s="760"/>
      <c r="M76" s="760"/>
      <c r="N76" s="760"/>
      <c r="O76" s="760"/>
      <c r="P76" s="760"/>
      <c r="Q76" s="760"/>
      <c r="R76" s="760"/>
      <c r="S76" s="760"/>
      <c r="T76" s="760"/>
      <c r="U76" s="760"/>
      <c r="V76" s="760"/>
      <c r="W76" s="761"/>
      <c r="X76" s="761"/>
      <c r="Y76" s="761"/>
      <c r="Z76" s="761"/>
      <c r="AA76" s="761"/>
      <c r="AB76" s="761"/>
      <c r="AC76" s="761"/>
      <c r="AD76" s="761"/>
      <c r="AE76" s="761"/>
      <c r="AF76" s="761"/>
      <c r="AG76" s="761"/>
      <c r="AH76" s="761"/>
      <c r="AI76" s="761"/>
      <c r="AJ76" s="761"/>
      <c r="AK76" s="761"/>
      <c r="AL76" s="761"/>
      <c r="AM76" s="761"/>
      <c r="AN76" s="761"/>
      <c r="AO76" s="761"/>
      <c r="AP76" s="761"/>
      <c r="AQ76" s="761"/>
      <c r="AR76" s="761"/>
      <c r="AS76" s="761"/>
      <c r="AT76" s="761"/>
      <c r="AU76" s="761"/>
      <c r="AV76" s="761"/>
      <c r="AW76" s="761"/>
      <c r="AX76" s="761"/>
      <c r="AY76" s="761"/>
      <c r="AZ76" s="761"/>
      <c r="BA76" s="761"/>
      <c r="BB76" s="761"/>
      <c r="BC76" s="761"/>
      <c r="BD76" s="761"/>
      <c r="BE76" s="761"/>
      <c r="BF76" s="761"/>
      <c r="BG76" s="761"/>
      <c r="BH76" s="761"/>
      <c r="BI76" s="761"/>
      <c r="BJ76" s="761"/>
      <c r="BK76" s="761"/>
      <c r="BL76" s="761"/>
      <c r="BM76" s="761"/>
      <c r="BN76" s="761"/>
      <c r="BO76" s="761"/>
      <c r="BP76" s="761"/>
      <c r="BQ76" s="761"/>
      <c r="BR76" s="761"/>
      <c r="BS76" s="779">
        <f t="shared" si="40"/>
        <v>150000000</v>
      </c>
      <c r="BT76" s="779">
        <v>149833045</v>
      </c>
      <c r="BU76" s="779">
        <v>39998551</v>
      </c>
      <c r="BV76" s="779">
        <v>34936488</v>
      </c>
      <c r="BW76" s="761"/>
      <c r="BX76" s="761"/>
      <c r="BY76" s="761"/>
      <c r="BZ76" s="761"/>
      <c r="CA76" s="761"/>
      <c r="CB76" s="761"/>
      <c r="CC76" s="761"/>
      <c r="CD76" s="761"/>
      <c r="CE76" s="761"/>
      <c r="CF76" s="761"/>
      <c r="CG76" s="761"/>
      <c r="CH76" s="761"/>
      <c r="CI76" s="761"/>
      <c r="CJ76" s="761"/>
      <c r="CK76" s="761"/>
      <c r="CL76" s="761"/>
      <c r="CM76" s="761"/>
      <c r="CN76" s="761"/>
      <c r="CO76" s="761"/>
      <c r="CP76" s="761"/>
      <c r="CQ76" s="761"/>
      <c r="CR76" s="761"/>
      <c r="CS76" s="761"/>
      <c r="CT76" s="761"/>
      <c r="CU76" s="1891">
        <f t="shared" si="35"/>
        <v>150000000</v>
      </c>
      <c r="CV76" s="1891">
        <f t="shared" si="36"/>
        <v>149833045</v>
      </c>
      <c r="CW76" s="1891">
        <f t="shared" si="37"/>
        <v>39998551</v>
      </c>
      <c r="CX76" s="1891">
        <f t="shared" si="38"/>
        <v>34936488</v>
      </c>
      <c r="CY76" s="1892">
        <v>6435528</v>
      </c>
      <c r="CZ76" s="1893">
        <v>2389179</v>
      </c>
      <c r="DA76" s="1894">
        <v>2317724</v>
      </c>
      <c r="DB76" s="816">
        <f t="shared" si="39"/>
        <v>143397517</v>
      </c>
      <c r="DC76" s="816">
        <f t="shared" si="39"/>
        <v>37609372</v>
      </c>
      <c r="DD76" s="816">
        <f t="shared" si="39"/>
        <v>32618764</v>
      </c>
    </row>
    <row r="77" spans="1:108" ht="173.25">
      <c r="A77" s="772" t="s">
        <v>1395</v>
      </c>
      <c r="B77" s="759">
        <v>150000000</v>
      </c>
      <c r="C77" s="760"/>
      <c r="D77" s="760"/>
      <c r="E77" s="760"/>
      <c r="F77" s="760"/>
      <c r="G77" s="760"/>
      <c r="H77" s="760"/>
      <c r="I77" s="760"/>
      <c r="J77" s="760"/>
      <c r="K77" s="760"/>
      <c r="L77" s="760"/>
      <c r="M77" s="760"/>
      <c r="N77" s="760"/>
      <c r="O77" s="760"/>
      <c r="P77" s="760"/>
      <c r="Q77" s="760"/>
      <c r="R77" s="760"/>
      <c r="S77" s="760"/>
      <c r="T77" s="760"/>
      <c r="U77" s="760"/>
      <c r="V77" s="760"/>
      <c r="W77" s="761"/>
      <c r="X77" s="761"/>
      <c r="Y77" s="761"/>
      <c r="Z77" s="761"/>
      <c r="AA77" s="761"/>
      <c r="AB77" s="761"/>
      <c r="AC77" s="761"/>
      <c r="AD77" s="761"/>
      <c r="AE77" s="761"/>
      <c r="AF77" s="761"/>
      <c r="AG77" s="761"/>
      <c r="AH77" s="761"/>
      <c r="AI77" s="761"/>
      <c r="AJ77" s="761"/>
      <c r="AK77" s="761"/>
      <c r="AL77" s="761"/>
      <c r="AM77" s="761"/>
      <c r="AN77" s="761"/>
      <c r="AO77" s="761"/>
      <c r="AP77" s="761"/>
      <c r="AQ77" s="761"/>
      <c r="AR77" s="761"/>
      <c r="AS77" s="761"/>
      <c r="AT77" s="761"/>
      <c r="AU77" s="761"/>
      <c r="AV77" s="761"/>
      <c r="AW77" s="761"/>
      <c r="AX77" s="761"/>
      <c r="AY77" s="761"/>
      <c r="AZ77" s="761"/>
      <c r="BA77" s="761"/>
      <c r="BB77" s="761"/>
      <c r="BC77" s="761"/>
      <c r="BD77" s="761"/>
      <c r="BE77" s="761"/>
      <c r="BF77" s="761"/>
      <c r="BG77" s="761"/>
      <c r="BH77" s="761"/>
      <c r="BI77" s="761"/>
      <c r="BJ77" s="761"/>
      <c r="BK77" s="761"/>
      <c r="BL77" s="761"/>
      <c r="BM77" s="761"/>
      <c r="BN77" s="761"/>
      <c r="BO77" s="761"/>
      <c r="BP77" s="761"/>
      <c r="BQ77" s="761"/>
      <c r="BR77" s="761"/>
      <c r="BS77" s="779">
        <f t="shared" si="40"/>
        <v>150000000</v>
      </c>
      <c r="BT77" s="779">
        <v>149833045</v>
      </c>
      <c r="BU77" s="779">
        <v>141898551</v>
      </c>
      <c r="BV77" s="779">
        <v>136836488</v>
      </c>
      <c r="BW77" s="761"/>
      <c r="BX77" s="761"/>
      <c r="BY77" s="761"/>
      <c r="BZ77" s="761"/>
      <c r="CA77" s="761"/>
      <c r="CB77" s="761"/>
      <c r="CC77" s="761"/>
      <c r="CD77" s="761"/>
      <c r="CE77" s="761"/>
      <c r="CF77" s="761"/>
      <c r="CG77" s="761"/>
      <c r="CH77" s="761"/>
      <c r="CI77" s="761"/>
      <c r="CJ77" s="761"/>
      <c r="CK77" s="761"/>
      <c r="CL77" s="761"/>
      <c r="CM77" s="761"/>
      <c r="CN77" s="761"/>
      <c r="CO77" s="761"/>
      <c r="CP77" s="761"/>
      <c r="CQ77" s="761"/>
      <c r="CR77" s="761"/>
      <c r="CS77" s="761"/>
      <c r="CT77" s="761"/>
      <c r="CU77" s="1891">
        <f t="shared" si="35"/>
        <v>150000000</v>
      </c>
      <c r="CV77" s="1891">
        <f t="shared" si="36"/>
        <v>149833045</v>
      </c>
      <c r="CW77" s="1891">
        <f t="shared" si="37"/>
        <v>141898551</v>
      </c>
      <c r="CX77" s="1891">
        <f t="shared" si="38"/>
        <v>136836488</v>
      </c>
      <c r="CY77" s="1892">
        <v>6435528</v>
      </c>
      <c r="CZ77" s="1893">
        <v>2389179</v>
      </c>
      <c r="DA77" s="1894">
        <v>2317724</v>
      </c>
      <c r="DB77" s="816">
        <f t="shared" si="39"/>
        <v>143397517</v>
      </c>
      <c r="DC77" s="816">
        <f t="shared" si="39"/>
        <v>139509372</v>
      </c>
      <c r="DD77" s="816">
        <f t="shared" si="39"/>
        <v>134518764</v>
      </c>
    </row>
    <row r="78" spans="1:108" ht="141.75">
      <c r="A78" s="772" t="s">
        <v>1396</v>
      </c>
      <c r="B78" s="759">
        <v>150000000</v>
      </c>
      <c r="C78" s="760"/>
      <c r="D78" s="760"/>
      <c r="E78" s="760"/>
      <c r="F78" s="760"/>
      <c r="G78" s="760"/>
      <c r="H78" s="760"/>
      <c r="I78" s="760"/>
      <c r="J78" s="760"/>
      <c r="K78" s="760"/>
      <c r="L78" s="760"/>
      <c r="M78" s="760"/>
      <c r="N78" s="760"/>
      <c r="O78" s="760"/>
      <c r="P78" s="760"/>
      <c r="Q78" s="760"/>
      <c r="R78" s="760"/>
      <c r="S78" s="760"/>
      <c r="T78" s="760"/>
      <c r="U78" s="760"/>
      <c r="V78" s="760"/>
      <c r="W78" s="761"/>
      <c r="X78" s="761"/>
      <c r="Y78" s="761"/>
      <c r="Z78" s="761"/>
      <c r="AA78" s="761"/>
      <c r="AB78" s="761"/>
      <c r="AC78" s="761"/>
      <c r="AD78" s="761"/>
      <c r="AE78" s="761"/>
      <c r="AF78" s="761"/>
      <c r="AG78" s="761"/>
      <c r="AH78" s="761"/>
      <c r="AI78" s="761"/>
      <c r="AJ78" s="761"/>
      <c r="AK78" s="761"/>
      <c r="AL78" s="761"/>
      <c r="AM78" s="761"/>
      <c r="AN78" s="761"/>
      <c r="AO78" s="761"/>
      <c r="AP78" s="761"/>
      <c r="AQ78" s="761"/>
      <c r="AR78" s="761"/>
      <c r="AS78" s="761"/>
      <c r="AT78" s="761"/>
      <c r="AU78" s="761"/>
      <c r="AV78" s="761"/>
      <c r="AW78" s="761"/>
      <c r="AX78" s="761"/>
      <c r="AY78" s="761"/>
      <c r="AZ78" s="761"/>
      <c r="BA78" s="761"/>
      <c r="BB78" s="761"/>
      <c r="BC78" s="761"/>
      <c r="BD78" s="761"/>
      <c r="BE78" s="761"/>
      <c r="BF78" s="761"/>
      <c r="BG78" s="761"/>
      <c r="BH78" s="761"/>
      <c r="BI78" s="761"/>
      <c r="BJ78" s="761"/>
      <c r="BK78" s="761"/>
      <c r="BL78" s="761"/>
      <c r="BM78" s="761"/>
      <c r="BN78" s="761"/>
      <c r="BO78" s="761"/>
      <c r="BP78" s="761"/>
      <c r="BQ78" s="761"/>
      <c r="BR78" s="761"/>
      <c r="BS78" s="779">
        <f t="shared" si="40"/>
        <v>150000000</v>
      </c>
      <c r="BT78" s="779">
        <v>149833045</v>
      </c>
      <c r="BU78" s="779">
        <v>39998551</v>
      </c>
      <c r="BV78" s="779">
        <v>34936488</v>
      </c>
      <c r="BW78" s="761"/>
      <c r="BX78" s="761"/>
      <c r="BY78" s="761"/>
      <c r="BZ78" s="761"/>
      <c r="CA78" s="761"/>
      <c r="CB78" s="761"/>
      <c r="CC78" s="761"/>
      <c r="CD78" s="761"/>
      <c r="CE78" s="761"/>
      <c r="CF78" s="761"/>
      <c r="CG78" s="761"/>
      <c r="CH78" s="761"/>
      <c r="CI78" s="761"/>
      <c r="CJ78" s="761"/>
      <c r="CK78" s="761"/>
      <c r="CL78" s="761"/>
      <c r="CM78" s="761"/>
      <c r="CN78" s="761"/>
      <c r="CO78" s="761"/>
      <c r="CP78" s="761"/>
      <c r="CQ78" s="761"/>
      <c r="CR78" s="761"/>
      <c r="CS78" s="761"/>
      <c r="CT78" s="761"/>
      <c r="CU78" s="1891">
        <f t="shared" si="35"/>
        <v>150000000</v>
      </c>
      <c r="CV78" s="1891">
        <f t="shared" si="36"/>
        <v>149833045</v>
      </c>
      <c r="CW78" s="1891">
        <f t="shared" si="37"/>
        <v>39998551</v>
      </c>
      <c r="CX78" s="1891">
        <f t="shared" si="38"/>
        <v>34936488</v>
      </c>
      <c r="CY78" s="1892">
        <v>6435528</v>
      </c>
      <c r="CZ78" s="1893">
        <v>2389179</v>
      </c>
      <c r="DA78" s="1894">
        <v>2317724</v>
      </c>
      <c r="DB78" s="816">
        <f t="shared" si="39"/>
        <v>143397517</v>
      </c>
      <c r="DC78" s="816">
        <f t="shared" si="39"/>
        <v>37609372</v>
      </c>
      <c r="DD78" s="816">
        <f t="shared" si="39"/>
        <v>32618764</v>
      </c>
    </row>
    <row r="79" spans="1:108" s="765" customFormat="1" ht="94.5">
      <c r="A79" s="785" t="s">
        <v>1397</v>
      </c>
      <c r="B79" s="759">
        <v>1010000000</v>
      </c>
      <c r="C79" s="764"/>
      <c r="D79" s="764"/>
      <c r="E79" s="764"/>
      <c r="F79" s="764"/>
      <c r="G79" s="764"/>
      <c r="H79" s="764"/>
      <c r="I79" s="764"/>
      <c r="J79" s="764"/>
      <c r="K79" s="764"/>
      <c r="L79" s="764"/>
      <c r="M79" s="764"/>
      <c r="N79" s="764"/>
      <c r="O79" s="764"/>
      <c r="P79" s="764"/>
      <c r="Q79" s="764"/>
      <c r="R79" s="764"/>
      <c r="S79" s="764"/>
      <c r="T79" s="764"/>
      <c r="U79" s="764"/>
      <c r="V79" s="764"/>
      <c r="W79" s="764"/>
      <c r="X79" s="764"/>
      <c r="Y79" s="764"/>
      <c r="Z79" s="764"/>
      <c r="AA79" s="764"/>
      <c r="AB79" s="764"/>
      <c r="AC79" s="764"/>
      <c r="AD79" s="764"/>
      <c r="AE79" s="764"/>
      <c r="AF79" s="764"/>
      <c r="AG79" s="764"/>
      <c r="AH79" s="764"/>
      <c r="AI79" s="764"/>
      <c r="AJ79" s="764"/>
      <c r="AK79" s="764"/>
      <c r="AL79" s="764"/>
      <c r="AM79" s="764"/>
      <c r="AN79" s="764"/>
      <c r="AO79" s="764"/>
      <c r="AP79" s="764"/>
      <c r="AQ79" s="764"/>
      <c r="AR79" s="764"/>
      <c r="AS79" s="764"/>
      <c r="AT79" s="764"/>
      <c r="AU79" s="764"/>
      <c r="AV79" s="764"/>
      <c r="AW79" s="764"/>
      <c r="AX79" s="764"/>
      <c r="AY79" s="764"/>
      <c r="AZ79" s="764"/>
      <c r="BA79" s="764"/>
      <c r="BB79" s="764"/>
      <c r="BC79" s="764"/>
      <c r="BD79" s="764"/>
      <c r="BE79" s="764"/>
      <c r="BF79" s="764"/>
      <c r="BG79" s="764"/>
      <c r="BH79" s="764"/>
      <c r="BI79" s="764"/>
      <c r="BJ79" s="764"/>
      <c r="BK79" s="764"/>
      <c r="BL79" s="764"/>
      <c r="BM79" s="764"/>
      <c r="BN79" s="764"/>
      <c r="BO79" s="764"/>
      <c r="BP79" s="764"/>
      <c r="BQ79" s="764"/>
      <c r="BR79" s="764"/>
      <c r="BS79" s="779">
        <f t="shared" si="40"/>
        <v>1010000000</v>
      </c>
      <c r="BT79" s="779">
        <v>1008941098</v>
      </c>
      <c r="BU79" s="779">
        <v>541679251</v>
      </c>
      <c r="BV79" s="779">
        <v>516056084</v>
      </c>
      <c r="BW79" s="764"/>
      <c r="BX79" s="764"/>
      <c r="BY79" s="764"/>
      <c r="BZ79" s="764"/>
      <c r="CA79" s="764"/>
      <c r="CB79" s="764"/>
      <c r="CC79" s="764"/>
      <c r="CD79" s="764"/>
      <c r="CE79" s="764"/>
      <c r="CF79" s="764"/>
      <c r="CG79" s="764"/>
      <c r="CH79" s="764"/>
      <c r="CI79" s="764"/>
      <c r="CJ79" s="764"/>
      <c r="CK79" s="764"/>
      <c r="CL79" s="764"/>
      <c r="CM79" s="764"/>
      <c r="CN79" s="764"/>
      <c r="CO79" s="764"/>
      <c r="CP79" s="764"/>
      <c r="CQ79" s="764"/>
      <c r="CR79" s="764"/>
      <c r="CS79" s="764"/>
      <c r="CT79" s="764"/>
      <c r="CU79" s="1891">
        <f t="shared" si="35"/>
        <v>1010000000</v>
      </c>
      <c r="CV79" s="1891">
        <f t="shared" si="36"/>
        <v>1008941098</v>
      </c>
      <c r="CW79" s="1891">
        <f t="shared" si="37"/>
        <v>541679251</v>
      </c>
      <c r="CX79" s="1891">
        <f t="shared" si="38"/>
        <v>516056084</v>
      </c>
      <c r="CY79" s="1892">
        <v>955940222</v>
      </c>
      <c r="CZ79" s="1893">
        <v>26015735</v>
      </c>
      <c r="DA79" s="1894">
        <v>25536740</v>
      </c>
      <c r="DB79" s="816">
        <f t="shared" si="39"/>
        <v>53000876</v>
      </c>
      <c r="DC79" s="816">
        <f t="shared" si="39"/>
        <v>515663516</v>
      </c>
      <c r="DD79" s="816">
        <f t="shared" si="39"/>
        <v>490519344</v>
      </c>
    </row>
    <row r="80" spans="1:108" ht="126.75" thickBot="1">
      <c r="A80" s="782" t="s">
        <v>1398</v>
      </c>
      <c r="B80" s="759">
        <v>125000000</v>
      </c>
      <c r="C80" s="760"/>
      <c r="D80" s="760"/>
      <c r="E80" s="760"/>
      <c r="F80" s="760"/>
      <c r="G80" s="760"/>
      <c r="H80" s="760"/>
      <c r="I80" s="760"/>
      <c r="J80" s="760"/>
      <c r="K80" s="760"/>
      <c r="L80" s="760"/>
      <c r="M80" s="760"/>
      <c r="N80" s="760"/>
      <c r="O80" s="760"/>
      <c r="P80" s="760"/>
      <c r="Q80" s="760"/>
      <c r="R80" s="760"/>
      <c r="S80" s="760"/>
      <c r="T80" s="760"/>
      <c r="U80" s="760"/>
      <c r="V80" s="760"/>
      <c r="W80" s="761"/>
      <c r="X80" s="761"/>
      <c r="Y80" s="761"/>
      <c r="Z80" s="761"/>
      <c r="AA80" s="761"/>
      <c r="AB80" s="761"/>
      <c r="AC80" s="761"/>
      <c r="AD80" s="761"/>
      <c r="AE80" s="761"/>
      <c r="AF80" s="761"/>
      <c r="AG80" s="761"/>
      <c r="AH80" s="761"/>
      <c r="AI80" s="761"/>
      <c r="AJ80" s="761"/>
      <c r="AK80" s="761"/>
      <c r="AL80" s="761"/>
      <c r="AM80" s="761"/>
      <c r="AN80" s="761"/>
      <c r="AO80" s="761"/>
      <c r="AP80" s="761"/>
      <c r="AQ80" s="761"/>
      <c r="AR80" s="761"/>
      <c r="AS80" s="761"/>
      <c r="AT80" s="761"/>
      <c r="AU80" s="761"/>
      <c r="AV80" s="761"/>
      <c r="AW80" s="761"/>
      <c r="AX80" s="761"/>
      <c r="AY80" s="761"/>
      <c r="AZ80" s="761"/>
      <c r="BA80" s="761"/>
      <c r="BB80" s="761"/>
      <c r="BC80" s="761"/>
      <c r="BD80" s="761"/>
      <c r="BE80" s="761"/>
      <c r="BF80" s="761"/>
      <c r="BG80" s="761"/>
      <c r="BH80" s="761"/>
      <c r="BI80" s="761"/>
      <c r="BJ80" s="761"/>
      <c r="BK80" s="761"/>
      <c r="BL80" s="761"/>
      <c r="BM80" s="761"/>
      <c r="BN80" s="761"/>
      <c r="BO80" s="761"/>
      <c r="BP80" s="761"/>
      <c r="BQ80" s="761"/>
      <c r="BR80" s="761"/>
      <c r="BS80" s="779">
        <f t="shared" si="40"/>
        <v>125000000</v>
      </c>
      <c r="BT80" s="779">
        <v>124935396</v>
      </c>
      <c r="BU80" s="779">
        <v>122102289</v>
      </c>
      <c r="BV80" s="779">
        <v>120413666</v>
      </c>
      <c r="BW80" s="761"/>
      <c r="BX80" s="761"/>
      <c r="BY80" s="761"/>
      <c r="BZ80" s="761"/>
      <c r="CA80" s="761"/>
      <c r="CB80" s="761"/>
      <c r="CC80" s="761"/>
      <c r="CD80" s="761"/>
      <c r="CE80" s="761"/>
      <c r="CF80" s="761"/>
      <c r="CG80" s="761"/>
      <c r="CH80" s="761"/>
      <c r="CI80" s="761"/>
      <c r="CJ80" s="761"/>
      <c r="CK80" s="761"/>
      <c r="CL80" s="761"/>
      <c r="CM80" s="761"/>
      <c r="CN80" s="761"/>
      <c r="CO80" s="761"/>
      <c r="CP80" s="761"/>
      <c r="CQ80" s="761"/>
      <c r="CR80" s="761"/>
      <c r="CS80" s="761"/>
      <c r="CT80" s="761"/>
      <c r="CU80" s="1891">
        <f t="shared" si="35"/>
        <v>125000000</v>
      </c>
      <c r="CV80" s="1891">
        <f t="shared" si="36"/>
        <v>124935396</v>
      </c>
      <c r="CW80" s="1891">
        <f t="shared" si="37"/>
        <v>122102289</v>
      </c>
      <c r="CX80" s="1891">
        <f t="shared" si="38"/>
        <v>120413666</v>
      </c>
      <c r="CY80" s="1892">
        <v>118325952</v>
      </c>
      <c r="CZ80" s="1893">
        <v>81477251</v>
      </c>
      <c r="DA80" s="1894">
        <v>76318116</v>
      </c>
      <c r="DB80" s="816">
        <f t="shared" si="39"/>
        <v>6609444</v>
      </c>
      <c r="DC80" s="816">
        <f t="shared" si="39"/>
        <v>40625038</v>
      </c>
      <c r="DD80" s="816">
        <f t="shared" si="39"/>
        <v>44095550</v>
      </c>
    </row>
    <row r="81" spans="1:108" s="765" customFormat="1" ht="78.75">
      <c r="A81" s="778" t="s">
        <v>1399</v>
      </c>
      <c r="B81" s="759">
        <v>175000000</v>
      </c>
      <c r="C81" s="764"/>
      <c r="D81" s="764"/>
      <c r="E81" s="764"/>
      <c r="F81" s="764"/>
      <c r="G81" s="764"/>
      <c r="H81" s="764"/>
      <c r="I81" s="764"/>
      <c r="J81" s="764"/>
      <c r="K81" s="764"/>
      <c r="L81" s="764"/>
      <c r="M81" s="764"/>
      <c r="N81" s="764"/>
      <c r="O81" s="764"/>
      <c r="P81" s="764"/>
      <c r="Q81" s="764"/>
      <c r="R81" s="764"/>
      <c r="S81" s="764"/>
      <c r="T81" s="764"/>
      <c r="U81" s="764"/>
      <c r="V81" s="764"/>
      <c r="W81" s="764"/>
      <c r="X81" s="764"/>
      <c r="Y81" s="764"/>
      <c r="Z81" s="764"/>
      <c r="AA81" s="764"/>
      <c r="AB81" s="764"/>
      <c r="AC81" s="764"/>
      <c r="AD81" s="764"/>
      <c r="AE81" s="764"/>
      <c r="AF81" s="764"/>
      <c r="AG81" s="764"/>
      <c r="AH81" s="764"/>
      <c r="AI81" s="764"/>
      <c r="AJ81" s="764"/>
      <c r="AK81" s="764"/>
      <c r="AL81" s="764"/>
      <c r="AM81" s="764"/>
      <c r="AN81" s="764"/>
      <c r="AO81" s="764"/>
      <c r="AP81" s="764"/>
      <c r="AQ81" s="764"/>
      <c r="AR81" s="764"/>
      <c r="AS81" s="764"/>
      <c r="AT81" s="764"/>
      <c r="AU81" s="764"/>
      <c r="AV81" s="764"/>
      <c r="AW81" s="764"/>
      <c r="AX81" s="764"/>
      <c r="AY81" s="764"/>
      <c r="AZ81" s="764"/>
      <c r="BA81" s="764"/>
      <c r="BB81" s="764"/>
      <c r="BC81" s="764"/>
      <c r="BD81" s="764"/>
      <c r="BE81" s="764"/>
      <c r="BF81" s="764"/>
      <c r="BG81" s="764"/>
      <c r="BH81" s="764"/>
      <c r="BI81" s="764"/>
      <c r="BJ81" s="764"/>
      <c r="BK81" s="764"/>
      <c r="BL81" s="764"/>
      <c r="BM81" s="764"/>
      <c r="BN81" s="764"/>
      <c r="BO81" s="764"/>
      <c r="BP81" s="764"/>
      <c r="BQ81" s="764"/>
      <c r="BR81" s="764"/>
      <c r="BS81" s="779">
        <f t="shared" si="40"/>
        <v>175000000</v>
      </c>
      <c r="BT81" s="779">
        <v>174909553</v>
      </c>
      <c r="BU81" s="779">
        <v>162374348</v>
      </c>
      <c r="BV81" s="779">
        <v>22906145</v>
      </c>
      <c r="BW81" s="764"/>
      <c r="BX81" s="764"/>
      <c r="BY81" s="764"/>
      <c r="BZ81" s="764"/>
      <c r="CA81" s="764"/>
      <c r="CB81" s="764"/>
      <c r="CC81" s="764"/>
      <c r="CD81" s="764"/>
      <c r="CE81" s="764"/>
      <c r="CF81" s="764"/>
      <c r="CG81" s="764"/>
      <c r="CH81" s="764"/>
      <c r="CI81" s="764"/>
      <c r="CJ81" s="764"/>
      <c r="CK81" s="764"/>
      <c r="CL81" s="764"/>
      <c r="CM81" s="764"/>
      <c r="CN81" s="764"/>
      <c r="CO81" s="764"/>
      <c r="CP81" s="764"/>
      <c r="CQ81" s="764"/>
      <c r="CR81" s="764"/>
      <c r="CS81" s="764"/>
      <c r="CT81" s="764"/>
      <c r="CU81" s="1891">
        <f t="shared" si="35"/>
        <v>175000000</v>
      </c>
      <c r="CV81" s="1891">
        <f t="shared" si="36"/>
        <v>174909553</v>
      </c>
      <c r="CW81" s="1891">
        <f t="shared" si="37"/>
        <v>162374348</v>
      </c>
      <c r="CX81" s="1891">
        <f t="shared" si="38"/>
        <v>22906145</v>
      </c>
      <c r="CY81" s="1892">
        <v>165656336</v>
      </c>
      <c r="CZ81" s="1893">
        <v>9768151</v>
      </c>
      <c r="DA81" s="1894">
        <v>9685362</v>
      </c>
      <c r="DB81" s="816">
        <f t="shared" si="39"/>
        <v>9253217</v>
      </c>
      <c r="DC81" s="816">
        <f t="shared" si="39"/>
        <v>152606197</v>
      </c>
      <c r="DD81" s="816">
        <f t="shared" si="39"/>
        <v>13220783</v>
      </c>
    </row>
    <row r="82" spans="1:108" ht="110.25">
      <c r="A82" s="772" t="s">
        <v>606</v>
      </c>
      <c r="B82" s="759">
        <v>100000000</v>
      </c>
      <c r="C82" s="761"/>
      <c r="D82" s="761"/>
      <c r="E82" s="761"/>
      <c r="F82" s="761"/>
      <c r="G82" s="760"/>
      <c r="H82" s="760"/>
      <c r="I82" s="760"/>
      <c r="J82" s="760"/>
      <c r="K82" s="760"/>
      <c r="L82" s="760"/>
      <c r="M82" s="760"/>
      <c r="N82" s="760"/>
      <c r="O82" s="760"/>
      <c r="P82" s="760"/>
      <c r="Q82" s="760"/>
      <c r="R82" s="760"/>
      <c r="S82" s="760"/>
      <c r="T82" s="760"/>
      <c r="U82" s="760"/>
      <c r="V82" s="760"/>
      <c r="W82" s="761"/>
      <c r="X82" s="761"/>
      <c r="Y82" s="761"/>
      <c r="Z82" s="761"/>
      <c r="AA82" s="761"/>
      <c r="AB82" s="761"/>
      <c r="AC82" s="761"/>
      <c r="AD82" s="761"/>
      <c r="AE82" s="761"/>
      <c r="AF82" s="761"/>
      <c r="AG82" s="761"/>
      <c r="AH82" s="761"/>
      <c r="AI82" s="761"/>
      <c r="AJ82" s="761"/>
      <c r="AK82" s="761"/>
      <c r="AL82" s="761"/>
      <c r="AM82" s="761"/>
      <c r="AN82" s="761"/>
      <c r="AO82" s="761"/>
      <c r="AP82" s="761"/>
      <c r="AQ82" s="761"/>
      <c r="AR82" s="761"/>
      <c r="AS82" s="761"/>
      <c r="AT82" s="761"/>
      <c r="AU82" s="761"/>
      <c r="AV82" s="761"/>
      <c r="AW82" s="761"/>
      <c r="AX82" s="761"/>
      <c r="AY82" s="761"/>
      <c r="AZ82" s="761"/>
      <c r="BA82" s="761"/>
      <c r="BB82" s="761"/>
      <c r="BC82" s="761"/>
      <c r="BD82" s="761"/>
      <c r="BE82" s="761"/>
      <c r="BF82" s="761"/>
      <c r="BG82" s="761"/>
      <c r="BH82" s="761"/>
      <c r="BI82" s="761"/>
      <c r="BJ82" s="761"/>
      <c r="BK82" s="761"/>
      <c r="BL82" s="761"/>
      <c r="BM82" s="761"/>
      <c r="BN82" s="761"/>
      <c r="BO82" s="761"/>
      <c r="BP82" s="761"/>
      <c r="BQ82" s="761"/>
      <c r="BR82" s="761"/>
      <c r="BS82" s="779">
        <f t="shared" si="40"/>
        <v>100000000</v>
      </c>
      <c r="BT82" s="779">
        <v>99948316</v>
      </c>
      <c r="BU82" s="779">
        <v>32949328</v>
      </c>
      <c r="BV82" s="779">
        <v>4171547</v>
      </c>
      <c r="BW82" s="761"/>
      <c r="BX82" s="761"/>
      <c r="BY82" s="761"/>
      <c r="BZ82" s="761"/>
      <c r="CA82" s="761"/>
      <c r="CB82" s="761"/>
      <c r="CC82" s="761"/>
      <c r="CD82" s="761"/>
      <c r="CE82" s="761"/>
      <c r="CF82" s="761"/>
      <c r="CG82" s="761"/>
      <c r="CH82" s="761"/>
      <c r="CI82" s="761"/>
      <c r="CJ82" s="761"/>
      <c r="CK82" s="761"/>
      <c r="CL82" s="761"/>
      <c r="CM82" s="761"/>
      <c r="CN82" s="761"/>
      <c r="CO82" s="761"/>
      <c r="CP82" s="761"/>
      <c r="CQ82" s="761"/>
      <c r="CR82" s="761"/>
      <c r="CS82" s="761"/>
      <c r="CT82" s="761"/>
      <c r="CU82" s="1891">
        <f t="shared" si="35"/>
        <v>100000000</v>
      </c>
      <c r="CV82" s="1891">
        <f t="shared" si="36"/>
        <v>99948316</v>
      </c>
      <c r="CW82" s="1891">
        <f t="shared" si="37"/>
        <v>32949328</v>
      </c>
      <c r="CX82" s="1891">
        <f t="shared" si="38"/>
        <v>4171547</v>
      </c>
      <c r="CY82" s="1892">
        <v>94660762</v>
      </c>
      <c r="CZ82" s="1893">
        <v>1581801</v>
      </c>
      <c r="DA82" s="1894">
        <v>1534493</v>
      </c>
      <c r="DB82" s="816">
        <f t="shared" si="39"/>
        <v>5287554</v>
      </c>
      <c r="DC82" s="816">
        <f t="shared" si="39"/>
        <v>31367527</v>
      </c>
      <c r="DD82" s="816">
        <f t="shared" si="39"/>
        <v>2637054</v>
      </c>
    </row>
    <row r="83" spans="1:108" ht="141.75">
      <c r="A83" s="772" t="s">
        <v>1400</v>
      </c>
      <c r="B83" s="759">
        <v>155000000</v>
      </c>
      <c r="C83" s="761"/>
      <c r="D83" s="761"/>
      <c r="E83" s="761"/>
      <c r="F83" s="761"/>
      <c r="G83" s="760"/>
      <c r="H83" s="760"/>
      <c r="I83" s="760"/>
      <c r="J83" s="760"/>
      <c r="K83" s="760"/>
      <c r="L83" s="760"/>
      <c r="M83" s="760"/>
      <c r="N83" s="760"/>
      <c r="O83" s="760"/>
      <c r="P83" s="760"/>
      <c r="Q83" s="760"/>
      <c r="R83" s="760"/>
      <c r="S83" s="760"/>
      <c r="T83" s="760"/>
      <c r="U83" s="760"/>
      <c r="V83" s="760"/>
      <c r="W83" s="761"/>
      <c r="X83" s="761"/>
      <c r="Y83" s="761"/>
      <c r="Z83" s="761"/>
      <c r="AA83" s="761"/>
      <c r="AB83" s="761"/>
      <c r="AC83" s="761"/>
      <c r="AD83" s="761"/>
      <c r="AE83" s="761"/>
      <c r="AF83" s="761"/>
      <c r="AG83" s="761"/>
      <c r="AH83" s="761"/>
      <c r="AI83" s="761"/>
      <c r="AJ83" s="761"/>
      <c r="AK83" s="761"/>
      <c r="AL83" s="761"/>
      <c r="AM83" s="761"/>
      <c r="AN83" s="761"/>
      <c r="AO83" s="761"/>
      <c r="AP83" s="761"/>
      <c r="AQ83" s="761"/>
      <c r="AR83" s="761"/>
      <c r="AS83" s="761"/>
      <c r="AT83" s="761"/>
      <c r="AU83" s="761"/>
      <c r="AV83" s="761"/>
      <c r="AW83" s="761"/>
      <c r="AX83" s="761"/>
      <c r="AY83" s="761"/>
      <c r="AZ83" s="761"/>
      <c r="BA83" s="761"/>
      <c r="BB83" s="761"/>
      <c r="BC83" s="761"/>
      <c r="BD83" s="761"/>
      <c r="BE83" s="761"/>
      <c r="BF83" s="761"/>
      <c r="BG83" s="761"/>
      <c r="BH83" s="761"/>
      <c r="BI83" s="761"/>
      <c r="BJ83" s="761"/>
      <c r="BK83" s="761"/>
      <c r="BL83" s="761"/>
      <c r="BM83" s="761"/>
      <c r="BN83" s="761"/>
      <c r="BO83" s="761"/>
      <c r="BP83" s="761"/>
      <c r="BQ83" s="761"/>
      <c r="BR83" s="761"/>
      <c r="BS83" s="779">
        <f t="shared" si="40"/>
        <v>155000000</v>
      </c>
      <c r="BT83" s="779">
        <v>154828434</v>
      </c>
      <c r="BU83" s="779">
        <v>149632817</v>
      </c>
      <c r="BV83" s="779">
        <v>56904656</v>
      </c>
      <c r="BW83" s="761"/>
      <c r="BX83" s="761"/>
      <c r="BY83" s="761"/>
      <c r="BZ83" s="761"/>
      <c r="CA83" s="761"/>
      <c r="CB83" s="761"/>
      <c r="CC83" s="761"/>
      <c r="CD83" s="761"/>
      <c r="CE83" s="761"/>
      <c r="CF83" s="761"/>
      <c r="CG83" s="761"/>
      <c r="CH83" s="761"/>
      <c r="CI83" s="761"/>
      <c r="CJ83" s="761"/>
      <c r="CK83" s="761"/>
      <c r="CL83" s="761"/>
      <c r="CM83" s="761"/>
      <c r="CN83" s="761"/>
      <c r="CO83" s="761"/>
      <c r="CP83" s="761"/>
      <c r="CQ83" s="761"/>
      <c r="CR83" s="761"/>
      <c r="CS83" s="761"/>
      <c r="CT83" s="761"/>
      <c r="CU83" s="1891">
        <f t="shared" si="35"/>
        <v>155000000</v>
      </c>
      <c r="CV83" s="1891">
        <f t="shared" si="36"/>
        <v>154828434</v>
      </c>
      <c r="CW83" s="1891">
        <f t="shared" si="37"/>
        <v>149632817</v>
      </c>
      <c r="CX83" s="1891">
        <f t="shared" si="38"/>
        <v>56904656</v>
      </c>
      <c r="CY83" s="1892">
        <v>146713060</v>
      </c>
      <c r="CZ83" s="1893">
        <v>30455087</v>
      </c>
      <c r="DA83" s="1894">
        <v>30381661</v>
      </c>
      <c r="DB83" s="816">
        <f t="shared" si="39"/>
        <v>8115374</v>
      </c>
      <c r="DC83" s="816">
        <f t="shared" si="39"/>
        <v>119177730</v>
      </c>
      <c r="DD83" s="816">
        <f t="shared" si="39"/>
        <v>26522995</v>
      </c>
    </row>
    <row r="84" spans="1:108" s="765" customFormat="1" ht="63">
      <c r="A84" s="772" t="s">
        <v>608</v>
      </c>
      <c r="B84" s="759">
        <v>175000000</v>
      </c>
      <c r="C84" s="764"/>
      <c r="D84" s="764"/>
      <c r="E84" s="764"/>
      <c r="F84" s="764"/>
      <c r="G84" s="764"/>
      <c r="H84" s="764"/>
      <c r="I84" s="764"/>
      <c r="J84" s="764"/>
      <c r="K84" s="764"/>
      <c r="L84" s="764"/>
      <c r="M84" s="764"/>
      <c r="N84" s="764"/>
      <c r="O84" s="764"/>
      <c r="P84" s="764"/>
      <c r="Q84" s="764"/>
      <c r="R84" s="764"/>
      <c r="S84" s="764"/>
      <c r="T84" s="764"/>
      <c r="U84" s="764"/>
      <c r="V84" s="764"/>
      <c r="W84" s="764"/>
      <c r="X84" s="764"/>
      <c r="Y84" s="764"/>
      <c r="Z84" s="764"/>
      <c r="AA84" s="764"/>
      <c r="AB84" s="764"/>
      <c r="AC84" s="764"/>
      <c r="AD84" s="764"/>
      <c r="AE84" s="764"/>
      <c r="AF84" s="764"/>
      <c r="AG84" s="764"/>
      <c r="AH84" s="764"/>
      <c r="AI84" s="764"/>
      <c r="AJ84" s="764"/>
      <c r="AK84" s="764"/>
      <c r="AL84" s="764"/>
      <c r="AM84" s="764"/>
      <c r="AN84" s="764"/>
      <c r="AO84" s="764"/>
      <c r="AP84" s="764"/>
      <c r="AQ84" s="764"/>
      <c r="AR84" s="764"/>
      <c r="AS84" s="764"/>
      <c r="AT84" s="764"/>
      <c r="AU84" s="764"/>
      <c r="AV84" s="764"/>
      <c r="AW84" s="764"/>
      <c r="AX84" s="764"/>
      <c r="AY84" s="764"/>
      <c r="AZ84" s="764"/>
      <c r="BA84" s="764"/>
      <c r="BB84" s="764"/>
      <c r="BC84" s="764"/>
      <c r="BD84" s="764"/>
      <c r="BE84" s="764"/>
      <c r="BF84" s="764"/>
      <c r="BG84" s="764"/>
      <c r="BH84" s="764"/>
      <c r="BI84" s="764"/>
      <c r="BJ84" s="764"/>
      <c r="BK84" s="764"/>
      <c r="BL84" s="764"/>
      <c r="BM84" s="764"/>
      <c r="BN84" s="764"/>
      <c r="BO84" s="764"/>
      <c r="BP84" s="764"/>
      <c r="BQ84" s="764"/>
      <c r="BR84" s="764"/>
      <c r="BS84" s="779">
        <f t="shared" si="40"/>
        <v>175000000</v>
      </c>
      <c r="BT84" s="779">
        <v>174909553</v>
      </c>
      <c r="BU84" s="779">
        <v>138161482</v>
      </c>
      <c r="BV84" s="779">
        <v>135330363</v>
      </c>
      <c r="BW84" s="764"/>
      <c r="BX84" s="764"/>
      <c r="BY84" s="764"/>
      <c r="BZ84" s="764"/>
      <c r="CA84" s="764"/>
      <c r="CB84" s="764"/>
      <c r="CC84" s="764"/>
      <c r="CD84" s="764"/>
      <c r="CE84" s="764"/>
      <c r="CF84" s="764"/>
      <c r="CG84" s="764"/>
      <c r="CH84" s="764"/>
      <c r="CI84" s="764"/>
      <c r="CJ84" s="764"/>
      <c r="CK84" s="764"/>
      <c r="CL84" s="764"/>
      <c r="CM84" s="764"/>
      <c r="CN84" s="764"/>
      <c r="CO84" s="764"/>
      <c r="CP84" s="764"/>
      <c r="CQ84" s="764"/>
      <c r="CR84" s="764"/>
      <c r="CS84" s="764"/>
      <c r="CT84" s="764"/>
      <c r="CU84" s="1891">
        <f t="shared" si="35"/>
        <v>175000000</v>
      </c>
      <c r="CV84" s="1891">
        <f t="shared" si="36"/>
        <v>174909553</v>
      </c>
      <c r="CW84" s="1891">
        <f t="shared" si="37"/>
        <v>138161482</v>
      </c>
      <c r="CX84" s="1891">
        <f t="shared" si="38"/>
        <v>135330363</v>
      </c>
      <c r="CY84" s="1892">
        <v>7456336</v>
      </c>
      <c r="CZ84" s="1893">
        <v>2768151</v>
      </c>
      <c r="DA84" s="1894">
        <v>2685362</v>
      </c>
      <c r="DB84" s="816">
        <f t="shared" si="39"/>
        <v>167453217</v>
      </c>
      <c r="DC84" s="816">
        <f t="shared" si="39"/>
        <v>135393331</v>
      </c>
      <c r="DD84" s="816">
        <f t="shared" si="39"/>
        <v>132645001</v>
      </c>
    </row>
    <row r="85" spans="1:108" ht="141.75">
      <c r="A85" s="772" t="s">
        <v>1401</v>
      </c>
      <c r="B85" s="767">
        <v>180850000</v>
      </c>
      <c r="C85" s="761"/>
      <c r="D85" s="761"/>
      <c r="E85" s="761"/>
      <c r="F85" s="761"/>
      <c r="G85" s="760"/>
      <c r="H85" s="760"/>
      <c r="I85" s="760"/>
      <c r="J85" s="760"/>
      <c r="K85" s="760"/>
      <c r="L85" s="760"/>
      <c r="M85" s="760"/>
      <c r="N85" s="760"/>
      <c r="O85" s="760"/>
      <c r="P85" s="760"/>
      <c r="Q85" s="760"/>
      <c r="R85" s="760"/>
      <c r="S85" s="760"/>
      <c r="T85" s="760"/>
      <c r="U85" s="760"/>
      <c r="V85" s="760"/>
      <c r="W85" s="761"/>
      <c r="X85" s="761"/>
      <c r="Y85" s="761"/>
      <c r="Z85" s="761"/>
      <c r="AA85" s="761"/>
      <c r="AB85" s="761"/>
      <c r="AC85" s="761"/>
      <c r="AD85" s="761"/>
      <c r="AE85" s="761"/>
      <c r="AF85" s="761"/>
      <c r="AG85" s="761"/>
      <c r="AH85" s="761"/>
      <c r="AI85" s="761"/>
      <c r="AJ85" s="761"/>
      <c r="AK85" s="761"/>
      <c r="AL85" s="761"/>
      <c r="AM85" s="761"/>
      <c r="AN85" s="761"/>
      <c r="AO85" s="761"/>
      <c r="AP85" s="761"/>
      <c r="AQ85" s="761"/>
      <c r="AR85" s="761"/>
      <c r="AS85" s="761"/>
      <c r="AT85" s="761"/>
      <c r="AU85" s="761"/>
      <c r="AV85" s="761"/>
      <c r="AW85" s="761"/>
      <c r="AX85" s="761"/>
      <c r="AY85" s="761"/>
      <c r="AZ85" s="761"/>
      <c r="BA85" s="761"/>
      <c r="BB85" s="761"/>
      <c r="BC85" s="761"/>
      <c r="BD85" s="761"/>
      <c r="BE85" s="761"/>
      <c r="BF85" s="761"/>
      <c r="BG85" s="761"/>
      <c r="BH85" s="761"/>
      <c r="BI85" s="761"/>
      <c r="BJ85" s="761"/>
      <c r="BK85" s="761"/>
      <c r="BL85" s="761"/>
      <c r="BM85" s="761"/>
      <c r="BN85" s="761"/>
      <c r="BO85" s="761"/>
      <c r="BP85" s="761"/>
      <c r="BQ85" s="761"/>
      <c r="BR85" s="761"/>
      <c r="BS85" s="779">
        <v>180850000</v>
      </c>
      <c r="BT85" s="779">
        <v>173506563</v>
      </c>
      <c r="BU85" s="779">
        <v>167761213</v>
      </c>
      <c r="BV85" s="779">
        <v>164685113</v>
      </c>
      <c r="BW85" s="761"/>
      <c r="BX85" s="761"/>
      <c r="BY85" s="761"/>
      <c r="BZ85" s="761"/>
      <c r="CA85" s="761"/>
      <c r="CB85" s="761"/>
      <c r="CC85" s="761"/>
      <c r="CD85" s="761"/>
      <c r="CE85" s="761"/>
      <c r="CF85" s="761"/>
      <c r="CG85" s="761"/>
      <c r="CH85" s="761"/>
      <c r="CI85" s="761"/>
      <c r="CJ85" s="761"/>
      <c r="CK85" s="761"/>
      <c r="CL85" s="761"/>
      <c r="CM85" s="761"/>
      <c r="CN85" s="761"/>
      <c r="CO85" s="761"/>
      <c r="CP85" s="761"/>
      <c r="CQ85" s="761"/>
      <c r="CR85" s="761"/>
      <c r="CS85" s="761"/>
      <c r="CT85" s="761"/>
      <c r="CU85" s="1891">
        <f t="shared" si="35"/>
        <v>180850000</v>
      </c>
      <c r="CV85" s="1891">
        <f t="shared" si="36"/>
        <v>173506563</v>
      </c>
      <c r="CW85" s="1891">
        <f t="shared" si="37"/>
        <v>167761213</v>
      </c>
      <c r="CX85" s="1891">
        <f t="shared" si="38"/>
        <v>164685113</v>
      </c>
      <c r="CY85" s="1892">
        <v>152506336</v>
      </c>
      <c r="CZ85" s="1893">
        <v>71018151</v>
      </c>
      <c r="DA85" s="1894">
        <v>60935362</v>
      </c>
      <c r="DB85" s="816">
        <f t="shared" si="39"/>
        <v>21000227</v>
      </c>
      <c r="DC85" s="816">
        <f t="shared" si="39"/>
        <v>96743062</v>
      </c>
      <c r="DD85" s="816">
        <f t="shared" si="39"/>
        <v>103749751</v>
      </c>
    </row>
    <row r="86" spans="1:108" s="765" customFormat="1" ht="63">
      <c r="A86" s="772" t="s">
        <v>610</v>
      </c>
      <c r="B86" s="759">
        <v>900000000</v>
      </c>
      <c r="C86" s="764"/>
      <c r="D86" s="764"/>
      <c r="E86" s="764"/>
      <c r="F86" s="764"/>
      <c r="G86" s="764"/>
      <c r="H86" s="764"/>
      <c r="I86" s="764"/>
      <c r="J86" s="764"/>
      <c r="K86" s="764"/>
      <c r="L86" s="764"/>
      <c r="M86" s="764"/>
      <c r="N86" s="764"/>
      <c r="O86" s="764"/>
      <c r="P86" s="764"/>
      <c r="Q86" s="764"/>
      <c r="R86" s="764"/>
      <c r="S86" s="764"/>
      <c r="T86" s="764"/>
      <c r="U86" s="764"/>
      <c r="V86" s="764"/>
      <c r="W86" s="764"/>
      <c r="X86" s="764"/>
      <c r="Y86" s="764"/>
      <c r="Z86" s="764"/>
      <c r="AA86" s="764"/>
      <c r="AB86" s="764"/>
      <c r="AC86" s="764"/>
      <c r="AD86" s="764"/>
      <c r="AE86" s="764"/>
      <c r="AF86" s="764"/>
      <c r="AG86" s="764"/>
      <c r="AH86" s="764"/>
      <c r="AI86" s="764"/>
      <c r="AJ86" s="764"/>
      <c r="AK86" s="764"/>
      <c r="AL86" s="764"/>
      <c r="AM86" s="764"/>
      <c r="AN86" s="764"/>
      <c r="AO86" s="764"/>
      <c r="AP86" s="764"/>
      <c r="AQ86" s="764"/>
      <c r="AR86" s="764"/>
      <c r="AS86" s="764"/>
      <c r="AT86" s="764"/>
      <c r="AU86" s="764"/>
      <c r="AV86" s="764"/>
      <c r="AW86" s="764"/>
      <c r="AX86" s="764"/>
      <c r="AY86" s="764"/>
      <c r="AZ86" s="764"/>
      <c r="BA86" s="764"/>
      <c r="BB86" s="764"/>
      <c r="BC86" s="764"/>
      <c r="BD86" s="764"/>
      <c r="BE86" s="764"/>
      <c r="BF86" s="764"/>
      <c r="BG86" s="764"/>
      <c r="BH86" s="764"/>
      <c r="BI86" s="764"/>
      <c r="BJ86" s="764"/>
      <c r="BK86" s="764"/>
      <c r="BL86" s="764"/>
      <c r="BM86" s="764"/>
      <c r="BN86" s="764"/>
      <c r="BO86" s="764"/>
      <c r="BP86" s="764"/>
      <c r="BQ86" s="764"/>
      <c r="BR86" s="764"/>
      <c r="BS86" s="779">
        <f t="shared" si="40"/>
        <v>900000000</v>
      </c>
      <c r="BT86" s="779">
        <v>899533769</v>
      </c>
      <c r="BU86" s="779">
        <v>861366347.01999998</v>
      </c>
      <c r="BV86" s="779">
        <v>849180110.01999998</v>
      </c>
      <c r="BW86" s="764"/>
      <c r="BX86" s="764"/>
      <c r="BY86" s="764"/>
      <c r="BZ86" s="764"/>
      <c r="CA86" s="764"/>
      <c r="CB86" s="764"/>
      <c r="CC86" s="764"/>
      <c r="CD86" s="764"/>
      <c r="CE86" s="764"/>
      <c r="CF86" s="764"/>
      <c r="CG86" s="764"/>
      <c r="CH86" s="764"/>
      <c r="CI86" s="764"/>
      <c r="CJ86" s="764"/>
      <c r="CK86" s="764"/>
      <c r="CL86" s="764"/>
      <c r="CM86" s="764"/>
      <c r="CN86" s="764"/>
      <c r="CO86" s="764"/>
      <c r="CP86" s="764"/>
      <c r="CQ86" s="764"/>
      <c r="CR86" s="764"/>
      <c r="CS86" s="764"/>
      <c r="CT86" s="764"/>
      <c r="CU86" s="1891">
        <f t="shared" si="35"/>
        <v>900000000</v>
      </c>
      <c r="CV86" s="1891">
        <f t="shared" si="36"/>
        <v>899533769</v>
      </c>
      <c r="CW86" s="1891">
        <f t="shared" si="37"/>
        <v>861366347.01999998</v>
      </c>
      <c r="CX86" s="1891">
        <f t="shared" si="38"/>
        <v>849180110.01999998</v>
      </c>
      <c r="CY86" s="1892">
        <v>851835631</v>
      </c>
      <c r="CZ86" s="1893">
        <v>614269163</v>
      </c>
      <c r="DA86" s="1894">
        <v>613842404</v>
      </c>
      <c r="DB86" s="816">
        <f t="shared" si="39"/>
        <v>47698138</v>
      </c>
      <c r="DC86" s="816">
        <f t="shared" si="39"/>
        <v>247097184.01999998</v>
      </c>
      <c r="DD86" s="816">
        <f t="shared" si="39"/>
        <v>235337706.01999998</v>
      </c>
    </row>
    <row r="87" spans="1:108" ht="94.5">
      <c r="A87" s="772" t="s">
        <v>1402</v>
      </c>
      <c r="B87" s="759">
        <v>100000000</v>
      </c>
      <c r="C87" s="761"/>
      <c r="D87" s="761"/>
      <c r="E87" s="761"/>
      <c r="F87" s="761"/>
      <c r="G87" s="760"/>
      <c r="H87" s="760"/>
      <c r="I87" s="760"/>
      <c r="J87" s="760"/>
      <c r="K87" s="760"/>
      <c r="L87" s="760"/>
      <c r="M87" s="760"/>
      <c r="N87" s="760"/>
      <c r="O87" s="760"/>
      <c r="P87" s="760"/>
      <c r="Q87" s="760"/>
      <c r="R87" s="760"/>
      <c r="S87" s="760"/>
      <c r="T87" s="760"/>
      <c r="U87" s="760"/>
      <c r="V87" s="760"/>
      <c r="W87" s="761"/>
      <c r="X87" s="761"/>
      <c r="Y87" s="761"/>
      <c r="Z87" s="761"/>
      <c r="AA87" s="761"/>
      <c r="AB87" s="761"/>
      <c r="AC87" s="761"/>
      <c r="AD87" s="761"/>
      <c r="AE87" s="761"/>
      <c r="AF87" s="761"/>
      <c r="AG87" s="761"/>
      <c r="AH87" s="761"/>
      <c r="AI87" s="761"/>
      <c r="AJ87" s="761"/>
      <c r="AK87" s="761"/>
      <c r="AL87" s="761"/>
      <c r="AM87" s="761"/>
      <c r="AN87" s="761"/>
      <c r="AO87" s="761"/>
      <c r="AP87" s="761"/>
      <c r="AQ87" s="761"/>
      <c r="AR87" s="761"/>
      <c r="AS87" s="761"/>
      <c r="AT87" s="761"/>
      <c r="AU87" s="761"/>
      <c r="AV87" s="761"/>
      <c r="AW87" s="761"/>
      <c r="AX87" s="761"/>
      <c r="AY87" s="761"/>
      <c r="AZ87" s="761"/>
      <c r="BA87" s="761"/>
      <c r="BB87" s="761"/>
      <c r="BC87" s="761"/>
      <c r="BD87" s="761"/>
      <c r="BE87" s="761"/>
      <c r="BF87" s="761"/>
      <c r="BG87" s="761"/>
      <c r="BH87" s="761"/>
      <c r="BI87" s="761"/>
      <c r="BJ87" s="761"/>
      <c r="BK87" s="761"/>
      <c r="BL87" s="761"/>
      <c r="BM87" s="761"/>
      <c r="BN87" s="761"/>
      <c r="BO87" s="761"/>
      <c r="BP87" s="761"/>
      <c r="BQ87" s="761"/>
      <c r="BR87" s="761"/>
      <c r="BS87" s="779">
        <f t="shared" si="40"/>
        <v>100000000</v>
      </c>
      <c r="BT87" s="779">
        <v>99948316</v>
      </c>
      <c r="BU87" s="779">
        <v>97780035</v>
      </c>
      <c r="BV87" s="779">
        <v>96387617</v>
      </c>
      <c r="BW87" s="761"/>
      <c r="BX87" s="761"/>
      <c r="BY87" s="761"/>
      <c r="BZ87" s="761"/>
      <c r="CA87" s="761"/>
      <c r="CB87" s="761"/>
      <c r="CC87" s="761"/>
      <c r="CD87" s="761"/>
      <c r="CE87" s="761"/>
      <c r="CF87" s="761"/>
      <c r="CG87" s="761"/>
      <c r="CH87" s="761"/>
      <c r="CI87" s="761"/>
      <c r="CJ87" s="761"/>
      <c r="CK87" s="761"/>
      <c r="CL87" s="761"/>
      <c r="CM87" s="761"/>
      <c r="CN87" s="761"/>
      <c r="CO87" s="761"/>
      <c r="CP87" s="761"/>
      <c r="CQ87" s="761"/>
      <c r="CR87" s="761"/>
      <c r="CS87" s="761"/>
      <c r="CT87" s="761"/>
      <c r="CU87" s="1891">
        <f t="shared" si="35"/>
        <v>100000000</v>
      </c>
      <c r="CV87" s="1891">
        <f t="shared" si="36"/>
        <v>99948316</v>
      </c>
      <c r="CW87" s="1891">
        <f t="shared" si="37"/>
        <v>97780035</v>
      </c>
      <c r="CX87" s="1891">
        <f t="shared" si="38"/>
        <v>96387617</v>
      </c>
      <c r="CY87" s="1892">
        <v>88060762</v>
      </c>
      <c r="CZ87" s="1893">
        <v>41181801</v>
      </c>
      <c r="DA87" s="1894">
        <v>41134493</v>
      </c>
      <c r="DB87" s="816">
        <f t="shared" si="39"/>
        <v>11887554</v>
      </c>
      <c r="DC87" s="816">
        <f t="shared" si="39"/>
        <v>56598234</v>
      </c>
      <c r="DD87" s="816">
        <f t="shared" si="39"/>
        <v>55253124</v>
      </c>
    </row>
    <row r="88" spans="1:108" ht="110.25">
      <c r="A88" s="772" t="s">
        <v>1403</v>
      </c>
      <c r="B88" s="767">
        <v>344150000</v>
      </c>
      <c r="C88" s="761"/>
      <c r="D88" s="761"/>
      <c r="E88" s="761"/>
      <c r="F88" s="761"/>
      <c r="G88" s="760"/>
      <c r="H88" s="760"/>
      <c r="I88" s="760"/>
      <c r="J88" s="760"/>
      <c r="K88" s="760"/>
      <c r="L88" s="760"/>
      <c r="M88" s="760"/>
      <c r="N88" s="760"/>
      <c r="O88" s="760"/>
      <c r="P88" s="760"/>
      <c r="Q88" s="760"/>
      <c r="R88" s="760"/>
      <c r="S88" s="760"/>
      <c r="T88" s="760"/>
      <c r="U88" s="760"/>
      <c r="V88" s="760"/>
      <c r="W88" s="761"/>
      <c r="X88" s="761"/>
      <c r="Y88" s="761"/>
      <c r="Z88" s="761"/>
      <c r="AA88" s="761"/>
      <c r="AB88" s="761"/>
      <c r="AC88" s="761"/>
      <c r="AD88" s="761"/>
      <c r="AE88" s="761"/>
      <c r="AF88" s="761"/>
      <c r="AG88" s="761"/>
      <c r="AH88" s="761"/>
      <c r="AI88" s="761"/>
      <c r="AJ88" s="761"/>
      <c r="AK88" s="761"/>
      <c r="AL88" s="761"/>
      <c r="AM88" s="761"/>
      <c r="AN88" s="761"/>
      <c r="AO88" s="761"/>
      <c r="AP88" s="761"/>
      <c r="AQ88" s="761"/>
      <c r="AR88" s="761"/>
      <c r="AS88" s="761"/>
      <c r="AT88" s="761"/>
      <c r="AU88" s="761"/>
      <c r="AV88" s="761"/>
      <c r="AW88" s="761"/>
      <c r="AX88" s="761"/>
      <c r="AY88" s="761"/>
      <c r="AZ88" s="761"/>
      <c r="BA88" s="761"/>
      <c r="BB88" s="761"/>
      <c r="BC88" s="761"/>
      <c r="BD88" s="761"/>
      <c r="BE88" s="761"/>
      <c r="BF88" s="761"/>
      <c r="BG88" s="761"/>
      <c r="BH88" s="761"/>
      <c r="BI88" s="761"/>
      <c r="BJ88" s="761"/>
      <c r="BK88" s="761"/>
      <c r="BL88" s="761"/>
      <c r="BM88" s="761"/>
      <c r="BN88" s="761"/>
      <c r="BO88" s="761"/>
      <c r="BP88" s="761"/>
      <c r="BQ88" s="761"/>
      <c r="BR88" s="761"/>
      <c r="BS88" s="779">
        <v>344150000</v>
      </c>
      <c r="BT88" s="779">
        <v>337660472</v>
      </c>
      <c r="BU88" s="779">
        <v>25853102</v>
      </c>
      <c r="BV88" s="779">
        <v>19859071</v>
      </c>
      <c r="BW88" s="761"/>
      <c r="BX88" s="761"/>
      <c r="BY88" s="761"/>
      <c r="BZ88" s="761"/>
      <c r="CA88" s="761"/>
      <c r="CB88" s="761"/>
      <c r="CC88" s="761"/>
      <c r="CD88" s="761"/>
      <c r="CE88" s="761"/>
      <c r="CF88" s="761"/>
      <c r="CG88" s="761"/>
      <c r="CH88" s="761"/>
      <c r="CI88" s="761"/>
      <c r="CJ88" s="761"/>
      <c r="CK88" s="761"/>
      <c r="CL88" s="761"/>
      <c r="CM88" s="761"/>
      <c r="CN88" s="761"/>
      <c r="CO88" s="761"/>
      <c r="CP88" s="761"/>
      <c r="CQ88" s="761"/>
      <c r="CR88" s="761"/>
      <c r="CS88" s="761"/>
      <c r="CT88" s="761"/>
      <c r="CU88" s="1891">
        <f t="shared" si="35"/>
        <v>344150000</v>
      </c>
      <c r="CV88" s="1891">
        <f t="shared" si="36"/>
        <v>337660472</v>
      </c>
      <c r="CW88" s="1891">
        <f t="shared" si="37"/>
        <v>25853102</v>
      </c>
      <c r="CX88" s="1891">
        <f t="shared" si="38"/>
        <v>19859071</v>
      </c>
      <c r="CY88" s="1892">
        <v>14913169</v>
      </c>
      <c r="CZ88" s="1893">
        <v>5536304</v>
      </c>
      <c r="DA88" s="1894">
        <v>5370725</v>
      </c>
      <c r="DB88" s="816">
        <f t="shared" si="39"/>
        <v>322747303</v>
      </c>
      <c r="DC88" s="816">
        <f t="shared" si="39"/>
        <v>20316798</v>
      </c>
      <c r="DD88" s="816">
        <f t="shared" si="39"/>
        <v>14488346</v>
      </c>
    </row>
    <row r="89" spans="1:108" s="765" customFormat="1" ht="78.75">
      <c r="A89" s="772" t="s">
        <v>613</v>
      </c>
      <c r="B89" s="759">
        <v>225000000</v>
      </c>
      <c r="C89" s="764"/>
      <c r="D89" s="764"/>
      <c r="E89" s="764"/>
      <c r="F89" s="764"/>
      <c r="G89" s="764"/>
      <c r="H89" s="764"/>
      <c r="I89" s="764"/>
      <c r="J89" s="764"/>
      <c r="K89" s="764"/>
      <c r="L89" s="764"/>
      <c r="M89" s="764"/>
      <c r="N89" s="764"/>
      <c r="O89" s="764"/>
      <c r="P89" s="764"/>
      <c r="Q89" s="764"/>
      <c r="R89" s="764"/>
      <c r="S89" s="764"/>
      <c r="T89" s="764"/>
      <c r="U89" s="764"/>
      <c r="V89" s="764"/>
      <c r="W89" s="764"/>
      <c r="X89" s="764"/>
      <c r="Y89" s="764"/>
      <c r="Z89" s="764"/>
      <c r="AA89" s="764"/>
      <c r="AB89" s="764"/>
      <c r="AC89" s="764"/>
      <c r="AD89" s="764"/>
      <c r="AE89" s="764"/>
      <c r="AF89" s="764"/>
      <c r="AG89" s="764"/>
      <c r="AH89" s="764"/>
      <c r="AI89" s="764"/>
      <c r="AJ89" s="764"/>
      <c r="AK89" s="764"/>
      <c r="AL89" s="764"/>
      <c r="AM89" s="764"/>
      <c r="AN89" s="764"/>
      <c r="AO89" s="764"/>
      <c r="AP89" s="764"/>
      <c r="AQ89" s="764"/>
      <c r="AR89" s="764"/>
      <c r="AS89" s="764"/>
      <c r="AT89" s="764"/>
      <c r="AU89" s="764"/>
      <c r="AV89" s="764"/>
      <c r="AW89" s="764"/>
      <c r="AX89" s="764"/>
      <c r="AY89" s="764"/>
      <c r="AZ89" s="764"/>
      <c r="BA89" s="764"/>
      <c r="BB89" s="764"/>
      <c r="BC89" s="764"/>
      <c r="BD89" s="764"/>
      <c r="BE89" s="764"/>
      <c r="BF89" s="764"/>
      <c r="BG89" s="764"/>
      <c r="BH89" s="764"/>
      <c r="BI89" s="764"/>
      <c r="BJ89" s="764"/>
      <c r="BK89" s="764"/>
      <c r="BL89" s="764"/>
      <c r="BM89" s="764"/>
      <c r="BN89" s="764"/>
      <c r="BO89" s="764"/>
      <c r="BP89" s="764"/>
      <c r="BQ89" s="764"/>
      <c r="BR89" s="764"/>
      <c r="BS89" s="779">
        <f t="shared" si="40"/>
        <v>225000000</v>
      </c>
      <c r="BT89" s="779">
        <v>218939399</v>
      </c>
      <c r="BU89" s="779">
        <v>193366300</v>
      </c>
      <c r="BV89" s="779">
        <v>160409433</v>
      </c>
      <c r="BW89" s="764"/>
      <c r="BX89" s="764"/>
      <c r="BY89" s="764"/>
      <c r="BZ89" s="764"/>
      <c r="CA89" s="764"/>
      <c r="CB89" s="764"/>
      <c r="CC89" s="764"/>
      <c r="CD89" s="764"/>
      <c r="CE89" s="764"/>
      <c r="CF89" s="764"/>
      <c r="CG89" s="764"/>
      <c r="CH89" s="764"/>
      <c r="CI89" s="764"/>
      <c r="CJ89" s="764"/>
      <c r="CK89" s="764"/>
      <c r="CL89" s="764"/>
      <c r="CM89" s="764"/>
      <c r="CN89" s="764"/>
      <c r="CO89" s="764"/>
      <c r="CP89" s="764"/>
      <c r="CQ89" s="764"/>
      <c r="CR89" s="764"/>
      <c r="CS89" s="764"/>
      <c r="CT89" s="764"/>
      <c r="CU89" s="1891">
        <f t="shared" si="35"/>
        <v>225000000</v>
      </c>
      <c r="CV89" s="1891">
        <f t="shared" si="36"/>
        <v>218939399</v>
      </c>
      <c r="CW89" s="1891">
        <f t="shared" si="37"/>
        <v>193366300</v>
      </c>
      <c r="CX89" s="1891">
        <f t="shared" si="38"/>
        <v>160409433</v>
      </c>
      <c r="CY89" s="1892">
        <v>9586716</v>
      </c>
      <c r="CZ89" s="1893">
        <v>3559052</v>
      </c>
      <c r="DA89" s="1894">
        <v>3452609</v>
      </c>
      <c r="DB89" s="816">
        <f t="shared" si="39"/>
        <v>209352683</v>
      </c>
      <c r="DC89" s="816">
        <f t="shared" si="39"/>
        <v>189807248</v>
      </c>
      <c r="DD89" s="816">
        <f t="shared" si="39"/>
        <v>156956824</v>
      </c>
    </row>
    <row r="90" spans="1:108" ht="47.25" customHeight="1">
      <c r="A90" s="772" t="s">
        <v>614</v>
      </c>
      <c r="B90" s="767">
        <v>282300000</v>
      </c>
      <c r="C90" s="761"/>
      <c r="D90" s="761"/>
      <c r="E90" s="761"/>
      <c r="F90" s="761"/>
      <c r="G90" s="760"/>
      <c r="H90" s="760"/>
      <c r="I90" s="760"/>
      <c r="J90" s="760"/>
      <c r="K90" s="760"/>
      <c r="L90" s="760"/>
      <c r="M90" s="760"/>
      <c r="N90" s="760"/>
      <c r="O90" s="760"/>
      <c r="P90" s="760"/>
      <c r="Q90" s="760"/>
      <c r="R90" s="760"/>
      <c r="S90" s="760"/>
      <c r="T90" s="760"/>
      <c r="U90" s="760"/>
      <c r="V90" s="760"/>
      <c r="W90" s="761"/>
      <c r="X90" s="761"/>
      <c r="Y90" s="761"/>
      <c r="Z90" s="761"/>
      <c r="AA90" s="761"/>
      <c r="AB90" s="761"/>
      <c r="AC90" s="761"/>
      <c r="AD90" s="761"/>
      <c r="AE90" s="761"/>
      <c r="AF90" s="761"/>
      <c r="AG90" s="761"/>
      <c r="AH90" s="761"/>
      <c r="AI90" s="761"/>
      <c r="AJ90" s="761"/>
      <c r="AK90" s="761"/>
      <c r="AL90" s="761"/>
      <c r="AM90" s="761"/>
      <c r="AN90" s="761"/>
      <c r="AO90" s="761"/>
      <c r="AP90" s="761"/>
      <c r="AQ90" s="761"/>
      <c r="AR90" s="761"/>
      <c r="AS90" s="761"/>
      <c r="AT90" s="761"/>
      <c r="AU90" s="761"/>
      <c r="AV90" s="761"/>
      <c r="AW90" s="761"/>
      <c r="AX90" s="761"/>
      <c r="AY90" s="761"/>
      <c r="AZ90" s="761"/>
      <c r="BA90" s="761"/>
      <c r="BB90" s="761"/>
      <c r="BC90" s="761"/>
      <c r="BD90" s="761"/>
      <c r="BE90" s="761"/>
      <c r="BF90" s="761"/>
      <c r="BG90" s="761"/>
      <c r="BH90" s="761"/>
      <c r="BI90" s="761"/>
      <c r="BJ90" s="761"/>
      <c r="BK90" s="761"/>
      <c r="BL90" s="761"/>
      <c r="BM90" s="761"/>
      <c r="BN90" s="761"/>
      <c r="BO90" s="761"/>
      <c r="BP90" s="761"/>
      <c r="BQ90" s="761"/>
      <c r="BR90" s="761"/>
      <c r="BS90" s="779">
        <v>282300000</v>
      </c>
      <c r="BT90" s="779">
        <v>47743163.770000003</v>
      </c>
      <c r="BU90" s="779">
        <v>36207519.219999999</v>
      </c>
      <c r="BV90" s="779">
        <v>30265782.219999999</v>
      </c>
      <c r="BW90" s="761"/>
      <c r="BX90" s="761"/>
      <c r="BY90" s="761"/>
      <c r="BZ90" s="761"/>
      <c r="CA90" s="761"/>
      <c r="CB90" s="761"/>
      <c r="CC90" s="761"/>
      <c r="CD90" s="761"/>
      <c r="CE90" s="761"/>
      <c r="CF90" s="761"/>
      <c r="CG90" s="761"/>
      <c r="CH90" s="761"/>
      <c r="CI90" s="761"/>
      <c r="CJ90" s="761"/>
      <c r="CK90" s="761"/>
      <c r="CL90" s="761"/>
      <c r="CM90" s="761"/>
      <c r="CN90" s="761"/>
      <c r="CO90" s="761"/>
      <c r="CP90" s="761"/>
      <c r="CQ90" s="761"/>
      <c r="CR90" s="761"/>
      <c r="CS90" s="761"/>
      <c r="CT90" s="761"/>
      <c r="CU90" s="1891">
        <f t="shared" si="35"/>
        <v>282300000</v>
      </c>
      <c r="CV90" s="1891">
        <f t="shared" si="36"/>
        <v>47743163.770000003</v>
      </c>
      <c r="CW90" s="1891">
        <f t="shared" si="37"/>
        <v>36207519.219999999</v>
      </c>
      <c r="CX90" s="1891">
        <f t="shared" si="38"/>
        <v>30265782.219999999</v>
      </c>
      <c r="CY90" s="1892">
        <v>15262944.41</v>
      </c>
      <c r="CZ90" s="1893">
        <v>5811453.4100000001</v>
      </c>
      <c r="DA90" s="1894">
        <v>5644548.4100000001</v>
      </c>
      <c r="DB90" s="816">
        <f t="shared" si="39"/>
        <v>32480219.360000003</v>
      </c>
      <c r="DC90" s="816">
        <f t="shared" si="39"/>
        <v>30396065.809999999</v>
      </c>
      <c r="DD90" s="816">
        <f t="shared" si="39"/>
        <v>24621233.809999999</v>
      </c>
    </row>
    <row r="91" spans="1:108" s="765" customFormat="1" ht="78.75">
      <c r="A91" s="786" t="s">
        <v>615</v>
      </c>
      <c r="B91" s="759">
        <v>120000000</v>
      </c>
      <c r="C91" s="764"/>
      <c r="D91" s="764"/>
      <c r="E91" s="764"/>
      <c r="F91" s="764"/>
      <c r="G91" s="764"/>
      <c r="H91" s="764"/>
      <c r="I91" s="764"/>
      <c r="J91" s="764"/>
      <c r="K91" s="764"/>
      <c r="L91" s="764"/>
      <c r="M91" s="764"/>
      <c r="N91" s="764"/>
      <c r="O91" s="764"/>
      <c r="P91" s="764"/>
      <c r="Q91" s="764"/>
      <c r="R91" s="764"/>
      <c r="S91" s="764"/>
      <c r="T91" s="764"/>
      <c r="U91" s="764"/>
      <c r="V91" s="764"/>
      <c r="W91" s="764"/>
      <c r="X91" s="764"/>
      <c r="Y91" s="764"/>
      <c r="Z91" s="764"/>
      <c r="AA91" s="764"/>
      <c r="AB91" s="764"/>
      <c r="AC91" s="764"/>
      <c r="AD91" s="764"/>
      <c r="AE91" s="764"/>
      <c r="AF91" s="764"/>
      <c r="AG91" s="764"/>
      <c r="AH91" s="764"/>
      <c r="AI91" s="764"/>
      <c r="AJ91" s="764"/>
      <c r="AK91" s="764"/>
      <c r="AL91" s="764"/>
      <c r="AM91" s="764"/>
      <c r="AN91" s="764"/>
      <c r="AO91" s="764"/>
      <c r="AP91" s="764"/>
      <c r="AQ91" s="764"/>
      <c r="AR91" s="764"/>
      <c r="AS91" s="764"/>
      <c r="AT91" s="764"/>
      <c r="AU91" s="764"/>
      <c r="AV91" s="764"/>
      <c r="AW91" s="764"/>
      <c r="AX91" s="764"/>
      <c r="AY91" s="764"/>
      <c r="AZ91" s="764"/>
      <c r="BA91" s="764"/>
      <c r="BB91" s="764"/>
      <c r="BC91" s="764"/>
      <c r="BD91" s="764"/>
      <c r="BE91" s="764"/>
      <c r="BF91" s="764"/>
      <c r="BG91" s="764"/>
      <c r="BH91" s="764"/>
      <c r="BI91" s="764"/>
      <c r="BJ91" s="764"/>
      <c r="BK91" s="764"/>
      <c r="BL91" s="764"/>
      <c r="BM91" s="764"/>
      <c r="BN91" s="764"/>
      <c r="BO91" s="764"/>
      <c r="BP91" s="764"/>
      <c r="BQ91" s="764"/>
      <c r="BR91" s="764"/>
      <c r="BS91" s="779">
        <f t="shared" si="40"/>
        <v>120000000</v>
      </c>
      <c r="BT91" s="779">
        <v>119938087</v>
      </c>
      <c r="BU91" s="779">
        <v>109572824</v>
      </c>
      <c r="BV91" s="779">
        <v>107098012</v>
      </c>
      <c r="BW91" s="764"/>
      <c r="BX91" s="764"/>
      <c r="BY91" s="764"/>
      <c r="BZ91" s="764"/>
      <c r="CA91" s="764"/>
      <c r="CB91" s="764"/>
      <c r="CC91" s="764"/>
      <c r="CD91" s="764"/>
      <c r="CE91" s="764"/>
      <c r="CF91" s="764"/>
      <c r="CG91" s="764"/>
      <c r="CH91" s="764"/>
      <c r="CI91" s="764"/>
      <c r="CJ91" s="764"/>
      <c r="CK91" s="764"/>
      <c r="CL91" s="764"/>
      <c r="CM91" s="764"/>
      <c r="CN91" s="764"/>
      <c r="CO91" s="764"/>
      <c r="CP91" s="764"/>
      <c r="CQ91" s="764"/>
      <c r="CR91" s="764"/>
      <c r="CS91" s="764"/>
      <c r="CT91" s="764"/>
      <c r="CU91" s="1891">
        <f t="shared" si="35"/>
        <v>120000000</v>
      </c>
      <c r="CV91" s="1891">
        <f t="shared" si="36"/>
        <v>119938087</v>
      </c>
      <c r="CW91" s="1891">
        <f t="shared" si="37"/>
        <v>109572824</v>
      </c>
      <c r="CX91" s="1891">
        <f t="shared" si="38"/>
        <v>107098012</v>
      </c>
      <c r="CY91" s="1892">
        <v>5104037</v>
      </c>
      <c r="CZ91" s="1893">
        <v>56671</v>
      </c>
      <c r="DA91" s="1894">
        <v>0</v>
      </c>
      <c r="DB91" s="816">
        <f>+CV91-CY91</f>
        <v>114834050</v>
      </c>
      <c r="DC91" s="816">
        <f t="shared" si="39"/>
        <v>109516153</v>
      </c>
      <c r="DD91" s="816">
        <f t="shared" si="39"/>
        <v>107098012</v>
      </c>
    </row>
    <row r="92" spans="1:108" ht="78.75">
      <c r="A92" s="772" t="s">
        <v>616</v>
      </c>
      <c r="B92" s="759">
        <v>25000000</v>
      </c>
      <c r="C92" s="761"/>
      <c r="D92" s="761"/>
      <c r="E92" s="761"/>
      <c r="F92" s="761"/>
      <c r="G92" s="760"/>
      <c r="H92" s="760"/>
      <c r="I92" s="760"/>
      <c r="J92" s="760"/>
      <c r="K92" s="760"/>
      <c r="L92" s="760"/>
      <c r="M92" s="760"/>
      <c r="N92" s="760"/>
      <c r="O92" s="760"/>
      <c r="P92" s="760"/>
      <c r="Q92" s="760"/>
      <c r="R92" s="760"/>
      <c r="S92" s="760"/>
      <c r="T92" s="760"/>
      <c r="U92" s="760"/>
      <c r="V92" s="760"/>
      <c r="W92" s="761"/>
      <c r="X92" s="761"/>
      <c r="Y92" s="761"/>
      <c r="Z92" s="761"/>
      <c r="AA92" s="761"/>
      <c r="AB92" s="761"/>
      <c r="AC92" s="761"/>
      <c r="AD92" s="761"/>
      <c r="AE92" s="761"/>
      <c r="AF92" s="761"/>
      <c r="AG92" s="761"/>
      <c r="AH92" s="761"/>
      <c r="AI92" s="761"/>
      <c r="AJ92" s="761"/>
      <c r="AK92" s="761"/>
      <c r="AL92" s="761"/>
      <c r="AM92" s="761"/>
      <c r="AN92" s="761"/>
      <c r="AO92" s="761"/>
      <c r="AP92" s="761"/>
      <c r="AQ92" s="761"/>
      <c r="AR92" s="761"/>
      <c r="AS92" s="761"/>
      <c r="AT92" s="761"/>
      <c r="AU92" s="761"/>
      <c r="AV92" s="761"/>
      <c r="AW92" s="761"/>
      <c r="AX92" s="761"/>
      <c r="AY92" s="761"/>
      <c r="AZ92" s="761"/>
      <c r="BA92" s="761"/>
      <c r="BB92" s="761"/>
      <c r="BC92" s="761"/>
      <c r="BD92" s="761"/>
      <c r="BE92" s="761"/>
      <c r="BF92" s="761"/>
      <c r="BG92" s="761"/>
      <c r="BH92" s="761"/>
      <c r="BI92" s="761"/>
      <c r="BJ92" s="761"/>
      <c r="BK92" s="761"/>
      <c r="BL92" s="761"/>
      <c r="BM92" s="761"/>
      <c r="BN92" s="761"/>
      <c r="BO92" s="761"/>
      <c r="BP92" s="761"/>
      <c r="BQ92" s="761"/>
      <c r="BR92" s="761"/>
      <c r="BS92" s="779">
        <f t="shared" si="40"/>
        <v>25000000</v>
      </c>
      <c r="BT92" s="779">
        <v>2387079</v>
      </c>
      <c r="BU92" s="779">
        <v>1720148</v>
      </c>
      <c r="BV92" s="779">
        <v>1416246.77</v>
      </c>
      <c r="BW92" s="761"/>
      <c r="BX92" s="761"/>
      <c r="BY92" s="761"/>
      <c r="BZ92" s="761"/>
      <c r="CA92" s="761"/>
      <c r="CB92" s="761"/>
      <c r="CC92" s="761"/>
      <c r="CD92" s="761"/>
      <c r="CE92" s="761"/>
      <c r="CF92" s="761"/>
      <c r="CG92" s="761"/>
      <c r="CH92" s="761"/>
      <c r="CI92" s="761"/>
      <c r="CJ92" s="761"/>
      <c r="CK92" s="761"/>
      <c r="CL92" s="761"/>
      <c r="CM92" s="761"/>
      <c r="CN92" s="761"/>
      <c r="CO92" s="761"/>
      <c r="CP92" s="761"/>
      <c r="CQ92" s="761"/>
      <c r="CR92" s="761"/>
      <c r="CS92" s="761"/>
      <c r="CT92" s="761"/>
      <c r="CU92" s="1891">
        <f t="shared" si="35"/>
        <v>25000000</v>
      </c>
      <c r="CV92" s="1891">
        <f t="shared" si="36"/>
        <v>2387079</v>
      </c>
      <c r="CW92" s="1891">
        <f t="shared" si="37"/>
        <v>1720148</v>
      </c>
      <c r="CX92" s="1891">
        <f t="shared" si="38"/>
        <v>1416246.77</v>
      </c>
      <c r="CY92" s="1892">
        <v>23737546.77</v>
      </c>
      <c r="CZ92" s="1893">
        <v>412905.77</v>
      </c>
      <c r="DA92" s="1894">
        <v>403982.77</v>
      </c>
      <c r="DB92" s="816">
        <f t="shared" si="39"/>
        <v>-21350467.77</v>
      </c>
      <c r="DC92" s="816">
        <f t="shared" si="39"/>
        <v>1307242.23</v>
      </c>
      <c r="DD92" s="816">
        <f t="shared" si="39"/>
        <v>1012264</v>
      </c>
    </row>
    <row r="93" spans="1:108" s="765" customFormat="1" ht="141.75">
      <c r="A93" s="772" t="s">
        <v>617</v>
      </c>
      <c r="B93" s="1909">
        <v>12500000</v>
      </c>
      <c r="C93" s="764"/>
      <c r="D93" s="764"/>
      <c r="E93" s="764"/>
      <c r="F93" s="764"/>
      <c r="G93" s="764"/>
      <c r="H93" s="764"/>
      <c r="I93" s="764"/>
      <c r="J93" s="764"/>
      <c r="K93" s="764"/>
      <c r="L93" s="764"/>
      <c r="M93" s="764"/>
      <c r="N93" s="764"/>
      <c r="O93" s="764"/>
      <c r="P93" s="764"/>
      <c r="Q93" s="764"/>
      <c r="R93" s="764"/>
      <c r="S93" s="764"/>
      <c r="T93" s="764"/>
      <c r="U93" s="764"/>
      <c r="V93" s="764"/>
      <c r="W93" s="764"/>
      <c r="X93" s="764"/>
      <c r="Y93" s="764"/>
      <c r="Z93" s="764"/>
      <c r="AA93" s="764"/>
      <c r="AB93" s="764"/>
      <c r="AC93" s="764"/>
      <c r="AD93" s="764"/>
      <c r="AE93" s="764"/>
      <c r="AF93" s="764"/>
      <c r="AG93" s="764"/>
      <c r="AH93" s="764"/>
      <c r="AI93" s="764"/>
      <c r="AJ93" s="764"/>
      <c r="AK93" s="764"/>
      <c r="AL93" s="764"/>
      <c r="AM93" s="764"/>
      <c r="AN93" s="764"/>
      <c r="AO93" s="764"/>
      <c r="AP93" s="764"/>
      <c r="AQ93" s="764"/>
      <c r="AR93" s="764"/>
      <c r="AS93" s="764"/>
      <c r="AT93" s="764"/>
      <c r="AU93" s="764"/>
      <c r="AV93" s="764"/>
      <c r="AW93" s="764"/>
      <c r="AX93" s="764"/>
      <c r="AY93" s="764"/>
      <c r="AZ93" s="764"/>
      <c r="BA93" s="764"/>
      <c r="BB93" s="764"/>
      <c r="BC93" s="764"/>
      <c r="BD93" s="764"/>
      <c r="BE93" s="764"/>
      <c r="BF93" s="764"/>
      <c r="BG93" s="764"/>
      <c r="BH93" s="764"/>
      <c r="BI93" s="764"/>
      <c r="BJ93" s="764"/>
      <c r="BK93" s="764"/>
      <c r="BL93" s="764"/>
      <c r="BM93" s="764"/>
      <c r="BN93" s="764"/>
      <c r="BO93" s="764"/>
      <c r="BP93" s="764"/>
      <c r="BQ93" s="764"/>
      <c r="BR93" s="764"/>
      <c r="BS93" s="779">
        <v>12500000</v>
      </c>
      <c r="BT93" s="779">
        <v>12452085</v>
      </c>
      <c r="BU93" s="779">
        <v>10295874</v>
      </c>
      <c r="BV93" s="779">
        <v>8462606</v>
      </c>
      <c r="BW93" s="764"/>
      <c r="BX93" s="764"/>
      <c r="BY93" s="764"/>
      <c r="BZ93" s="764"/>
      <c r="CA93" s="764"/>
      <c r="CB93" s="764"/>
      <c r="CC93" s="764"/>
      <c r="CD93" s="764"/>
      <c r="CE93" s="764"/>
      <c r="CF93" s="764"/>
      <c r="CG93" s="764"/>
      <c r="CH93" s="764"/>
      <c r="CI93" s="764"/>
      <c r="CJ93" s="764"/>
      <c r="CK93" s="764"/>
      <c r="CL93" s="764"/>
      <c r="CM93" s="764"/>
      <c r="CN93" s="764"/>
      <c r="CO93" s="764"/>
      <c r="CP93" s="764"/>
      <c r="CQ93" s="764"/>
      <c r="CR93" s="764"/>
      <c r="CS93" s="764"/>
      <c r="CT93" s="764"/>
      <c r="CU93" s="1891">
        <f t="shared" si="35"/>
        <v>12500000</v>
      </c>
      <c r="CV93" s="1891">
        <f t="shared" si="36"/>
        <v>12452085</v>
      </c>
      <c r="CW93" s="1891">
        <f t="shared" si="37"/>
        <v>10295874</v>
      </c>
      <c r="CX93" s="1891">
        <f t="shared" si="38"/>
        <v>8462606</v>
      </c>
      <c r="CY93" s="1892">
        <v>3950082</v>
      </c>
      <c r="CZ93" s="1893">
        <v>1466462</v>
      </c>
      <c r="DA93" s="1894">
        <v>1422603</v>
      </c>
      <c r="DB93" s="816">
        <f t="shared" si="39"/>
        <v>8502003</v>
      </c>
      <c r="DC93" s="816">
        <f t="shared" si="39"/>
        <v>8829412</v>
      </c>
      <c r="DD93" s="816">
        <f t="shared" si="39"/>
        <v>7040003</v>
      </c>
    </row>
    <row r="94" spans="1:108" ht="78.75">
      <c r="A94" s="772" t="s">
        <v>618</v>
      </c>
      <c r="B94" s="1908">
        <v>395600000</v>
      </c>
      <c r="C94" s="761"/>
      <c r="D94" s="761"/>
      <c r="E94" s="761"/>
      <c r="F94" s="761"/>
      <c r="G94" s="760"/>
      <c r="H94" s="760"/>
      <c r="I94" s="760"/>
      <c r="J94" s="760"/>
      <c r="K94" s="760"/>
      <c r="L94" s="760"/>
      <c r="M94" s="760"/>
      <c r="N94" s="760"/>
      <c r="O94" s="760"/>
      <c r="P94" s="760"/>
      <c r="Q94" s="760"/>
      <c r="R94" s="760"/>
      <c r="S94" s="760"/>
      <c r="T94" s="760"/>
      <c r="U94" s="760"/>
      <c r="V94" s="760"/>
      <c r="W94" s="761"/>
      <c r="X94" s="761"/>
      <c r="Y94" s="761"/>
      <c r="Z94" s="761"/>
      <c r="AA94" s="761"/>
      <c r="AB94" s="761"/>
      <c r="AC94" s="761"/>
      <c r="AD94" s="761"/>
      <c r="AE94" s="761"/>
      <c r="AF94" s="761"/>
      <c r="AG94" s="761"/>
      <c r="AH94" s="761"/>
      <c r="AI94" s="761"/>
      <c r="AJ94" s="761"/>
      <c r="AK94" s="761"/>
      <c r="AL94" s="761"/>
      <c r="AM94" s="761"/>
      <c r="AN94" s="761"/>
      <c r="AO94" s="761"/>
      <c r="AP94" s="761"/>
      <c r="AQ94" s="761"/>
      <c r="AR94" s="761"/>
      <c r="AS94" s="761"/>
      <c r="AT94" s="761"/>
      <c r="AU94" s="761"/>
      <c r="AV94" s="761"/>
      <c r="AW94" s="761"/>
      <c r="AX94" s="761"/>
      <c r="AY94" s="761"/>
      <c r="AZ94" s="761"/>
      <c r="BA94" s="761"/>
      <c r="BB94" s="761"/>
      <c r="BC94" s="761"/>
      <c r="BD94" s="761"/>
      <c r="BE94" s="761"/>
      <c r="BF94" s="761"/>
      <c r="BG94" s="761"/>
      <c r="BH94" s="761"/>
      <c r="BI94" s="761"/>
      <c r="BJ94" s="761"/>
      <c r="BK94" s="761"/>
      <c r="BL94" s="761"/>
      <c r="BM94" s="761"/>
      <c r="BN94" s="761"/>
      <c r="BO94" s="761"/>
      <c r="BP94" s="761"/>
      <c r="BQ94" s="761"/>
      <c r="BR94" s="761"/>
      <c r="BS94" s="779">
        <v>395600000</v>
      </c>
      <c r="BT94" s="779">
        <v>372265401</v>
      </c>
      <c r="BU94" s="779">
        <v>356128692</v>
      </c>
      <c r="BV94" s="779">
        <v>345862521</v>
      </c>
      <c r="BW94" s="761"/>
      <c r="BX94" s="761"/>
      <c r="BY94" s="761"/>
      <c r="BZ94" s="761"/>
      <c r="CA94" s="761"/>
      <c r="CB94" s="761"/>
      <c r="CC94" s="761"/>
      <c r="CD94" s="761"/>
      <c r="CE94" s="761"/>
      <c r="CF94" s="761"/>
      <c r="CG94" s="761"/>
      <c r="CH94" s="761"/>
      <c r="CI94" s="761"/>
      <c r="CJ94" s="761"/>
      <c r="CK94" s="761"/>
      <c r="CL94" s="761"/>
      <c r="CM94" s="761"/>
      <c r="CN94" s="761"/>
      <c r="CO94" s="761"/>
      <c r="CP94" s="761"/>
      <c r="CQ94" s="761"/>
      <c r="CR94" s="761"/>
      <c r="CS94" s="761"/>
      <c r="CT94" s="761"/>
      <c r="CU94" s="1891">
        <f t="shared" si="35"/>
        <v>395600000</v>
      </c>
      <c r="CV94" s="1891">
        <f t="shared" si="36"/>
        <v>372265401</v>
      </c>
      <c r="CW94" s="1891">
        <f t="shared" si="37"/>
        <v>356128692</v>
      </c>
      <c r="CX94" s="1891">
        <f t="shared" si="38"/>
        <v>345862521</v>
      </c>
      <c r="CY94" s="1892">
        <v>246233887.36000001</v>
      </c>
      <c r="CZ94" s="1893">
        <v>102925399.36</v>
      </c>
      <c r="DA94" s="1894">
        <v>93803425.359999999</v>
      </c>
      <c r="DB94" s="816">
        <f t="shared" si="39"/>
        <v>126031513.63999999</v>
      </c>
      <c r="DC94" s="816">
        <f t="shared" si="39"/>
        <v>253203292.63999999</v>
      </c>
      <c r="DD94" s="816">
        <f t="shared" si="39"/>
        <v>252059095.63999999</v>
      </c>
    </row>
    <row r="95" spans="1:108" ht="63">
      <c r="A95" s="772" t="s">
        <v>1404</v>
      </c>
      <c r="B95" s="759">
        <v>40000000</v>
      </c>
      <c r="C95" s="761"/>
      <c r="D95" s="761"/>
      <c r="E95" s="761"/>
      <c r="F95" s="761"/>
      <c r="G95" s="760"/>
      <c r="H95" s="760"/>
      <c r="I95" s="760"/>
      <c r="J95" s="760"/>
      <c r="K95" s="760"/>
      <c r="L95" s="760"/>
      <c r="M95" s="760"/>
      <c r="N95" s="760"/>
      <c r="O95" s="760"/>
      <c r="P95" s="760"/>
      <c r="Q95" s="760"/>
      <c r="R95" s="760"/>
      <c r="S95" s="760"/>
      <c r="T95" s="760"/>
      <c r="U95" s="760"/>
      <c r="V95" s="760"/>
      <c r="W95" s="761"/>
      <c r="X95" s="761"/>
      <c r="Y95" s="761"/>
      <c r="Z95" s="761"/>
      <c r="AA95" s="761"/>
      <c r="AB95" s="761"/>
      <c r="AC95" s="761"/>
      <c r="AD95" s="761"/>
      <c r="AE95" s="761"/>
      <c r="AF95" s="761"/>
      <c r="AG95" s="761"/>
      <c r="AH95" s="761"/>
      <c r="AI95" s="761"/>
      <c r="AJ95" s="761"/>
      <c r="AK95" s="761"/>
      <c r="AL95" s="761"/>
      <c r="AM95" s="761"/>
      <c r="AN95" s="761"/>
      <c r="AO95" s="761"/>
      <c r="AP95" s="761"/>
      <c r="AQ95" s="761"/>
      <c r="AR95" s="761"/>
      <c r="AS95" s="761"/>
      <c r="AT95" s="761"/>
      <c r="AU95" s="761"/>
      <c r="AV95" s="761"/>
      <c r="AW95" s="761"/>
      <c r="AX95" s="761"/>
      <c r="AY95" s="761"/>
      <c r="AZ95" s="761"/>
      <c r="BA95" s="761"/>
      <c r="BB95" s="761"/>
      <c r="BC95" s="761"/>
      <c r="BD95" s="761"/>
      <c r="BE95" s="761"/>
      <c r="BF95" s="761"/>
      <c r="BG95" s="761"/>
      <c r="BH95" s="761"/>
      <c r="BI95" s="761"/>
      <c r="BJ95" s="761"/>
      <c r="BK95" s="761"/>
      <c r="BL95" s="761"/>
      <c r="BM95" s="761"/>
      <c r="BN95" s="761"/>
      <c r="BO95" s="761"/>
      <c r="BP95" s="761"/>
      <c r="BQ95" s="761"/>
      <c r="BR95" s="761"/>
      <c r="BS95" s="779">
        <f t="shared" ref="BS95:BS109" si="41">+B95</f>
        <v>40000000</v>
      </c>
      <c r="BT95" s="779">
        <v>39979542</v>
      </c>
      <c r="BU95" s="779">
        <v>38483834</v>
      </c>
      <c r="BV95" s="779">
        <v>38002748</v>
      </c>
      <c r="BW95" s="761"/>
      <c r="BX95" s="761"/>
      <c r="BY95" s="761"/>
      <c r="BZ95" s="761"/>
      <c r="CA95" s="761"/>
      <c r="CB95" s="761"/>
      <c r="CC95" s="761"/>
      <c r="CD95" s="761"/>
      <c r="CE95" s="761"/>
      <c r="CF95" s="761"/>
      <c r="CG95" s="761"/>
      <c r="CH95" s="761"/>
      <c r="CI95" s="761"/>
      <c r="CJ95" s="761"/>
      <c r="CK95" s="761"/>
      <c r="CL95" s="761"/>
      <c r="CM95" s="761"/>
      <c r="CN95" s="761"/>
      <c r="CO95" s="761"/>
      <c r="CP95" s="761"/>
      <c r="CQ95" s="761"/>
      <c r="CR95" s="761"/>
      <c r="CS95" s="761"/>
      <c r="CT95" s="761"/>
      <c r="CU95" s="1891">
        <f t="shared" si="35"/>
        <v>40000000</v>
      </c>
      <c r="CV95" s="1891">
        <f t="shared" si="36"/>
        <v>39979542</v>
      </c>
      <c r="CW95" s="1891">
        <f t="shared" si="37"/>
        <v>38483834</v>
      </c>
      <c r="CX95" s="1891">
        <f t="shared" si="38"/>
        <v>38002748</v>
      </c>
      <c r="CY95" s="1892">
        <v>37886481</v>
      </c>
      <c r="CZ95" s="1893">
        <v>29326130</v>
      </c>
      <c r="DA95" s="1894">
        <v>28107403</v>
      </c>
      <c r="DB95" s="816">
        <f t="shared" si="39"/>
        <v>2093061</v>
      </c>
      <c r="DC95" s="816">
        <f t="shared" si="39"/>
        <v>9157704</v>
      </c>
      <c r="DD95" s="816">
        <f t="shared" si="39"/>
        <v>9895345</v>
      </c>
    </row>
    <row r="96" spans="1:108" s="765" customFormat="1" ht="94.5">
      <c r="A96" s="772" t="s">
        <v>1405</v>
      </c>
      <c r="B96" s="759">
        <v>300000000</v>
      </c>
      <c r="C96" s="764"/>
      <c r="D96" s="764"/>
      <c r="E96" s="764"/>
      <c r="F96" s="764"/>
      <c r="G96" s="764"/>
      <c r="H96" s="764"/>
      <c r="I96" s="764"/>
      <c r="J96" s="764"/>
      <c r="K96" s="764"/>
      <c r="L96" s="764"/>
      <c r="M96" s="764"/>
      <c r="N96" s="764"/>
      <c r="O96" s="764"/>
      <c r="P96" s="764"/>
      <c r="Q96" s="764"/>
      <c r="R96" s="764"/>
      <c r="S96" s="764"/>
      <c r="T96" s="764"/>
      <c r="U96" s="764"/>
      <c r="V96" s="764"/>
      <c r="W96" s="764"/>
      <c r="X96" s="764"/>
      <c r="Y96" s="764"/>
      <c r="Z96" s="764"/>
      <c r="AA96" s="764"/>
      <c r="AB96" s="764"/>
      <c r="AC96" s="764"/>
      <c r="AD96" s="764"/>
      <c r="AE96" s="764"/>
      <c r="AF96" s="764"/>
      <c r="AG96" s="764"/>
      <c r="AH96" s="764"/>
      <c r="AI96" s="764"/>
      <c r="AJ96" s="764"/>
      <c r="AK96" s="764"/>
      <c r="AL96" s="764"/>
      <c r="AM96" s="764"/>
      <c r="AN96" s="764"/>
      <c r="AO96" s="764"/>
      <c r="AP96" s="764"/>
      <c r="AQ96" s="764"/>
      <c r="AR96" s="764"/>
      <c r="AS96" s="764"/>
      <c r="AT96" s="764"/>
      <c r="AU96" s="764"/>
      <c r="AV96" s="764"/>
      <c r="AW96" s="764"/>
      <c r="AX96" s="764"/>
      <c r="AY96" s="764"/>
      <c r="AZ96" s="764"/>
      <c r="BA96" s="764"/>
      <c r="BB96" s="764"/>
      <c r="BC96" s="764"/>
      <c r="BD96" s="764"/>
      <c r="BE96" s="764"/>
      <c r="BF96" s="764"/>
      <c r="BG96" s="764"/>
      <c r="BH96" s="764"/>
      <c r="BI96" s="764"/>
      <c r="BJ96" s="764"/>
      <c r="BK96" s="764"/>
      <c r="BL96" s="764"/>
      <c r="BM96" s="764"/>
      <c r="BN96" s="764"/>
      <c r="BO96" s="764"/>
      <c r="BP96" s="764"/>
      <c r="BQ96" s="764"/>
      <c r="BR96" s="764"/>
      <c r="BS96" s="779">
        <f t="shared" si="41"/>
        <v>300000000</v>
      </c>
      <c r="BT96" s="779">
        <v>299984495</v>
      </c>
      <c r="BU96" s="779">
        <v>55530944</v>
      </c>
      <c r="BV96" s="779">
        <v>55166263</v>
      </c>
      <c r="BW96" s="764"/>
      <c r="BX96" s="764"/>
      <c r="BY96" s="764"/>
      <c r="BZ96" s="764"/>
      <c r="CA96" s="764"/>
      <c r="CB96" s="764"/>
      <c r="CC96" s="764"/>
      <c r="CD96" s="764"/>
      <c r="CE96" s="764"/>
      <c r="CF96" s="764"/>
      <c r="CG96" s="764"/>
      <c r="CH96" s="764"/>
      <c r="CI96" s="764"/>
      <c r="CJ96" s="764"/>
      <c r="CK96" s="764"/>
      <c r="CL96" s="764"/>
      <c r="CM96" s="764"/>
      <c r="CN96" s="764"/>
      <c r="CO96" s="764"/>
      <c r="CP96" s="764"/>
      <c r="CQ96" s="764"/>
      <c r="CR96" s="764"/>
      <c r="CS96" s="764"/>
      <c r="CT96" s="764"/>
      <c r="CU96" s="1891">
        <f t="shared" si="35"/>
        <v>300000000</v>
      </c>
      <c r="CV96" s="1891">
        <f t="shared" si="36"/>
        <v>299984495</v>
      </c>
      <c r="CW96" s="1891">
        <f t="shared" si="37"/>
        <v>55530944</v>
      </c>
      <c r="CX96" s="1891">
        <f t="shared" si="38"/>
        <v>55166263</v>
      </c>
      <c r="CY96" s="1892">
        <v>21878229</v>
      </c>
      <c r="CZ96" s="1893">
        <v>11274540</v>
      </c>
      <c r="DA96" s="1894">
        <v>7460348</v>
      </c>
      <c r="DB96" s="816">
        <f t="shared" si="39"/>
        <v>278106266</v>
      </c>
      <c r="DC96" s="816">
        <f t="shared" si="39"/>
        <v>44256404</v>
      </c>
      <c r="DD96" s="816">
        <f t="shared" si="39"/>
        <v>47705915</v>
      </c>
    </row>
    <row r="97" spans="1:108" ht="110.25">
      <c r="A97" s="772" t="s">
        <v>623</v>
      </c>
      <c r="B97" s="759">
        <v>40000000</v>
      </c>
      <c r="C97" s="761"/>
      <c r="D97" s="761"/>
      <c r="E97" s="761"/>
      <c r="F97" s="761"/>
      <c r="G97" s="760"/>
      <c r="H97" s="760"/>
      <c r="I97" s="760"/>
      <c r="J97" s="760"/>
      <c r="K97" s="760"/>
      <c r="L97" s="760"/>
      <c r="M97" s="760"/>
      <c r="N97" s="760"/>
      <c r="O97" s="760"/>
      <c r="P97" s="760"/>
      <c r="Q97" s="760"/>
      <c r="R97" s="760"/>
      <c r="S97" s="760"/>
      <c r="T97" s="760"/>
      <c r="U97" s="760"/>
      <c r="V97" s="760"/>
      <c r="W97" s="761"/>
      <c r="X97" s="761"/>
      <c r="Y97" s="761"/>
      <c r="Z97" s="761"/>
      <c r="AA97" s="761"/>
      <c r="AB97" s="761"/>
      <c r="AC97" s="761"/>
      <c r="AD97" s="761"/>
      <c r="AE97" s="761"/>
      <c r="AF97" s="761"/>
      <c r="AG97" s="761"/>
      <c r="AH97" s="761"/>
      <c r="AI97" s="761"/>
      <c r="AJ97" s="761"/>
      <c r="AK97" s="761"/>
      <c r="AL97" s="761"/>
      <c r="AM97" s="761"/>
      <c r="AN97" s="761"/>
      <c r="AO97" s="761"/>
      <c r="AP97" s="761"/>
      <c r="AQ97" s="761"/>
      <c r="AR97" s="761"/>
      <c r="AS97" s="761"/>
      <c r="AT97" s="761"/>
      <c r="AU97" s="761"/>
      <c r="AV97" s="761"/>
      <c r="AW97" s="761"/>
      <c r="AX97" s="761"/>
      <c r="AY97" s="761"/>
      <c r="AZ97" s="761"/>
      <c r="BA97" s="761"/>
      <c r="BB97" s="761"/>
      <c r="BC97" s="761"/>
      <c r="BD97" s="761"/>
      <c r="BE97" s="761"/>
      <c r="BF97" s="761"/>
      <c r="BG97" s="761"/>
      <c r="BH97" s="761"/>
      <c r="BI97" s="761"/>
      <c r="BJ97" s="761"/>
      <c r="BK97" s="761"/>
      <c r="BL97" s="761"/>
      <c r="BM97" s="761"/>
      <c r="BN97" s="761"/>
      <c r="BO97" s="761"/>
      <c r="BP97" s="761"/>
      <c r="BQ97" s="761"/>
      <c r="BR97" s="761"/>
      <c r="BS97" s="779">
        <f t="shared" si="41"/>
        <v>40000000</v>
      </c>
      <c r="BT97" s="779">
        <v>39979542</v>
      </c>
      <c r="BU97" s="779">
        <v>38483885</v>
      </c>
      <c r="BV97" s="779">
        <v>38002709</v>
      </c>
      <c r="BW97" s="761"/>
      <c r="BX97" s="761"/>
      <c r="BY97" s="761"/>
      <c r="BZ97" s="761"/>
      <c r="CA97" s="761"/>
      <c r="CB97" s="761"/>
      <c r="CC97" s="761"/>
      <c r="CD97" s="761"/>
      <c r="CE97" s="761"/>
      <c r="CF97" s="761"/>
      <c r="CG97" s="761"/>
      <c r="CH97" s="761"/>
      <c r="CI97" s="761"/>
      <c r="CJ97" s="761"/>
      <c r="CK97" s="761"/>
      <c r="CL97" s="761"/>
      <c r="CM97" s="761"/>
      <c r="CN97" s="761"/>
      <c r="CO97" s="761"/>
      <c r="CP97" s="761"/>
      <c r="CQ97" s="761"/>
      <c r="CR97" s="761"/>
      <c r="CS97" s="761"/>
      <c r="CT97" s="761"/>
      <c r="CU97" s="1891">
        <f t="shared" si="35"/>
        <v>40000000</v>
      </c>
      <c r="CV97" s="1891">
        <f t="shared" si="36"/>
        <v>39979542</v>
      </c>
      <c r="CW97" s="1891">
        <f t="shared" si="37"/>
        <v>38483885</v>
      </c>
      <c r="CX97" s="1891">
        <f t="shared" si="38"/>
        <v>38002709</v>
      </c>
      <c r="CY97" s="1892">
        <v>37886553</v>
      </c>
      <c r="CZ97" s="1893">
        <v>12126129</v>
      </c>
      <c r="DA97" s="1894">
        <v>12107403</v>
      </c>
      <c r="DB97" s="816">
        <f t="shared" si="39"/>
        <v>2092989</v>
      </c>
      <c r="DC97" s="816">
        <f t="shared" si="39"/>
        <v>26357756</v>
      </c>
      <c r="DD97" s="816">
        <f t="shared" si="39"/>
        <v>25895306</v>
      </c>
    </row>
    <row r="98" spans="1:108" ht="94.5">
      <c r="A98" s="783" t="s">
        <v>1406</v>
      </c>
      <c r="B98" s="787">
        <v>69747465</v>
      </c>
      <c r="C98" s="761"/>
      <c r="D98" s="761"/>
      <c r="E98" s="761"/>
      <c r="F98" s="761"/>
      <c r="G98" s="760"/>
      <c r="H98" s="760"/>
      <c r="I98" s="760"/>
      <c r="J98" s="760"/>
      <c r="K98" s="760"/>
      <c r="L98" s="760"/>
      <c r="M98" s="760"/>
      <c r="N98" s="760"/>
      <c r="O98" s="760"/>
      <c r="P98" s="760"/>
      <c r="Q98" s="760"/>
      <c r="R98" s="760"/>
      <c r="S98" s="760"/>
      <c r="T98" s="760"/>
      <c r="U98" s="760"/>
      <c r="V98" s="760"/>
      <c r="W98" s="761"/>
      <c r="X98" s="761"/>
      <c r="Y98" s="761"/>
      <c r="Z98" s="761"/>
      <c r="AA98" s="761"/>
      <c r="AB98" s="761"/>
      <c r="AC98" s="761"/>
      <c r="AD98" s="761"/>
      <c r="AE98" s="761"/>
      <c r="AF98" s="761"/>
      <c r="AG98" s="761"/>
      <c r="AH98" s="761"/>
      <c r="AI98" s="761"/>
      <c r="AJ98" s="761"/>
      <c r="AK98" s="761"/>
      <c r="AL98" s="761"/>
      <c r="AM98" s="761"/>
      <c r="AN98" s="761"/>
      <c r="AO98" s="761"/>
      <c r="AP98" s="761"/>
      <c r="AQ98" s="761"/>
      <c r="AR98" s="761"/>
      <c r="AS98" s="761"/>
      <c r="AT98" s="761"/>
      <c r="AU98" s="761"/>
      <c r="AV98" s="761"/>
      <c r="AW98" s="761"/>
      <c r="AX98" s="761"/>
      <c r="AY98" s="761"/>
      <c r="AZ98" s="761"/>
      <c r="BA98" s="761"/>
      <c r="BB98" s="761"/>
      <c r="BC98" s="761"/>
      <c r="BD98" s="761"/>
      <c r="BE98" s="761"/>
      <c r="BF98" s="761"/>
      <c r="BG98" s="761"/>
      <c r="BH98" s="761"/>
      <c r="BI98" s="761"/>
      <c r="BJ98" s="761"/>
      <c r="BK98" s="761"/>
      <c r="BL98" s="761"/>
      <c r="BM98" s="761"/>
      <c r="BN98" s="761"/>
      <c r="BO98" s="761"/>
      <c r="BP98" s="761"/>
      <c r="BQ98" s="761"/>
      <c r="BR98" s="761"/>
      <c r="BS98" s="779">
        <f t="shared" si="41"/>
        <v>69747465</v>
      </c>
      <c r="BT98" s="779">
        <v>67032391</v>
      </c>
      <c r="BU98" s="779">
        <v>65930327</v>
      </c>
      <c r="BV98" s="779">
        <v>65575776</v>
      </c>
      <c r="BW98" s="761"/>
      <c r="BX98" s="761"/>
      <c r="BY98" s="761"/>
      <c r="BZ98" s="761"/>
      <c r="CA98" s="761"/>
      <c r="CB98" s="761"/>
      <c r="CC98" s="761"/>
      <c r="CD98" s="761"/>
      <c r="CE98" s="761"/>
      <c r="CF98" s="761"/>
      <c r="CG98" s="761"/>
      <c r="CH98" s="761"/>
      <c r="CI98" s="761"/>
      <c r="CJ98" s="761"/>
      <c r="CK98" s="761"/>
      <c r="CL98" s="761"/>
      <c r="CM98" s="761"/>
      <c r="CN98" s="761"/>
      <c r="CO98" s="761"/>
      <c r="CP98" s="761"/>
      <c r="CQ98" s="761"/>
      <c r="CR98" s="761"/>
      <c r="CS98" s="761"/>
      <c r="CT98" s="761"/>
      <c r="CU98" s="1891">
        <f t="shared" si="35"/>
        <v>69747465</v>
      </c>
      <c r="CV98" s="1891">
        <f t="shared" si="36"/>
        <v>67032391</v>
      </c>
      <c r="CW98" s="1891">
        <f t="shared" si="37"/>
        <v>65930327</v>
      </c>
      <c r="CX98" s="1891">
        <f t="shared" si="38"/>
        <v>65575776</v>
      </c>
      <c r="CY98" s="1892">
        <v>60990186</v>
      </c>
      <c r="CZ98" s="1893">
        <v>50208823</v>
      </c>
      <c r="DA98" s="1894">
        <v>30321292</v>
      </c>
      <c r="DB98" s="816">
        <f t="shared" si="39"/>
        <v>6042205</v>
      </c>
      <c r="DC98" s="816">
        <f t="shared" si="39"/>
        <v>15721504</v>
      </c>
      <c r="DD98" s="816">
        <f t="shared" si="39"/>
        <v>35254484</v>
      </c>
    </row>
    <row r="99" spans="1:108" ht="78.75">
      <c r="A99" s="772" t="s">
        <v>1407</v>
      </c>
      <c r="B99" s="767">
        <v>60800000</v>
      </c>
      <c r="C99" s="761"/>
      <c r="D99" s="761"/>
      <c r="E99" s="761"/>
      <c r="F99" s="761"/>
      <c r="G99" s="760"/>
      <c r="H99" s="760"/>
      <c r="I99" s="760"/>
      <c r="J99" s="760"/>
      <c r="K99" s="760"/>
      <c r="L99" s="760"/>
      <c r="M99" s="760"/>
      <c r="N99" s="760"/>
      <c r="O99" s="760"/>
      <c r="P99" s="760"/>
      <c r="Q99" s="760"/>
      <c r="R99" s="760"/>
      <c r="S99" s="760"/>
      <c r="T99" s="760"/>
      <c r="U99" s="760"/>
      <c r="V99" s="760"/>
      <c r="W99" s="761"/>
      <c r="X99" s="761"/>
      <c r="Y99" s="761"/>
      <c r="Z99" s="761"/>
      <c r="AA99" s="761"/>
      <c r="AB99" s="761"/>
      <c r="AC99" s="761"/>
      <c r="AD99" s="761"/>
      <c r="AE99" s="761"/>
      <c r="AF99" s="761"/>
      <c r="AG99" s="761"/>
      <c r="AH99" s="761"/>
      <c r="AI99" s="761"/>
      <c r="AJ99" s="761"/>
      <c r="AK99" s="761"/>
      <c r="AL99" s="761"/>
      <c r="AM99" s="761"/>
      <c r="AN99" s="761"/>
      <c r="AO99" s="761"/>
      <c r="AP99" s="761"/>
      <c r="AQ99" s="761"/>
      <c r="AR99" s="761"/>
      <c r="AS99" s="761"/>
      <c r="AT99" s="761"/>
      <c r="AU99" s="761"/>
      <c r="AV99" s="761"/>
      <c r="AW99" s="761"/>
      <c r="AX99" s="761"/>
      <c r="AY99" s="761"/>
      <c r="AZ99" s="761"/>
      <c r="BA99" s="761"/>
      <c r="BB99" s="761"/>
      <c r="BC99" s="761"/>
      <c r="BD99" s="761"/>
      <c r="BE99" s="761"/>
      <c r="BF99" s="761"/>
      <c r="BG99" s="761"/>
      <c r="BH99" s="761"/>
      <c r="BI99" s="761"/>
      <c r="BJ99" s="761"/>
      <c r="BK99" s="761"/>
      <c r="BL99" s="761"/>
      <c r="BM99" s="761"/>
      <c r="BN99" s="761"/>
      <c r="BO99" s="761"/>
      <c r="BP99" s="761"/>
      <c r="BQ99" s="761"/>
      <c r="BR99" s="761"/>
      <c r="BS99" s="779">
        <v>60800000</v>
      </c>
      <c r="BT99" s="779">
        <v>60592560</v>
      </c>
      <c r="BU99" s="779">
        <v>57729805</v>
      </c>
      <c r="BV99" s="779">
        <v>55077107</v>
      </c>
      <c r="BW99" s="761"/>
      <c r="BX99" s="761"/>
      <c r="BY99" s="761"/>
      <c r="BZ99" s="761"/>
      <c r="CA99" s="761"/>
      <c r="CB99" s="761"/>
      <c r="CC99" s="761"/>
      <c r="CD99" s="761"/>
      <c r="CE99" s="761"/>
      <c r="CF99" s="761"/>
      <c r="CG99" s="761"/>
      <c r="CH99" s="761"/>
      <c r="CI99" s="761"/>
      <c r="CJ99" s="761"/>
      <c r="CK99" s="761"/>
      <c r="CL99" s="761"/>
      <c r="CM99" s="761"/>
      <c r="CN99" s="761"/>
      <c r="CO99" s="761"/>
      <c r="CP99" s="761"/>
      <c r="CQ99" s="761"/>
      <c r="CR99" s="761"/>
      <c r="CS99" s="761"/>
      <c r="CT99" s="761"/>
      <c r="CU99" s="1891">
        <f t="shared" si="35"/>
        <v>60800000</v>
      </c>
      <c r="CV99" s="1891">
        <f t="shared" si="36"/>
        <v>60592560</v>
      </c>
      <c r="CW99" s="1891">
        <f t="shared" si="37"/>
        <v>57729805</v>
      </c>
      <c r="CX99" s="1891">
        <f t="shared" si="38"/>
        <v>55077107</v>
      </c>
      <c r="CY99" s="1892">
        <v>47330381</v>
      </c>
      <c r="CZ99" s="1893">
        <v>24690900</v>
      </c>
      <c r="DA99" s="1894">
        <v>21667246</v>
      </c>
      <c r="DB99" s="816">
        <f t="shared" si="39"/>
        <v>13262179</v>
      </c>
      <c r="DC99" s="816">
        <f t="shared" si="39"/>
        <v>33038905</v>
      </c>
      <c r="DD99" s="816">
        <f t="shared" si="39"/>
        <v>33409861</v>
      </c>
    </row>
    <row r="100" spans="1:108" ht="110.25">
      <c r="A100" s="772" t="s">
        <v>1408</v>
      </c>
      <c r="B100" s="767">
        <v>56300000</v>
      </c>
      <c r="C100" s="761"/>
      <c r="D100" s="761"/>
      <c r="E100" s="761"/>
      <c r="F100" s="761"/>
      <c r="G100" s="760"/>
      <c r="H100" s="760"/>
      <c r="I100" s="760"/>
      <c r="J100" s="760"/>
      <c r="K100" s="760"/>
      <c r="L100" s="760"/>
      <c r="M100" s="760"/>
      <c r="N100" s="760"/>
      <c r="O100" s="760"/>
      <c r="P100" s="760"/>
      <c r="Q100" s="760"/>
      <c r="R100" s="760"/>
      <c r="S100" s="760"/>
      <c r="T100" s="760"/>
      <c r="U100" s="760"/>
      <c r="V100" s="760"/>
      <c r="W100" s="761"/>
      <c r="X100" s="761"/>
      <c r="Y100" s="761"/>
      <c r="Z100" s="761"/>
      <c r="AA100" s="761"/>
      <c r="AB100" s="761"/>
      <c r="AC100" s="761"/>
      <c r="AD100" s="761"/>
      <c r="AE100" s="761"/>
      <c r="AF100" s="761"/>
      <c r="AG100" s="761"/>
      <c r="AH100" s="761"/>
      <c r="AI100" s="761"/>
      <c r="AJ100" s="761"/>
      <c r="AK100" s="761"/>
      <c r="AL100" s="761"/>
      <c r="AM100" s="761"/>
      <c r="AN100" s="761"/>
      <c r="AO100" s="761"/>
      <c r="AP100" s="761"/>
      <c r="AQ100" s="761"/>
      <c r="AR100" s="761"/>
      <c r="AS100" s="761"/>
      <c r="AT100" s="761"/>
      <c r="AU100" s="761"/>
      <c r="AV100" s="761"/>
      <c r="AW100" s="761"/>
      <c r="AX100" s="761"/>
      <c r="AY100" s="761"/>
      <c r="AZ100" s="761"/>
      <c r="BA100" s="761"/>
      <c r="BB100" s="761"/>
      <c r="BC100" s="761"/>
      <c r="BD100" s="761"/>
      <c r="BE100" s="761"/>
      <c r="BF100" s="761"/>
      <c r="BG100" s="761"/>
      <c r="BH100" s="761"/>
      <c r="BI100" s="761"/>
      <c r="BJ100" s="761"/>
      <c r="BK100" s="761"/>
      <c r="BL100" s="761"/>
      <c r="BM100" s="761"/>
      <c r="BN100" s="761"/>
      <c r="BO100" s="761"/>
      <c r="BP100" s="761"/>
      <c r="BQ100" s="761"/>
      <c r="BR100" s="761"/>
      <c r="BS100" s="779">
        <v>56300000</v>
      </c>
      <c r="BT100" s="779">
        <v>53149498</v>
      </c>
      <c r="BU100" s="779">
        <v>50628865</v>
      </c>
      <c r="BV100" s="779">
        <v>48677107</v>
      </c>
      <c r="BW100" s="761"/>
      <c r="BX100" s="761"/>
      <c r="BY100" s="761"/>
      <c r="BZ100" s="761"/>
      <c r="CA100" s="761"/>
      <c r="CB100" s="761"/>
      <c r="CC100" s="761"/>
      <c r="CD100" s="761"/>
      <c r="CE100" s="761"/>
      <c r="CF100" s="761"/>
      <c r="CG100" s="761"/>
      <c r="CH100" s="761"/>
      <c r="CI100" s="761"/>
      <c r="CJ100" s="761"/>
      <c r="CK100" s="761"/>
      <c r="CL100" s="761"/>
      <c r="CM100" s="761"/>
      <c r="CN100" s="761"/>
      <c r="CO100" s="761"/>
      <c r="CP100" s="761"/>
      <c r="CQ100" s="761"/>
      <c r="CR100" s="761"/>
      <c r="CS100" s="761"/>
      <c r="CT100" s="761"/>
      <c r="CU100" s="1891">
        <f t="shared" si="35"/>
        <v>56300000</v>
      </c>
      <c r="CV100" s="1891">
        <f t="shared" si="36"/>
        <v>53149498</v>
      </c>
      <c r="CW100" s="1891">
        <f t="shared" si="37"/>
        <v>50628865</v>
      </c>
      <c r="CX100" s="1891">
        <f t="shared" si="38"/>
        <v>48677107</v>
      </c>
      <c r="CY100" s="1892">
        <v>47330381</v>
      </c>
      <c r="CZ100" s="1893">
        <v>23090900</v>
      </c>
      <c r="DA100" s="1894">
        <v>23067246</v>
      </c>
      <c r="DB100" s="816">
        <f t="shared" si="39"/>
        <v>5819117</v>
      </c>
      <c r="DC100" s="816">
        <f t="shared" si="39"/>
        <v>27537965</v>
      </c>
      <c r="DD100" s="816">
        <f t="shared" si="39"/>
        <v>25609861</v>
      </c>
    </row>
    <row r="101" spans="1:108" ht="63">
      <c r="A101" s="772" t="s">
        <v>1409</v>
      </c>
      <c r="B101" s="759">
        <v>40000000</v>
      </c>
      <c r="C101" s="761"/>
      <c r="D101" s="761"/>
      <c r="E101" s="761"/>
      <c r="F101" s="761"/>
      <c r="G101" s="760"/>
      <c r="H101" s="760"/>
      <c r="I101" s="760"/>
      <c r="J101" s="760"/>
      <c r="K101" s="760"/>
      <c r="L101" s="760"/>
      <c r="M101" s="760"/>
      <c r="N101" s="760"/>
      <c r="O101" s="760"/>
      <c r="P101" s="760"/>
      <c r="Q101" s="760"/>
      <c r="R101" s="760"/>
      <c r="S101" s="760"/>
      <c r="T101" s="760"/>
      <c r="U101" s="760"/>
      <c r="V101" s="760"/>
      <c r="W101" s="761"/>
      <c r="X101" s="761"/>
      <c r="Y101" s="761"/>
      <c r="Z101" s="761"/>
      <c r="AA101" s="761"/>
      <c r="AB101" s="761"/>
      <c r="AC101" s="761"/>
      <c r="AD101" s="761"/>
      <c r="AE101" s="761"/>
      <c r="AF101" s="761"/>
      <c r="AG101" s="761"/>
      <c r="AH101" s="761"/>
      <c r="AI101" s="761"/>
      <c r="AJ101" s="761"/>
      <c r="AK101" s="761"/>
      <c r="AL101" s="761"/>
      <c r="AM101" s="761"/>
      <c r="AN101" s="761"/>
      <c r="AO101" s="761"/>
      <c r="AP101" s="761"/>
      <c r="AQ101" s="761"/>
      <c r="AR101" s="761"/>
      <c r="AS101" s="761"/>
      <c r="AT101" s="761"/>
      <c r="AU101" s="761"/>
      <c r="AV101" s="761"/>
      <c r="AW101" s="761"/>
      <c r="AX101" s="761"/>
      <c r="AY101" s="761"/>
      <c r="AZ101" s="761"/>
      <c r="BA101" s="761"/>
      <c r="BB101" s="761"/>
      <c r="BC101" s="761"/>
      <c r="BD101" s="761"/>
      <c r="BE101" s="761"/>
      <c r="BF101" s="761"/>
      <c r="BG101" s="761"/>
      <c r="BH101" s="761"/>
      <c r="BI101" s="761"/>
      <c r="BJ101" s="761"/>
      <c r="BK101" s="761"/>
      <c r="BL101" s="761"/>
      <c r="BM101" s="761"/>
      <c r="BN101" s="761"/>
      <c r="BO101" s="761"/>
      <c r="BP101" s="761"/>
      <c r="BQ101" s="761"/>
      <c r="BR101" s="761"/>
      <c r="BS101" s="779">
        <f t="shared" si="41"/>
        <v>40000000</v>
      </c>
      <c r="BT101" s="779">
        <v>39979542</v>
      </c>
      <c r="BU101" s="779">
        <v>38483885</v>
      </c>
      <c r="BV101" s="779">
        <v>38002709</v>
      </c>
      <c r="BW101" s="761"/>
      <c r="BX101" s="761"/>
      <c r="BY101" s="761"/>
      <c r="BZ101" s="761"/>
      <c r="CA101" s="761"/>
      <c r="CB101" s="761"/>
      <c r="CC101" s="761"/>
      <c r="CD101" s="761"/>
      <c r="CE101" s="761"/>
      <c r="CF101" s="761"/>
      <c r="CG101" s="761"/>
      <c r="CH101" s="761"/>
      <c r="CI101" s="761"/>
      <c r="CJ101" s="761"/>
      <c r="CK101" s="761"/>
      <c r="CL101" s="761"/>
      <c r="CM101" s="761"/>
      <c r="CN101" s="761"/>
      <c r="CO101" s="761"/>
      <c r="CP101" s="761"/>
      <c r="CQ101" s="761"/>
      <c r="CR101" s="761"/>
      <c r="CS101" s="761"/>
      <c r="CT101" s="761"/>
      <c r="CU101" s="1891">
        <f t="shared" si="35"/>
        <v>40000000</v>
      </c>
      <c r="CV101" s="1891">
        <f t="shared" si="36"/>
        <v>39979542</v>
      </c>
      <c r="CW101" s="1891">
        <f t="shared" si="37"/>
        <v>38483885</v>
      </c>
      <c r="CX101" s="1891">
        <f t="shared" si="38"/>
        <v>38002709</v>
      </c>
      <c r="CY101" s="1892">
        <v>37886553</v>
      </c>
      <c r="CZ101" s="1893">
        <v>12926129</v>
      </c>
      <c r="DA101" s="1894">
        <v>12907403</v>
      </c>
      <c r="DB101" s="816">
        <f t="shared" si="39"/>
        <v>2092989</v>
      </c>
      <c r="DC101" s="816">
        <f t="shared" si="39"/>
        <v>25557756</v>
      </c>
      <c r="DD101" s="816">
        <f t="shared" si="39"/>
        <v>25095306</v>
      </c>
    </row>
    <row r="102" spans="1:108" s="765" customFormat="1" ht="63">
      <c r="A102" s="772" t="s">
        <v>1410</v>
      </c>
      <c r="B102" s="759">
        <v>350000000</v>
      </c>
      <c r="C102" s="764"/>
      <c r="D102" s="764"/>
      <c r="E102" s="764"/>
      <c r="F102" s="764"/>
      <c r="G102" s="764"/>
      <c r="H102" s="764"/>
      <c r="I102" s="764"/>
      <c r="J102" s="764"/>
      <c r="K102" s="764"/>
      <c r="L102" s="764"/>
      <c r="M102" s="764"/>
      <c r="N102" s="764"/>
      <c r="O102" s="764"/>
      <c r="P102" s="764"/>
      <c r="Q102" s="764"/>
      <c r="R102" s="764"/>
      <c r="S102" s="764"/>
      <c r="T102" s="764"/>
      <c r="U102" s="764"/>
      <c r="V102" s="764"/>
      <c r="W102" s="764"/>
      <c r="X102" s="764"/>
      <c r="Y102" s="764"/>
      <c r="Z102" s="764"/>
      <c r="AA102" s="764"/>
      <c r="AB102" s="764"/>
      <c r="AC102" s="764"/>
      <c r="AD102" s="764"/>
      <c r="AE102" s="764"/>
      <c r="AF102" s="764"/>
      <c r="AG102" s="764"/>
      <c r="AH102" s="764"/>
      <c r="AI102" s="764"/>
      <c r="AJ102" s="764"/>
      <c r="AK102" s="764"/>
      <c r="AL102" s="764"/>
      <c r="AM102" s="764"/>
      <c r="AN102" s="764"/>
      <c r="AO102" s="764"/>
      <c r="AP102" s="764"/>
      <c r="AQ102" s="764"/>
      <c r="AR102" s="764"/>
      <c r="AS102" s="764"/>
      <c r="AT102" s="764"/>
      <c r="AU102" s="764"/>
      <c r="AV102" s="764"/>
      <c r="AW102" s="764"/>
      <c r="AX102" s="764"/>
      <c r="AY102" s="764"/>
      <c r="AZ102" s="764"/>
      <c r="BA102" s="764"/>
      <c r="BB102" s="764"/>
      <c r="BC102" s="764"/>
      <c r="BD102" s="764"/>
      <c r="BE102" s="764"/>
      <c r="BF102" s="764"/>
      <c r="BG102" s="764"/>
      <c r="BH102" s="764"/>
      <c r="BI102" s="764"/>
      <c r="BJ102" s="764"/>
      <c r="BK102" s="764"/>
      <c r="BL102" s="764"/>
      <c r="BM102" s="764"/>
      <c r="BN102" s="764"/>
      <c r="BO102" s="764"/>
      <c r="BP102" s="764"/>
      <c r="BQ102" s="764"/>
      <c r="BR102" s="764"/>
      <c r="BS102" s="779">
        <f t="shared" si="41"/>
        <v>350000000</v>
      </c>
      <c r="BT102" s="779">
        <v>349419107</v>
      </c>
      <c r="BU102" s="779">
        <v>267235627</v>
      </c>
      <c r="BV102" s="779">
        <v>184297296</v>
      </c>
      <c r="BW102" s="764"/>
      <c r="BX102" s="764"/>
      <c r="BY102" s="764"/>
      <c r="BZ102" s="764"/>
      <c r="CA102" s="764"/>
      <c r="CB102" s="764"/>
      <c r="CC102" s="764"/>
      <c r="CD102" s="764"/>
      <c r="CE102" s="764"/>
      <c r="CF102" s="764"/>
      <c r="CG102" s="764"/>
      <c r="CH102" s="764"/>
      <c r="CI102" s="764"/>
      <c r="CJ102" s="764"/>
      <c r="CK102" s="764"/>
      <c r="CL102" s="764"/>
      <c r="CM102" s="764"/>
      <c r="CN102" s="764"/>
      <c r="CO102" s="764"/>
      <c r="CP102" s="764"/>
      <c r="CQ102" s="764"/>
      <c r="CR102" s="764"/>
      <c r="CS102" s="764"/>
      <c r="CT102" s="764"/>
      <c r="CU102" s="1891">
        <f t="shared" si="35"/>
        <v>350000000</v>
      </c>
      <c r="CV102" s="1891">
        <f t="shared" si="36"/>
        <v>349419107</v>
      </c>
      <c r="CW102" s="1891">
        <f t="shared" si="37"/>
        <v>267235627</v>
      </c>
      <c r="CX102" s="1891">
        <f t="shared" si="38"/>
        <v>184297296</v>
      </c>
      <c r="CY102" s="1892">
        <v>34912669</v>
      </c>
      <c r="CZ102" s="1893">
        <v>21536304</v>
      </c>
      <c r="DA102" s="1894">
        <v>21370725</v>
      </c>
      <c r="DB102" s="816">
        <f t="shared" si="39"/>
        <v>314506438</v>
      </c>
      <c r="DC102" s="816">
        <f t="shared" si="39"/>
        <v>245699323</v>
      </c>
      <c r="DD102" s="816">
        <f t="shared" si="39"/>
        <v>162926571</v>
      </c>
    </row>
    <row r="103" spans="1:108" ht="63">
      <c r="A103" s="772" t="s">
        <v>1411</v>
      </c>
      <c r="B103" s="759">
        <v>600000000</v>
      </c>
      <c r="C103" s="761"/>
      <c r="D103" s="761"/>
      <c r="E103" s="761"/>
      <c r="F103" s="761"/>
      <c r="G103" s="760"/>
      <c r="H103" s="760"/>
      <c r="I103" s="760"/>
      <c r="J103" s="760"/>
      <c r="K103" s="760"/>
      <c r="L103" s="760"/>
      <c r="M103" s="760"/>
      <c r="N103" s="760"/>
      <c r="O103" s="760"/>
      <c r="P103" s="760"/>
      <c r="Q103" s="760"/>
      <c r="R103" s="760"/>
      <c r="S103" s="760"/>
      <c r="T103" s="760"/>
      <c r="U103" s="760"/>
      <c r="V103" s="760"/>
      <c r="W103" s="777"/>
      <c r="X103" s="777"/>
      <c r="Y103" s="777"/>
      <c r="Z103" s="777"/>
      <c r="AA103" s="777"/>
      <c r="AB103" s="777"/>
      <c r="AC103" s="777"/>
      <c r="AD103" s="777"/>
      <c r="AE103" s="761"/>
      <c r="AF103" s="761"/>
      <c r="AG103" s="761"/>
      <c r="AH103" s="761"/>
      <c r="AI103" s="761"/>
      <c r="AJ103" s="761"/>
      <c r="AK103" s="761"/>
      <c r="AL103" s="761"/>
      <c r="AM103" s="761"/>
      <c r="AN103" s="761"/>
      <c r="AO103" s="761"/>
      <c r="AP103" s="761"/>
      <c r="AQ103" s="761"/>
      <c r="AR103" s="761"/>
      <c r="AS103" s="761"/>
      <c r="AT103" s="761"/>
      <c r="AU103" s="761"/>
      <c r="AV103" s="761"/>
      <c r="AW103" s="761"/>
      <c r="AX103" s="761"/>
      <c r="AY103" s="761"/>
      <c r="AZ103" s="761"/>
      <c r="BA103" s="761"/>
      <c r="BB103" s="761"/>
      <c r="BC103" s="761"/>
      <c r="BD103" s="761"/>
      <c r="BE103" s="761"/>
      <c r="BF103" s="761"/>
      <c r="BG103" s="761"/>
      <c r="BH103" s="761"/>
      <c r="BI103" s="761"/>
      <c r="BJ103" s="761"/>
      <c r="BK103" s="761"/>
      <c r="BL103" s="761"/>
      <c r="BM103" s="761"/>
      <c r="BN103" s="761"/>
      <c r="BO103" s="761"/>
      <c r="BP103" s="761"/>
      <c r="BQ103" s="761"/>
      <c r="BR103" s="761"/>
      <c r="BS103" s="779">
        <f t="shared" si="41"/>
        <v>600000000</v>
      </c>
      <c r="BT103" s="779">
        <v>599128503</v>
      </c>
      <c r="BU103" s="779">
        <v>592162763</v>
      </c>
      <c r="BV103" s="779">
        <v>582735116</v>
      </c>
      <c r="BW103" s="761"/>
      <c r="BX103" s="761"/>
      <c r="BY103" s="761"/>
      <c r="BZ103" s="761"/>
      <c r="CA103" s="761"/>
      <c r="CB103" s="761"/>
      <c r="CC103" s="761"/>
      <c r="CD103" s="761"/>
      <c r="CE103" s="761"/>
      <c r="CF103" s="761"/>
      <c r="CG103" s="761"/>
      <c r="CH103" s="761"/>
      <c r="CI103" s="761"/>
      <c r="CJ103" s="761"/>
      <c r="CK103" s="761"/>
      <c r="CL103" s="761"/>
      <c r="CM103" s="761"/>
      <c r="CN103" s="761"/>
      <c r="CO103" s="761"/>
      <c r="CP103" s="761"/>
      <c r="CQ103" s="761"/>
      <c r="CR103" s="761"/>
      <c r="CS103" s="761"/>
      <c r="CT103" s="761"/>
      <c r="CU103" s="1891">
        <f t="shared" si="35"/>
        <v>600000000</v>
      </c>
      <c r="CV103" s="1891">
        <f t="shared" si="36"/>
        <v>599128503</v>
      </c>
      <c r="CW103" s="1891">
        <f t="shared" si="37"/>
        <v>592162763</v>
      </c>
      <c r="CX103" s="1891">
        <f t="shared" si="38"/>
        <v>582735116</v>
      </c>
      <c r="CY103" s="1892">
        <v>567908959</v>
      </c>
      <c r="CZ103" s="1893">
        <v>341657283</v>
      </c>
      <c r="DA103" s="1894">
        <v>319022941</v>
      </c>
      <c r="DB103" s="816">
        <f t="shared" si="39"/>
        <v>31219544</v>
      </c>
      <c r="DC103" s="816">
        <f t="shared" si="39"/>
        <v>250505480</v>
      </c>
      <c r="DD103" s="816">
        <f t="shared" si="39"/>
        <v>263712175</v>
      </c>
    </row>
    <row r="104" spans="1:108" ht="63">
      <c r="A104" s="772" t="s">
        <v>1412</v>
      </c>
      <c r="B104" s="759">
        <v>600000000</v>
      </c>
      <c r="C104" s="761"/>
      <c r="D104" s="761"/>
      <c r="E104" s="761"/>
      <c r="F104" s="761"/>
      <c r="G104" s="760"/>
      <c r="H104" s="760"/>
      <c r="I104" s="760"/>
      <c r="J104" s="760"/>
      <c r="K104" s="760"/>
      <c r="L104" s="760"/>
      <c r="M104" s="760"/>
      <c r="N104" s="760"/>
      <c r="O104" s="760"/>
      <c r="P104" s="760"/>
      <c r="Q104" s="760"/>
      <c r="R104" s="760"/>
      <c r="S104" s="760"/>
      <c r="T104" s="760"/>
      <c r="U104" s="760"/>
      <c r="V104" s="760"/>
      <c r="W104" s="760"/>
      <c r="X104" s="760"/>
      <c r="Y104" s="760"/>
      <c r="Z104" s="760"/>
      <c r="AA104" s="760"/>
      <c r="AB104" s="760"/>
      <c r="AC104" s="760"/>
      <c r="AD104" s="760"/>
      <c r="AE104" s="761"/>
      <c r="AF104" s="761"/>
      <c r="AG104" s="761"/>
      <c r="AH104" s="761"/>
      <c r="AI104" s="761"/>
      <c r="AJ104" s="761"/>
      <c r="AK104" s="761"/>
      <c r="AL104" s="761"/>
      <c r="AM104" s="761"/>
      <c r="AN104" s="761"/>
      <c r="AO104" s="761"/>
      <c r="AP104" s="761"/>
      <c r="AQ104" s="761"/>
      <c r="AR104" s="761"/>
      <c r="AS104" s="761"/>
      <c r="AT104" s="761"/>
      <c r="AU104" s="761"/>
      <c r="AV104" s="761"/>
      <c r="AW104" s="761"/>
      <c r="AX104" s="761"/>
      <c r="AY104" s="761"/>
      <c r="AZ104" s="761"/>
      <c r="BA104" s="761"/>
      <c r="BB104" s="761"/>
      <c r="BC104" s="761"/>
      <c r="BD104" s="761"/>
      <c r="BE104" s="761"/>
      <c r="BF104" s="761"/>
      <c r="BG104" s="761"/>
      <c r="BH104" s="761"/>
      <c r="BI104" s="761"/>
      <c r="BJ104" s="761"/>
      <c r="BK104" s="761"/>
      <c r="BL104" s="761"/>
      <c r="BM104" s="761"/>
      <c r="BN104" s="761"/>
      <c r="BO104" s="761"/>
      <c r="BP104" s="761"/>
      <c r="BQ104" s="761"/>
      <c r="BR104" s="761"/>
      <c r="BS104" s="779">
        <f t="shared" si="41"/>
        <v>600000000</v>
      </c>
      <c r="BT104" s="779">
        <v>598749760</v>
      </c>
      <c r="BU104" s="779">
        <v>582148055</v>
      </c>
      <c r="BV104" s="779">
        <v>578514161</v>
      </c>
      <c r="BW104" s="761"/>
      <c r="BX104" s="761"/>
      <c r="BY104" s="761"/>
      <c r="BZ104" s="761"/>
      <c r="CA104" s="761"/>
      <c r="CB104" s="761"/>
      <c r="CC104" s="761"/>
      <c r="CD104" s="761"/>
      <c r="CE104" s="761"/>
      <c r="CF104" s="761"/>
      <c r="CG104" s="761"/>
      <c r="CH104" s="761"/>
      <c r="CI104" s="761"/>
      <c r="CJ104" s="761"/>
      <c r="CK104" s="761"/>
      <c r="CL104" s="761"/>
      <c r="CM104" s="761"/>
      <c r="CN104" s="761"/>
      <c r="CO104" s="761"/>
      <c r="CP104" s="761"/>
      <c r="CQ104" s="761"/>
      <c r="CR104" s="761"/>
      <c r="CS104" s="761"/>
      <c r="CT104" s="761"/>
      <c r="CU104" s="1891">
        <f t="shared" si="35"/>
        <v>600000000</v>
      </c>
      <c r="CV104" s="1891">
        <f t="shared" si="36"/>
        <v>598749760</v>
      </c>
      <c r="CW104" s="1891">
        <f t="shared" si="37"/>
        <v>582148055</v>
      </c>
      <c r="CX104" s="1891">
        <f t="shared" si="38"/>
        <v>578514161</v>
      </c>
      <c r="CY104" s="1892">
        <v>567058959</v>
      </c>
      <c r="CZ104" s="1893">
        <v>248307283</v>
      </c>
      <c r="DA104" s="1894">
        <v>214722941</v>
      </c>
      <c r="DB104" s="816">
        <f t="shared" si="39"/>
        <v>31690801</v>
      </c>
      <c r="DC104" s="816">
        <f t="shared" si="39"/>
        <v>333840772</v>
      </c>
      <c r="DD104" s="816">
        <f t="shared" si="39"/>
        <v>363791220</v>
      </c>
    </row>
    <row r="105" spans="1:108" ht="47.25">
      <c r="A105" s="772" t="s">
        <v>634</v>
      </c>
      <c r="B105" s="759">
        <v>60000000</v>
      </c>
      <c r="C105" s="761"/>
      <c r="D105" s="761"/>
      <c r="E105" s="761"/>
      <c r="F105" s="761"/>
      <c r="G105" s="760"/>
      <c r="H105" s="760"/>
      <c r="I105" s="760"/>
      <c r="J105" s="760"/>
      <c r="K105" s="760"/>
      <c r="L105" s="760"/>
      <c r="M105" s="760"/>
      <c r="N105" s="760"/>
      <c r="O105" s="760"/>
      <c r="P105" s="760"/>
      <c r="Q105" s="760"/>
      <c r="R105" s="760"/>
      <c r="S105" s="760"/>
      <c r="T105" s="760"/>
      <c r="U105" s="760"/>
      <c r="V105" s="760"/>
      <c r="W105" s="760"/>
      <c r="X105" s="760"/>
      <c r="Y105" s="760"/>
      <c r="Z105" s="760"/>
      <c r="AA105" s="760"/>
      <c r="AB105" s="760"/>
      <c r="AC105" s="760"/>
      <c r="AD105" s="760"/>
      <c r="AE105" s="761"/>
      <c r="AF105" s="761"/>
      <c r="AG105" s="761"/>
      <c r="AH105" s="761"/>
      <c r="AI105" s="761"/>
      <c r="AJ105" s="761"/>
      <c r="AK105" s="761"/>
      <c r="AL105" s="761"/>
      <c r="AM105" s="761"/>
      <c r="AN105" s="761"/>
      <c r="AO105" s="761"/>
      <c r="AP105" s="761"/>
      <c r="AQ105" s="761"/>
      <c r="AR105" s="761"/>
      <c r="AS105" s="761"/>
      <c r="AT105" s="761"/>
      <c r="AU105" s="761"/>
      <c r="AV105" s="761"/>
      <c r="AW105" s="761"/>
      <c r="AX105" s="761"/>
      <c r="AY105" s="761"/>
      <c r="AZ105" s="761"/>
      <c r="BA105" s="761"/>
      <c r="BB105" s="761"/>
      <c r="BC105" s="761"/>
      <c r="BD105" s="761"/>
      <c r="BE105" s="761"/>
      <c r="BF105" s="761"/>
      <c r="BG105" s="761"/>
      <c r="BH105" s="761"/>
      <c r="BI105" s="761"/>
      <c r="BJ105" s="761"/>
      <c r="BK105" s="761"/>
      <c r="BL105" s="761"/>
      <c r="BM105" s="761"/>
      <c r="BN105" s="761"/>
      <c r="BO105" s="761"/>
      <c r="BP105" s="761"/>
      <c r="BQ105" s="761"/>
      <c r="BR105" s="761"/>
      <c r="BS105" s="779">
        <f t="shared" si="41"/>
        <v>60000000</v>
      </c>
      <c r="BT105" s="779">
        <v>59969313</v>
      </c>
      <c r="BU105" s="779">
        <v>58380176</v>
      </c>
      <c r="BV105" s="779">
        <v>58073589</v>
      </c>
      <c r="BW105" s="761"/>
      <c r="BX105" s="761"/>
      <c r="BY105" s="761"/>
      <c r="BZ105" s="761"/>
      <c r="CA105" s="761"/>
      <c r="CB105" s="761"/>
      <c r="CC105" s="761"/>
      <c r="CD105" s="761"/>
      <c r="CE105" s="761"/>
      <c r="CF105" s="761"/>
      <c r="CG105" s="761"/>
      <c r="CH105" s="761"/>
      <c r="CI105" s="761"/>
      <c r="CJ105" s="761"/>
      <c r="CK105" s="761"/>
      <c r="CL105" s="761"/>
      <c r="CM105" s="761"/>
      <c r="CN105" s="761"/>
      <c r="CO105" s="761"/>
      <c r="CP105" s="761"/>
      <c r="CQ105" s="761"/>
      <c r="CR105" s="761"/>
      <c r="CS105" s="761"/>
      <c r="CT105" s="761"/>
      <c r="CU105" s="1891">
        <f t="shared" si="35"/>
        <v>60000000</v>
      </c>
      <c r="CV105" s="1891">
        <f t="shared" si="36"/>
        <v>59969313</v>
      </c>
      <c r="CW105" s="1891">
        <f t="shared" si="37"/>
        <v>58380176</v>
      </c>
      <c r="CX105" s="1891">
        <f t="shared" si="38"/>
        <v>58073589</v>
      </c>
      <c r="CY105" s="1892">
        <v>55030268</v>
      </c>
      <c r="CZ105" s="1893">
        <v>20139194</v>
      </c>
      <c r="DA105" s="1894">
        <v>13111105</v>
      </c>
      <c r="DB105" s="816">
        <f t="shared" si="39"/>
        <v>4939045</v>
      </c>
      <c r="DC105" s="816">
        <f t="shared" si="39"/>
        <v>38240982</v>
      </c>
      <c r="DD105" s="816">
        <f t="shared" si="39"/>
        <v>44962484</v>
      </c>
    </row>
    <row r="106" spans="1:108" s="765" customFormat="1" ht="110.25">
      <c r="A106" s="772" t="s">
        <v>1413</v>
      </c>
      <c r="B106" s="759">
        <v>200000000</v>
      </c>
      <c r="C106" s="764"/>
      <c r="D106" s="764"/>
      <c r="E106" s="764"/>
      <c r="F106" s="764"/>
      <c r="G106" s="764"/>
      <c r="H106" s="764"/>
      <c r="I106" s="764"/>
      <c r="J106" s="764"/>
      <c r="K106" s="764"/>
      <c r="L106" s="764"/>
      <c r="M106" s="764"/>
      <c r="N106" s="764"/>
      <c r="O106" s="764"/>
      <c r="P106" s="764"/>
      <c r="Q106" s="764"/>
      <c r="R106" s="764"/>
      <c r="S106" s="764"/>
      <c r="T106" s="764"/>
      <c r="U106" s="764"/>
      <c r="V106" s="764"/>
      <c r="W106" s="764"/>
      <c r="X106" s="764"/>
      <c r="Y106" s="764"/>
      <c r="Z106" s="764"/>
      <c r="AA106" s="764"/>
      <c r="AB106" s="764"/>
      <c r="AC106" s="764"/>
      <c r="AD106" s="764"/>
      <c r="AE106" s="764"/>
      <c r="AF106" s="764"/>
      <c r="AG106" s="764"/>
      <c r="AH106" s="764"/>
      <c r="AI106" s="764"/>
      <c r="AJ106" s="764"/>
      <c r="AK106" s="764"/>
      <c r="AL106" s="764"/>
      <c r="AM106" s="764"/>
      <c r="AN106" s="764"/>
      <c r="AO106" s="764"/>
      <c r="AP106" s="764"/>
      <c r="AQ106" s="764"/>
      <c r="AR106" s="764"/>
      <c r="AS106" s="764"/>
      <c r="AT106" s="764"/>
      <c r="AU106" s="764"/>
      <c r="AV106" s="764"/>
      <c r="AW106" s="764"/>
      <c r="AX106" s="764"/>
      <c r="AY106" s="764"/>
      <c r="AZ106" s="764"/>
      <c r="BA106" s="764"/>
      <c r="BB106" s="764"/>
      <c r="BC106" s="764"/>
      <c r="BD106" s="764"/>
      <c r="BE106" s="764"/>
      <c r="BF106" s="764"/>
      <c r="BG106" s="764"/>
      <c r="BH106" s="764"/>
      <c r="BI106" s="764"/>
      <c r="BJ106" s="764"/>
      <c r="BK106" s="764"/>
      <c r="BL106" s="764"/>
      <c r="BM106" s="764"/>
      <c r="BN106" s="764"/>
      <c r="BO106" s="764"/>
      <c r="BP106" s="764"/>
      <c r="BQ106" s="764"/>
      <c r="BR106" s="764"/>
      <c r="BS106" s="779">
        <f t="shared" si="41"/>
        <v>200000000</v>
      </c>
      <c r="BT106" s="779">
        <v>197296632</v>
      </c>
      <c r="BU106" s="779">
        <v>192231990</v>
      </c>
      <c r="BV106" s="779">
        <v>186999131</v>
      </c>
      <c r="BW106" s="764"/>
      <c r="BX106" s="764"/>
      <c r="BY106" s="764"/>
      <c r="BZ106" s="764"/>
      <c r="CA106" s="764"/>
      <c r="CB106" s="764"/>
      <c r="CC106" s="764"/>
      <c r="CD106" s="764"/>
      <c r="CE106" s="764"/>
      <c r="CF106" s="764"/>
      <c r="CG106" s="764"/>
      <c r="CH106" s="764"/>
      <c r="CI106" s="764"/>
      <c r="CJ106" s="764"/>
      <c r="CK106" s="764"/>
      <c r="CL106" s="764"/>
      <c r="CM106" s="764"/>
      <c r="CN106" s="764"/>
      <c r="CO106" s="764"/>
      <c r="CP106" s="764"/>
      <c r="CQ106" s="764"/>
      <c r="CR106" s="764"/>
      <c r="CS106" s="764"/>
      <c r="CT106" s="764"/>
      <c r="CU106" s="1891">
        <f t="shared" si="35"/>
        <v>200000000</v>
      </c>
      <c r="CV106" s="1891">
        <f t="shared" si="36"/>
        <v>197296632</v>
      </c>
      <c r="CW106" s="1891">
        <f t="shared" si="37"/>
        <v>192231990</v>
      </c>
      <c r="CX106" s="1891">
        <f t="shared" si="38"/>
        <v>186999131</v>
      </c>
      <c r="CY106" s="1892">
        <v>129171527</v>
      </c>
      <c r="CZ106" s="1893">
        <v>55213602</v>
      </c>
      <c r="DA106" s="1894">
        <v>43468986</v>
      </c>
      <c r="DB106" s="816">
        <f t="shared" si="39"/>
        <v>68125105</v>
      </c>
      <c r="DC106" s="816">
        <f t="shared" si="39"/>
        <v>137018388</v>
      </c>
      <c r="DD106" s="816">
        <f t="shared" si="39"/>
        <v>143530145</v>
      </c>
    </row>
    <row r="107" spans="1:108" ht="47.25">
      <c r="A107" s="772" t="s">
        <v>637</v>
      </c>
      <c r="B107" s="759">
        <v>100000000</v>
      </c>
      <c r="C107" s="761"/>
      <c r="D107" s="761"/>
      <c r="E107" s="761"/>
      <c r="F107" s="761"/>
      <c r="G107" s="760"/>
      <c r="H107" s="760"/>
      <c r="I107" s="760"/>
      <c r="J107" s="760"/>
      <c r="K107" s="760"/>
      <c r="L107" s="760"/>
      <c r="M107" s="760"/>
      <c r="N107" s="760"/>
      <c r="O107" s="760"/>
      <c r="P107" s="760"/>
      <c r="Q107" s="760"/>
      <c r="R107" s="760"/>
      <c r="S107" s="760"/>
      <c r="T107" s="760"/>
      <c r="U107" s="760"/>
      <c r="V107" s="760"/>
      <c r="W107" s="760"/>
      <c r="X107" s="760"/>
      <c r="Y107" s="760"/>
      <c r="Z107" s="760"/>
      <c r="AA107" s="760"/>
      <c r="AB107" s="760"/>
      <c r="AC107" s="760"/>
      <c r="AD107" s="760"/>
      <c r="AE107" s="761"/>
      <c r="AF107" s="761"/>
      <c r="AG107" s="761"/>
      <c r="AH107" s="761"/>
      <c r="AI107" s="761"/>
      <c r="AJ107" s="761"/>
      <c r="AK107" s="761"/>
      <c r="AL107" s="761"/>
      <c r="AM107" s="761"/>
      <c r="AN107" s="761"/>
      <c r="AO107" s="761"/>
      <c r="AP107" s="761"/>
      <c r="AQ107" s="761"/>
      <c r="AR107" s="761"/>
      <c r="AS107" s="761"/>
      <c r="AT107" s="761"/>
      <c r="AU107" s="761"/>
      <c r="AV107" s="761"/>
      <c r="AW107" s="761"/>
      <c r="AX107" s="761"/>
      <c r="AY107" s="761"/>
      <c r="AZ107" s="761"/>
      <c r="BA107" s="761"/>
      <c r="BB107" s="761"/>
      <c r="BC107" s="761"/>
      <c r="BD107" s="761"/>
      <c r="BE107" s="761"/>
      <c r="BF107" s="761"/>
      <c r="BG107" s="761"/>
      <c r="BH107" s="761"/>
      <c r="BI107" s="761"/>
      <c r="BJ107" s="761"/>
      <c r="BK107" s="761"/>
      <c r="BL107" s="761"/>
      <c r="BM107" s="761"/>
      <c r="BN107" s="761"/>
      <c r="BO107" s="761"/>
      <c r="BP107" s="761"/>
      <c r="BQ107" s="761"/>
      <c r="BR107" s="761"/>
      <c r="BS107" s="779">
        <f t="shared" si="41"/>
        <v>100000000</v>
      </c>
      <c r="BT107" s="779">
        <v>99948316</v>
      </c>
      <c r="BU107" s="779">
        <v>98111509</v>
      </c>
      <c r="BV107" s="779">
        <v>97595080</v>
      </c>
      <c r="BW107" s="761"/>
      <c r="BX107" s="761"/>
      <c r="BY107" s="761"/>
      <c r="BZ107" s="761"/>
      <c r="CA107" s="761"/>
      <c r="CB107" s="761"/>
      <c r="CC107" s="761"/>
      <c r="CD107" s="761"/>
      <c r="CE107" s="761"/>
      <c r="CF107" s="761"/>
      <c r="CG107" s="761"/>
      <c r="CH107" s="761"/>
      <c r="CI107" s="761"/>
      <c r="CJ107" s="761"/>
      <c r="CK107" s="761"/>
      <c r="CL107" s="761"/>
      <c r="CM107" s="761"/>
      <c r="CN107" s="761"/>
      <c r="CO107" s="761"/>
      <c r="CP107" s="761"/>
      <c r="CQ107" s="761"/>
      <c r="CR107" s="761"/>
      <c r="CS107" s="761"/>
      <c r="CT107" s="761"/>
      <c r="CU107" s="1891">
        <f t="shared" si="35"/>
        <v>100000000</v>
      </c>
      <c r="CV107" s="1891">
        <f t="shared" si="36"/>
        <v>99948316</v>
      </c>
      <c r="CW107" s="1891">
        <f t="shared" si="37"/>
        <v>98111509</v>
      </c>
      <c r="CX107" s="1891">
        <f t="shared" si="38"/>
        <v>97595080</v>
      </c>
      <c r="CY107" s="1892">
        <v>94660762</v>
      </c>
      <c r="CZ107" s="1893">
        <v>74381801</v>
      </c>
      <c r="DA107" s="1894">
        <v>70834493</v>
      </c>
      <c r="DB107" s="816">
        <f t="shared" si="39"/>
        <v>5287554</v>
      </c>
      <c r="DC107" s="816">
        <f t="shared" si="39"/>
        <v>23729708</v>
      </c>
      <c r="DD107" s="816">
        <f t="shared" si="39"/>
        <v>26760587</v>
      </c>
    </row>
    <row r="108" spans="1:108" ht="31.5" customHeight="1">
      <c r="A108" s="772" t="s">
        <v>1414</v>
      </c>
      <c r="B108" s="759">
        <v>100000000</v>
      </c>
      <c r="C108" s="761"/>
      <c r="D108" s="761"/>
      <c r="E108" s="761"/>
      <c r="F108" s="761"/>
      <c r="G108" s="760"/>
      <c r="H108" s="760"/>
      <c r="I108" s="760"/>
      <c r="J108" s="760"/>
      <c r="K108" s="760"/>
      <c r="L108" s="760"/>
      <c r="M108" s="760"/>
      <c r="N108" s="760"/>
      <c r="O108" s="760"/>
      <c r="P108" s="760"/>
      <c r="Q108" s="760"/>
      <c r="R108" s="760"/>
      <c r="S108" s="760"/>
      <c r="T108" s="760"/>
      <c r="U108" s="760"/>
      <c r="V108" s="760"/>
      <c r="W108" s="760"/>
      <c r="X108" s="760"/>
      <c r="Y108" s="760"/>
      <c r="Z108" s="760"/>
      <c r="AA108" s="760"/>
      <c r="AB108" s="760"/>
      <c r="AC108" s="760"/>
      <c r="AD108" s="760"/>
      <c r="AE108" s="761"/>
      <c r="AF108" s="761"/>
      <c r="AG108" s="761"/>
      <c r="AH108" s="761"/>
      <c r="AI108" s="761"/>
      <c r="AJ108" s="761"/>
      <c r="AK108" s="761"/>
      <c r="AL108" s="761"/>
      <c r="AM108" s="761"/>
      <c r="AN108" s="761"/>
      <c r="AO108" s="761"/>
      <c r="AP108" s="761"/>
      <c r="AQ108" s="761"/>
      <c r="AR108" s="761"/>
      <c r="AS108" s="761"/>
      <c r="AT108" s="761"/>
      <c r="AU108" s="761"/>
      <c r="AV108" s="761"/>
      <c r="AW108" s="761"/>
      <c r="AX108" s="761"/>
      <c r="AY108" s="761"/>
      <c r="AZ108" s="761"/>
      <c r="BA108" s="761"/>
      <c r="BB108" s="761"/>
      <c r="BC108" s="761"/>
      <c r="BD108" s="761"/>
      <c r="BE108" s="761"/>
      <c r="BF108" s="761"/>
      <c r="BG108" s="761"/>
      <c r="BH108" s="761"/>
      <c r="BI108" s="761"/>
      <c r="BJ108" s="761"/>
      <c r="BK108" s="761"/>
      <c r="BL108" s="761"/>
      <c r="BM108" s="761"/>
      <c r="BN108" s="761"/>
      <c r="BO108" s="761"/>
      <c r="BP108" s="761"/>
      <c r="BQ108" s="761"/>
      <c r="BR108" s="761"/>
      <c r="BS108" s="779">
        <f t="shared" si="41"/>
        <v>100000000</v>
      </c>
      <c r="BT108" s="779">
        <v>99948316</v>
      </c>
      <c r="BU108" s="779">
        <v>98189367</v>
      </c>
      <c r="BV108" s="779">
        <v>97672938</v>
      </c>
      <c r="BW108" s="761"/>
      <c r="BX108" s="761"/>
      <c r="BY108" s="761"/>
      <c r="BZ108" s="761"/>
      <c r="CA108" s="761"/>
      <c r="CB108" s="761"/>
      <c r="CC108" s="761"/>
      <c r="CD108" s="761"/>
      <c r="CE108" s="761"/>
      <c r="CF108" s="761"/>
      <c r="CG108" s="761"/>
      <c r="CH108" s="761"/>
      <c r="CI108" s="761"/>
      <c r="CJ108" s="761"/>
      <c r="CK108" s="761"/>
      <c r="CL108" s="761"/>
      <c r="CM108" s="761"/>
      <c r="CN108" s="761"/>
      <c r="CO108" s="761"/>
      <c r="CP108" s="761"/>
      <c r="CQ108" s="761"/>
      <c r="CR108" s="761"/>
      <c r="CS108" s="761"/>
      <c r="CT108" s="761"/>
      <c r="CU108" s="1891">
        <f t="shared" si="35"/>
        <v>100000000</v>
      </c>
      <c r="CV108" s="1891">
        <f t="shared" si="36"/>
        <v>99948316</v>
      </c>
      <c r="CW108" s="1891">
        <f t="shared" si="37"/>
        <v>98189367</v>
      </c>
      <c r="CX108" s="1891">
        <f t="shared" si="38"/>
        <v>97672938</v>
      </c>
      <c r="CY108" s="1892">
        <v>94660762</v>
      </c>
      <c r="CZ108" s="1893">
        <v>47481801</v>
      </c>
      <c r="DA108" s="1894">
        <v>44134493</v>
      </c>
      <c r="DB108" s="816">
        <f t="shared" si="39"/>
        <v>5287554</v>
      </c>
      <c r="DC108" s="816">
        <f t="shared" si="39"/>
        <v>50707566</v>
      </c>
      <c r="DD108" s="816">
        <f t="shared" si="39"/>
        <v>53538445</v>
      </c>
    </row>
    <row r="109" spans="1:108" s="765" customFormat="1" ht="47.25">
      <c r="A109" s="788" t="s">
        <v>639</v>
      </c>
      <c r="B109" s="759">
        <v>100000000</v>
      </c>
      <c r="C109" s="764"/>
      <c r="D109" s="764"/>
      <c r="E109" s="764"/>
      <c r="F109" s="764"/>
      <c r="G109" s="764"/>
      <c r="H109" s="764"/>
      <c r="I109" s="764"/>
      <c r="J109" s="764"/>
      <c r="K109" s="764"/>
      <c r="L109" s="764"/>
      <c r="M109" s="764"/>
      <c r="N109" s="764"/>
      <c r="O109" s="764"/>
      <c r="P109" s="764"/>
      <c r="Q109" s="764"/>
      <c r="R109" s="764"/>
      <c r="S109" s="764"/>
      <c r="T109" s="764"/>
      <c r="U109" s="764"/>
      <c r="V109" s="764"/>
      <c r="W109" s="764"/>
      <c r="X109" s="764"/>
      <c r="Y109" s="764"/>
      <c r="Z109" s="764"/>
      <c r="AA109" s="764"/>
      <c r="AB109" s="764"/>
      <c r="AC109" s="764"/>
      <c r="AD109" s="764"/>
      <c r="AE109" s="764"/>
      <c r="AF109" s="764"/>
      <c r="AG109" s="764"/>
      <c r="AH109" s="764"/>
      <c r="AI109" s="764"/>
      <c r="AJ109" s="764"/>
      <c r="AK109" s="764"/>
      <c r="AL109" s="764"/>
      <c r="AM109" s="764"/>
      <c r="AN109" s="764"/>
      <c r="AO109" s="764"/>
      <c r="AP109" s="764"/>
      <c r="AQ109" s="764"/>
      <c r="AR109" s="764"/>
      <c r="AS109" s="764"/>
      <c r="AT109" s="764"/>
      <c r="AU109" s="764"/>
      <c r="AV109" s="764"/>
      <c r="AW109" s="764"/>
      <c r="AX109" s="764"/>
      <c r="AY109" s="764"/>
      <c r="AZ109" s="764"/>
      <c r="BA109" s="764"/>
      <c r="BB109" s="764"/>
      <c r="BC109" s="764"/>
      <c r="BD109" s="764"/>
      <c r="BE109" s="764"/>
      <c r="BF109" s="764"/>
      <c r="BG109" s="764"/>
      <c r="BH109" s="764"/>
      <c r="BI109" s="764"/>
      <c r="BJ109" s="764"/>
      <c r="BK109" s="764"/>
      <c r="BL109" s="764"/>
      <c r="BM109" s="764"/>
      <c r="BN109" s="764"/>
      <c r="BO109" s="764"/>
      <c r="BP109" s="764"/>
      <c r="BQ109" s="764"/>
      <c r="BR109" s="764"/>
      <c r="BS109" s="779">
        <f t="shared" si="41"/>
        <v>100000000</v>
      </c>
      <c r="BT109" s="779">
        <v>99948316</v>
      </c>
      <c r="BU109" s="779">
        <v>95417225</v>
      </c>
      <c r="BV109" s="779">
        <v>94900796</v>
      </c>
      <c r="BW109" s="764"/>
      <c r="BX109" s="764"/>
      <c r="BY109" s="764"/>
      <c r="BZ109" s="764"/>
      <c r="CA109" s="764"/>
      <c r="CB109" s="764"/>
      <c r="CC109" s="764"/>
      <c r="CD109" s="764"/>
      <c r="CE109" s="764"/>
      <c r="CF109" s="764"/>
      <c r="CG109" s="764"/>
      <c r="CH109" s="764"/>
      <c r="CI109" s="764"/>
      <c r="CJ109" s="764"/>
      <c r="CK109" s="764"/>
      <c r="CL109" s="764"/>
      <c r="CM109" s="764"/>
      <c r="CN109" s="764"/>
      <c r="CO109" s="764"/>
      <c r="CP109" s="764"/>
      <c r="CQ109" s="764"/>
      <c r="CR109" s="764"/>
      <c r="CS109" s="764"/>
      <c r="CT109" s="764"/>
      <c r="CU109" s="1891">
        <f t="shared" si="35"/>
        <v>100000000</v>
      </c>
      <c r="CV109" s="1891">
        <f t="shared" si="36"/>
        <v>99948316</v>
      </c>
      <c r="CW109" s="1891">
        <f t="shared" si="37"/>
        <v>95417225</v>
      </c>
      <c r="CX109" s="1891">
        <f t="shared" si="38"/>
        <v>94900796</v>
      </c>
      <c r="CY109" s="1892">
        <v>69560762</v>
      </c>
      <c r="CZ109" s="1893">
        <v>33081801</v>
      </c>
      <c r="DA109" s="1894">
        <v>25134493</v>
      </c>
      <c r="DB109" s="816">
        <f t="shared" si="39"/>
        <v>30387554</v>
      </c>
      <c r="DC109" s="816">
        <f t="shared" si="39"/>
        <v>62335424</v>
      </c>
      <c r="DD109" s="816">
        <f t="shared" si="39"/>
        <v>69766303</v>
      </c>
    </row>
    <row r="110" spans="1:108" s="765" customFormat="1" ht="126">
      <c r="A110" s="772" t="s">
        <v>642</v>
      </c>
      <c r="B110" s="767">
        <v>240300000</v>
      </c>
      <c r="C110" s="764"/>
      <c r="D110" s="764"/>
      <c r="E110" s="764"/>
      <c r="F110" s="764"/>
      <c r="G110" s="764"/>
      <c r="H110" s="764"/>
      <c r="I110" s="764"/>
      <c r="J110" s="764"/>
      <c r="K110" s="764"/>
      <c r="L110" s="764"/>
      <c r="M110" s="764"/>
      <c r="N110" s="764"/>
      <c r="O110" s="764"/>
      <c r="P110" s="764"/>
      <c r="Q110" s="764"/>
      <c r="R110" s="764"/>
      <c r="S110" s="764"/>
      <c r="T110" s="764"/>
      <c r="U110" s="764"/>
      <c r="V110" s="764"/>
      <c r="W110" s="764"/>
      <c r="X110" s="764"/>
      <c r="Y110" s="764"/>
      <c r="Z110" s="764"/>
      <c r="AA110" s="764"/>
      <c r="AB110" s="764"/>
      <c r="AC110" s="764"/>
      <c r="AD110" s="764"/>
      <c r="AE110" s="764"/>
      <c r="AF110" s="764"/>
      <c r="AG110" s="764"/>
      <c r="AH110" s="764"/>
      <c r="AI110" s="764"/>
      <c r="AJ110" s="764"/>
      <c r="AK110" s="764"/>
      <c r="AL110" s="764"/>
      <c r="AM110" s="764"/>
      <c r="AN110" s="764"/>
      <c r="AO110" s="764"/>
      <c r="AP110" s="764"/>
      <c r="AQ110" s="764"/>
      <c r="AR110" s="764"/>
      <c r="AS110" s="764"/>
      <c r="AT110" s="764"/>
      <c r="AU110" s="764"/>
      <c r="AV110" s="764"/>
      <c r="AW110" s="764"/>
      <c r="AX110" s="764"/>
      <c r="AY110" s="764"/>
      <c r="AZ110" s="764"/>
      <c r="BA110" s="764"/>
      <c r="BB110" s="764"/>
      <c r="BC110" s="764"/>
      <c r="BD110" s="764"/>
      <c r="BE110" s="764"/>
      <c r="BF110" s="764"/>
      <c r="BG110" s="764"/>
      <c r="BH110" s="764"/>
      <c r="BI110" s="764"/>
      <c r="BJ110" s="764"/>
      <c r="BK110" s="764"/>
      <c r="BL110" s="764"/>
      <c r="BM110" s="764"/>
      <c r="BN110" s="764"/>
      <c r="BO110" s="764"/>
      <c r="BP110" s="764"/>
      <c r="BQ110" s="764"/>
      <c r="BR110" s="764"/>
      <c r="BS110" s="779">
        <v>240300000</v>
      </c>
      <c r="BT110" s="779">
        <v>239671155</v>
      </c>
      <c r="BU110" s="779">
        <v>18648707</v>
      </c>
      <c r="BV110" s="779">
        <v>13631422</v>
      </c>
      <c r="BW110" s="764"/>
      <c r="BX110" s="764"/>
      <c r="BY110" s="764"/>
      <c r="BZ110" s="764"/>
      <c r="CA110" s="764"/>
      <c r="CB110" s="764"/>
      <c r="CC110" s="764"/>
      <c r="CD110" s="764"/>
      <c r="CE110" s="764"/>
      <c r="CF110" s="764"/>
      <c r="CG110" s="764"/>
      <c r="CH110" s="764"/>
      <c r="CI110" s="764"/>
      <c r="CJ110" s="764"/>
      <c r="CK110" s="764"/>
      <c r="CL110" s="764"/>
      <c r="CM110" s="764"/>
      <c r="CN110" s="764"/>
      <c r="CO110" s="764"/>
      <c r="CP110" s="764"/>
      <c r="CQ110" s="764"/>
      <c r="CR110" s="764"/>
      <c r="CS110" s="764"/>
      <c r="CT110" s="764"/>
      <c r="CU110" s="1891">
        <f t="shared" si="35"/>
        <v>240300000</v>
      </c>
      <c r="CV110" s="1891">
        <f t="shared" si="36"/>
        <v>239671155</v>
      </c>
      <c r="CW110" s="1891">
        <f t="shared" si="37"/>
        <v>18648707</v>
      </c>
      <c r="CX110" s="1891">
        <f t="shared" si="38"/>
        <v>13631422</v>
      </c>
      <c r="CY110" s="1892">
        <v>12782286</v>
      </c>
      <c r="CZ110" s="1893">
        <v>4745402</v>
      </c>
      <c r="DA110" s="1894">
        <v>4603478</v>
      </c>
      <c r="DB110" s="816">
        <f t="shared" si="39"/>
        <v>226888869</v>
      </c>
      <c r="DC110" s="816">
        <f t="shared" si="39"/>
        <v>13903305</v>
      </c>
      <c r="DD110" s="816">
        <f t="shared" si="39"/>
        <v>9027944</v>
      </c>
    </row>
    <row r="111" spans="1:108" ht="126">
      <c r="A111" s="772" t="s">
        <v>1415</v>
      </c>
      <c r="B111" s="767">
        <v>150700000</v>
      </c>
      <c r="C111" s="761"/>
      <c r="D111" s="761"/>
      <c r="E111" s="761"/>
      <c r="F111" s="761"/>
      <c r="G111" s="760"/>
      <c r="H111" s="760"/>
      <c r="I111" s="760"/>
      <c r="J111" s="760"/>
      <c r="K111" s="760"/>
      <c r="L111" s="760"/>
      <c r="M111" s="760"/>
      <c r="N111" s="760"/>
      <c r="O111" s="760"/>
      <c r="P111" s="760"/>
      <c r="Q111" s="760"/>
      <c r="R111" s="760"/>
      <c r="S111" s="760"/>
      <c r="T111" s="760"/>
      <c r="U111" s="760"/>
      <c r="V111" s="760"/>
      <c r="W111" s="760"/>
      <c r="X111" s="760"/>
      <c r="Y111" s="760"/>
      <c r="Z111" s="760"/>
      <c r="AA111" s="760"/>
      <c r="AB111" s="760"/>
      <c r="AC111" s="760"/>
      <c r="AD111" s="760"/>
      <c r="AE111" s="761"/>
      <c r="AF111" s="761"/>
      <c r="AG111" s="761"/>
      <c r="AH111" s="761"/>
      <c r="AI111" s="761"/>
      <c r="AJ111" s="761"/>
      <c r="AK111" s="761"/>
      <c r="AL111" s="761"/>
      <c r="AM111" s="761"/>
      <c r="AN111" s="761"/>
      <c r="AO111" s="761"/>
      <c r="AP111" s="761"/>
      <c r="AQ111" s="761"/>
      <c r="AR111" s="761"/>
      <c r="AS111" s="761"/>
      <c r="AT111" s="761"/>
      <c r="AU111" s="761"/>
      <c r="AV111" s="761"/>
      <c r="AW111" s="761"/>
      <c r="AX111" s="761"/>
      <c r="AY111" s="761"/>
      <c r="AZ111" s="761"/>
      <c r="BA111" s="761"/>
      <c r="BB111" s="761"/>
      <c r="BC111" s="761"/>
      <c r="BD111" s="761"/>
      <c r="BE111" s="761"/>
      <c r="BF111" s="761"/>
      <c r="BG111" s="761"/>
      <c r="BH111" s="761"/>
      <c r="BI111" s="761"/>
      <c r="BJ111" s="761"/>
      <c r="BK111" s="761"/>
      <c r="BL111" s="761"/>
      <c r="BM111" s="761"/>
      <c r="BN111" s="761"/>
      <c r="BO111" s="761"/>
      <c r="BP111" s="761"/>
      <c r="BQ111" s="761"/>
      <c r="BR111" s="761"/>
      <c r="BS111" s="779">
        <v>150700000</v>
      </c>
      <c r="BT111" s="779">
        <v>139685550</v>
      </c>
      <c r="BU111" s="779">
        <v>126721637</v>
      </c>
      <c r="BV111" s="779">
        <v>111193258</v>
      </c>
      <c r="BW111" s="761"/>
      <c r="BX111" s="761"/>
      <c r="BY111" s="761"/>
      <c r="BZ111" s="761"/>
      <c r="CA111" s="761"/>
      <c r="CB111" s="761"/>
      <c r="CC111" s="761"/>
      <c r="CD111" s="761"/>
      <c r="CE111" s="761"/>
      <c r="CF111" s="761"/>
      <c r="CG111" s="761"/>
      <c r="CH111" s="761"/>
      <c r="CI111" s="761"/>
      <c r="CJ111" s="761"/>
      <c r="CK111" s="761"/>
      <c r="CL111" s="761"/>
      <c r="CM111" s="761"/>
      <c r="CN111" s="761"/>
      <c r="CO111" s="761"/>
      <c r="CP111" s="761"/>
      <c r="CQ111" s="761"/>
      <c r="CR111" s="761"/>
      <c r="CS111" s="761"/>
      <c r="CT111" s="761"/>
      <c r="CU111" s="1891">
        <f t="shared" si="35"/>
        <v>150700000</v>
      </c>
      <c r="CV111" s="1891">
        <f t="shared" si="36"/>
        <v>139685550</v>
      </c>
      <c r="CW111" s="1891">
        <f t="shared" si="37"/>
        <v>126721637</v>
      </c>
      <c r="CX111" s="1891">
        <f t="shared" si="38"/>
        <v>111193258</v>
      </c>
      <c r="CY111" s="1892">
        <v>86860762</v>
      </c>
      <c r="CZ111" s="1893">
        <v>13581801</v>
      </c>
      <c r="DA111" s="1894">
        <v>13534493</v>
      </c>
      <c r="DB111" s="816">
        <f t="shared" si="39"/>
        <v>52824788</v>
      </c>
      <c r="DC111" s="816">
        <f t="shared" si="39"/>
        <v>113139836</v>
      </c>
      <c r="DD111" s="816">
        <f t="shared" si="39"/>
        <v>97658765</v>
      </c>
    </row>
    <row r="112" spans="1:108" ht="126">
      <c r="A112" s="772" t="s">
        <v>644</v>
      </c>
      <c r="B112" s="767">
        <v>109000000</v>
      </c>
      <c r="C112" s="761"/>
      <c r="D112" s="761"/>
      <c r="E112" s="761"/>
      <c r="F112" s="761"/>
      <c r="G112" s="760"/>
      <c r="H112" s="760"/>
      <c r="I112" s="760"/>
      <c r="J112" s="760"/>
      <c r="K112" s="760"/>
      <c r="L112" s="760"/>
      <c r="M112" s="760"/>
      <c r="N112" s="760"/>
      <c r="O112" s="760"/>
      <c r="P112" s="760"/>
      <c r="Q112" s="760"/>
      <c r="R112" s="760"/>
      <c r="S112" s="760"/>
      <c r="T112" s="760"/>
      <c r="U112" s="760"/>
      <c r="V112" s="760"/>
      <c r="W112" s="760"/>
      <c r="X112" s="760"/>
      <c r="Y112" s="760"/>
      <c r="Z112" s="760"/>
      <c r="AA112" s="760"/>
      <c r="AB112" s="760"/>
      <c r="AC112" s="760"/>
      <c r="AD112" s="760"/>
      <c r="AE112" s="761"/>
      <c r="AF112" s="761"/>
      <c r="AG112" s="761"/>
      <c r="AH112" s="761"/>
      <c r="AI112" s="761"/>
      <c r="AJ112" s="761"/>
      <c r="AK112" s="761"/>
      <c r="AL112" s="761"/>
      <c r="AM112" s="761"/>
      <c r="AN112" s="761"/>
      <c r="AO112" s="761"/>
      <c r="AP112" s="761"/>
      <c r="AQ112" s="761"/>
      <c r="AR112" s="761"/>
      <c r="AS112" s="761"/>
      <c r="AT112" s="761"/>
      <c r="AU112" s="761"/>
      <c r="AV112" s="761"/>
      <c r="AW112" s="761"/>
      <c r="AX112" s="761"/>
      <c r="AY112" s="761"/>
      <c r="AZ112" s="761"/>
      <c r="BA112" s="761"/>
      <c r="BB112" s="761"/>
      <c r="BC112" s="761"/>
      <c r="BD112" s="761"/>
      <c r="BE112" s="761"/>
      <c r="BF112" s="761"/>
      <c r="BG112" s="761"/>
      <c r="BH112" s="761"/>
      <c r="BI112" s="761"/>
      <c r="BJ112" s="761"/>
      <c r="BK112" s="761"/>
      <c r="BL112" s="761"/>
      <c r="BM112" s="761"/>
      <c r="BN112" s="761"/>
      <c r="BO112" s="761"/>
      <c r="BP112" s="761"/>
      <c r="BQ112" s="761"/>
      <c r="BR112" s="761"/>
      <c r="BS112" s="779">
        <v>109000000</v>
      </c>
      <c r="BT112" s="779">
        <v>108783707</v>
      </c>
      <c r="BU112" s="779">
        <v>102852614</v>
      </c>
      <c r="BV112" s="779">
        <v>101177751</v>
      </c>
      <c r="BW112" s="761"/>
      <c r="BX112" s="761"/>
      <c r="BY112" s="761"/>
      <c r="BZ112" s="761"/>
      <c r="CA112" s="761"/>
      <c r="CB112" s="761"/>
      <c r="CC112" s="761"/>
      <c r="CD112" s="761"/>
      <c r="CE112" s="761"/>
      <c r="CF112" s="761"/>
      <c r="CG112" s="761"/>
      <c r="CH112" s="761"/>
      <c r="CI112" s="761"/>
      <c r="CJ112" s="761"/>
      <c r="CK112" s="761"/>
      <c r="CL112" s="761"/>
      <c r="CM112" s="761"/>
      <c r="CN112" s="761"/>
      <c r="CO112" s="761"/>
      <c r="CP112" s="761"/>
      <c r="CQ112" s="761"/>
      <c r="CR112" s="761"/>
      <c r="CS112" s="761"/>
      <c r="CT112" s="761"/>
      <c r="CU112" s="1891">
        <f t="shared" si="35"/>
        <v>109000000</v>
      </c>
      <c r="CV112" s="1891">
        <f t="shared" si="36"/>
        <v>108783707</v>
      </c>
      <c r="CW112" s="1891">
        <f t="shared" si="37"/>
        <v>102852614</v>
      </c>
      <c r="CX112" s="1891">
        <f t="shared" si="38"/>
        <v>101177751</v>
      </c>
      <c r="CY112" s="1892">
        <v>94660762</v>
      </c>
      <c r="CZ112" s="1893">
        <v>51981801</v>
      </c>
      <c r="DA112" s="1894">
        <v>42334493</v>
      </c>
      <c r="DB112" s="816">
        <f t="shared" si="39"/>
        <v>14122945</v>
      </c>
      <c r="DC112" s="816">
        <f t="shared" si="39"/>
        <v>50870813</v>
      </c>
      <c r="DD112" s="816">
        <f t="shared" si="39"/>
        <v>58843258</v>
      </c>
    </row>
    <row r="113" spans="1:108" s="765" customFormat="1" ht="204.75">
      <c r="A113" s="782" t="s">
        <v>1416</v>
      </c>
      <c r="B113" s="1908">
        <v>4683573979</v>
      </c>
      <c r="C113" s="789"/>
      <c r="D113" s="789"/>
      <c r="E113" s="789"/>
      <c r="F113" s="789"/>
      <c r="G113" s="764"/>
      <c r="H113" s="764"/>
      <c r="I113" s="764"/>
      <c r="J113" s="764"/>
      <c r="K113" s="764"/>
      <c r="L113" s="764"/>
      <c r="M113" s="764"/>
      <c r="N113" s="764"/>
      <c r="O113" s="764"/>
      <c r="P113" s="764"/>
      <c r="Q113" s="764"/>
      <c r="R113" s="764"/>
      <c r="S113" s="764"/>
      <c r="T113" s="764"/>
      <c r="U113" s="764"/>
      <c r="V113" s="764"/>
      <c r="W113" s="764"/>
      <c r="X113" s="764"/>
      <c r="Y113" s="764"/>
      <c r="Z113" s="764"/>
      <c r="AA113" s="764"/>
      <c r="AB113" s="764"/>
      <c r="AC113" s="764"/>
      <c r="AD113" s="764"/>
      <c r="AE113" s="764"/>
      <c r="AF113" s="764"/>
      <c r="AG113" s="764"/>
      <c r="AH113" s="764"/>
      <c r="AI113" s="764"/>
      <c r="AJ113" s="764"/>
      <c r="AK113" s="764"/>
      <c r="AL113" s="764"/>
      <c r="AM113" s="764"/>
      <c r="AN113" s="764"/>
      <c r="AO113" s="764"/>
      <c r="AP113" s="764"/>
      <c r="AQ113" s="764"/>
      <c r="AR113" s="764"/>
      <c r="AS113" s="764"/>
      <c r="AT113" s="764"/>
      <c r="AU113" s="764"/>
      <c r="AV113" s="764"/>
      <c r="AW113" s="764"/>
      <c r="AX113" s="764"/>
      <c r="AY113" s="764"/>
      <c r="AZ113" s="764"/>
      <c r="BA113" s="764"/>
      <c r="BB113" s="764"/>
      <c r="BC113" s="764"/>
      <c r="BD113" s="764"/>
      <c r="BE113" s="764"/>
      <c r="BF113" s="764"/>
      <c r="BG113" s="764"/>
      <c r="BH113" s="764"/>
      <c r="BI113" s="764"/>
      <c r="BJ113" s="764"/>
      <c r="BK113" s="764"/>
      <c r="BL113" s="764"/>
      <c r="BM113" s="764"/>
      <c r="BN113" s="764"/>
      <c r="BO113" s="764"/>
      <c r="BP113" s="764"/>
      <c r="BQ113" s="764"/>
      <c r="BR113" s="764"/>
      <c r="BS113" s="780">
        <v>4683573979</v>
      </c>
      <c r="BT113" s="779">
        <v>4664621367.4099998</v>
      </c>
      <c r="BU113" s="779">
        <v>1238760297.3699999</v>
      </c>
      <c r="BV113" s="779">
        <v>783215578.60000002</v>
      </c>
      <c r="BW113" s="764"/>
      <c r="BX113" s="764"/>
      <c r="BY113" s="764"/>
      <c r="BZ113" s="764"/>
      <c r="CA113" s="764"/>
      <c r="CB113" s="764"/>
      <c r="CC113" s="764"/>
      <c r="CD113" s="764"/>
      <c r="CE113" s="764"/>
      <c r="CF113" s="764"/>
      <c r="CG113" s="764"/>
      <c r="CH113" s="764"/>
      <c r="CI113" s="764"/>
      <c r="CJ113" s="764"/>
      <c r="CK113" s="764"/>
      <c r="CL113" s="764"/>
      <c r="CM113" s="764"/>
      <c r="CN113" s="764"/>
      <c r="CO113" s="764"/>
      <c r="CP113" s="764"/>
      <c r="CQ113" s="764"/>
      <c r="CR113" s="764"/>
      <c r="CS113" s="764"/>
      <c r="CT113" s="764"/>
      <c r="CU113" s="1891">
        <f t="shared" si="35"/>
        <v>4683573979</v>
      </c>
      <c r="CV113" s="1891">
        <f t="shared" si="36"/>
        <v>4664621367.4099998</v>
      </c>
      <c r="CW113" s="1891">
        <f t="shared" si="37"/>
        <v>1238760297.3699999</v>
      </c>
      <c r="CX113" s="1891">
        <f t="shared" si="38"/>
        <v>783215578.60000002</v>
      </c>
      <c r="CY113" s="1892">
        <v>262308888</v>
      </c>
      <c r="CZ113" s="1893">
        <v>23149799</v>
      </c>
      <c r="DA113" s="1894">
        <v>22457942</v>
      </c>
      <c r="DB113" s="816">
        <f t="shared" si="39"/>
        <v>4402312479.4099998</v>
      </c>
      <c r="DC113" s="816">
        <f t="shared" si="39"/>
        <v>1215610498.3699999</v>
      </c>
      <c r="DD113" s="816">
        <f t="shared" si="39"/>
        <v>760757636.60000002</v>
      </c>
    </row>
    <row r="114" spans="1:108" ht="47.25">
      <c r="A114" s="772" t="s">
        <v>647</v>
      </c>
      <c r="B114" s="759">
        <v>30000000</v>
      </c>
      <c r="C114" s="761"/>
      <c r="D114" s="761"/>
      <c r="E114" s="761"/>
      <c r="F114" s="761"/>
      <c r="G114" s="760"/>
      <c r="H114" s="760"/>
      <c r="I114" s="760"/>
      <c r="J114" s="760"/>
      <c r="K114" s="760"/>
      <c r="L114" s="760"/>
      <c r="M114" s="760"/>
      <c r="N114" s="760"/>
      <c r="O114" s="760"/>
      <c r="P114" s="760"/>
      <c r="Q114" s="760"/>
      <c r="R114" s="760"/>
      <c r="S114" s="760"/>
      <c r="T114" s="760"/>
      <c r="U114" s="760"/>
      <c r="V114" s="760"/>
      <c r="W114" s="760"/>
      <c r="X114" s="760"/>
      <c r="Y114" s="760"/>
      <c r="Z114" s="760"/>
      <c r="AA114" s="760"/>
      <c r="AB114" s="760"/>
      <c r="AC114" s="760"/>
      <c r="AD114" s="760"/>
      <c r="AE114" s="761"/>
      <c r="AF114" s="761"/>
      <c r="AG114" s="761"/>
      <c r="AH114" s="761"/>
      <c r="AI114" s="761"/>
      <c r="AJ114" s="761"/>
      <c r="AK114" s="761"/>
      <c r="AL114" s="761"/>
      <c r="AM114" s="761"/>
      <c r="AN114" s="761"/>
      <c r="AO114" s="761"/>
      <c r="AP114" s="761"/>
      <c r="AQ114" s="761"/>
      <c r="AR114" s="761"/>
      <c r="AS114" s="761"/>
      <c r="AT114" s="761"/>
      <c r="AU114" s="761"/>
      <c r="AV114" s="761"/>
      <c r="AW114" s="761"/>
      <c r="AX114" s="761"/>
      <c r="AY114" s="761"/>
      <c r="AZ114" s="761"/>
      <c r="BA114" s="761"/>
      <c r="BB114" s="761"/>
      <c r="BC114" s="761"/>
      <c r="BD114" s="761"/>
      <c r="BE114" s="761"/>
      <c r="BF114" s="761"/>
      <c r="BG114" s="761"/>
      <c r="BH114" s="761"/>
      <c r="BI114" s="761"/>
      <c r="BJ114" s="761"/>
      <c r="BK114" s="761"/>
      <c r="BL114" s="761"/>
      <c r="BM114" s="761"/>
      <c r="BN114" s="761"/>
      <c r="BO114" s="761"/>
      <c r="BP114" s="761"/>
      <c r="BQ114" s="761"/>
      <c r="BR114" s="761"/>
      <c r="BS114" s="779">
        <f t="shared" ref="BS114:BS121" si="42">+B114</f>
        <v>30000000</v>
      </c>
      <c r="BT114" s="779">
        <v>11373717</v>
      </c>
      <c r="BU114" s="779">
        <v>11351087</v>
      </c>
      <c r="BV114" s="779">
        <v>7823660</v>
      </c>
      <c r="BW114" s="761"/>
      <c r="BX114" s="761"/>
      <c r="BY114" s="761"/>
      <c r="BZ114" s="761"/>
      <c r="CA114" s="761"/>
      <c r="CB114" s="761"/>
      <c r="CC114" s="761"/>
      <c r="CD114" s="761"/>
      <c r="CE114" s="761"/>
      <c r="CF114" s="761"/>
      <c r="CG114" s="761"/>
      <c r="CH114" s="761"/>
      <c r="CI114" s="761"/>
      <c r="CJ114" s="761"/>
      <c r="CK114" s="761"/>
      <c r="CL114" s="761"/>
      <c r="CM114" s="761"/>
      <c r="CN114" s="761"/>
      <c r="CO114" s="761"/>
      <c r="CP114" s="761"/>
      <c r="CQ114" s="761"/>
      <c r="CR114" s="761"/>
      <c r="CS114" s="761"/>
      <c r="CT114" s="761"/>
      <c r="CU114" s="1891">
        <f t="shared" si="35"/>
        <v>30000000</v>
      </c>
      <c r="CV114" s="1891">
        <f t="shared" si="36"/>
        <v>11373717</v>
      </c>
      <c r="CW114" s="1891">
        <f t="shared" si="37"/>
        <v>11351087</v>
      </c>
      <c r="CX114" s="1891">
        <f t="shared" si="38"/>
        <v>7823660</v>
      </c>
      <c r="CY114" s="1892">
        <v>485264</v>
      </c>
      <c r="CZ114" s="1893">
        <v>447560</v>
      </c>
      <c r="DA114" s="1894">
        <v>447560</v>
      </c>
      <c r="DB114" s="816">
        <f t="shared" si="39"/>
        <v>10888453</v>
      </c>
      <c r="DC114" s="816">
        <f t="shared" si="39"/>
        <v>10903527</v>
      </c>
      <c r="DD114" s="816">
        <f t="shared" si="39"/>
        <v>7376100</v>
      </c>
    </row>
    <row r="115" spans="1:108" ht="236.25">
      <c r="A115" s="772" t="s">
        <v>1417</v>
      </c>
      <c r="B115" s="759">
        <v>400000000</v>
      </c>
      <c r="C115" s="761"/>
      <c r="D115" s="761"/>
      <c r="E115" s="761"/>
      <c r="F115" s="761"/>
      <c r="G115" s="760"/>
      <c r="H115" s="760"/>
      <c r="I115" s="760"/>
      <c r="J115" s="760"/>
      <c r="K115" s="760"/>
      <c r="L115" s="760"/>
      <c r="M115" s="760"/>
      <c r="N115" s="760"/>
      <c r="O115" s="760"/>
      <c r="P115" s="760"/>
      <c r="Q115" s="760"/>
      <c r="R115" s="760"/>
      <c r="S115" s="760"/>
      <c r="T115" s="760"/>
      <c r="U115" s="760"/>
      <c r="V115" s="760"/>
      <c r="W115" s="760"/>
      <c r="X115" s="760"/>
      <c r="Y115" s="760"/>
      <c r="Z115" s="760"/>
      <c r="AA115" s="760"/>
      <c r="AB115" s="760"/>
      <c r="AC115" s="760"/>
      <c r="AD115" s="760"/>
      <c r="AE115" s="761"/>
      <c r="AF115" s="761"/>
      <c r="AG115" s="761"/>
      <c r="AH115" s="761"/>
      <c r="AI115" s="761"/>
      <c r="AJ115" s="761"/>
      <c r="AK115" s="761"/>
      <c r="AL115" s="761"/>
      <c r="AM115" s="761"/>
      <c r="AN115" s="761"/>
      <c r="AO115" s="761"/>
      <c r="AP115" s="761"/>
      <c r="AQ115" s="761"/>
      <c r="AR115" s="761"/>
      <c r="AS115" s="761"/>
      <c r="AT115" s="761"/>
      <c r="AU115" s="761"/>
      <c r="AV115" s="761"/>
      <c r="AW115" s="761"/>
      <c r="AX115" s="761"/>
      <c r="AY115" s="761"/>
      <c r="AZ115" s="761"/>
      <c r="BA115" s="761"/>
      <c r="BB115" s="761"/>
      <c r="BC115" s="761"/>
      <c r="BD115" s="761"/>
      <c r="BE115" s="761"/>
      <c r="BF115" s="761"/>
      <c r="BG115" s="761"/>
      <c r="BH115" s="761"/>
      <c r="BI115" s="761"/>
      <c r="BJ115" s="761"/>
      <c r="BK115" s="761"/>
      <c r="BL115" s="761"/>
      <c r="BM115" s="761"/>
      <c r="BN115" s="761"/>
      <c r="BO115" s="761"/>
      <c r="BP115" s="761"/>
      <c r="BQ115" s="761"/>
      <c r="BR115" s="761"/>
      <c r="BS115" s="762">
        <f t="shared" si="42"/>
        <v>400000000</v>
      </c>
      <c r="BT115" s="762">
        <v>326463956</v>
      </c>
      <c r="BU115" s="762">
        <v>259712261</v>
      </c>
      <c r="BV115" s="762">
        <v>249712261</v>
      </c>
      <c r="BW115" s="761"/>
      <c r="BX115" s="761"/>
      <c r="BY115" s="761"/>
      <c r="BZ115" s="761"/>
      <c r="CA115" s="761"/>
      <c r="CB115" s="761"/>
      <c r="CC115" s="761"/>
      <c r="CD115" s="761"/>
      <c r="CE115" s="761"/>
      <c r="CF115" s="761"/>
      <c r="CG115" s="761"/>
      <c r="CH115" s="761"/>
      <c r="CI115" s="761"/>
      <c r="CJ115" s="761"/>
      <c r="CK115" s="761"/>
      <c r="CL115" s="761"/>
      <c r="CM115" s="761"/>
      <c r="CN115" s="761"/>
      <c r="CO115" s="761"/>
      <c r="CP115" s="761"/>
      <c r="CQ115" s="761"/>
      <c r="CR115" s="761"/>
      <c r="CS115" s="761"/>
      <c r="CT115" s="761"/>
      <c r="CU115" s="1891">
        <f t="shared" si="35"/>
        <v>400000000</v>
      </c>
      <c r="CV115" s="1891">
        <f t="shared" si="36"/>
        <v>326463956</v>
      </c>
      <c r="CW115" s="1891">
        <f t="shared" si="37"/>
        <v>259712261</v>
      </c>
      <c r="CX115" s="1891">
        <f t="shared" si="38"/>
        <v>249712261</v>
      </c>
      <c r="CY115" s="1892">
        <v>296713956</v>
      </c>
      <c r="CZ115" s="1893">
        <v>127653956</v>
      </c>
      <c r="DA115" s="1894">
        <v>127653956</v>
      </c>
      <c r="DB115" s="816">
        <f t="shared" si="39"/>
        <v>29750000</v>
      </c>
      <c r="DC115" s="816">
        <f t="shared" si="39"/>
        <v>132058305</v>
      </c>
      <c r="DD115" s="816">
        <f t="shared" si="39"/>
        <v>122058305</v>
      </c>
    </row>
    <row r="116" spans="1:108" ht="63">
      <c r="A116" s="772" t="s">
        <v>649</v>
      </c>
      <c r="B116" s="759">
        <v>225000000</v>
      </c>
      <c r="C116" s="761"/>
      <c r="D116" s="761"/>
      <c r="E116" s="761"/>
      <c r="F116" s="761"/>
      <c r="G116" s="760"/>
      <c r="H116" s="760"/>
      <c r="I116" s="760"/>
      <c r="J116" s="760"/>
      <c r="K116" s="760"/>
      <c r="L116" s="760"/>
      <c r="M116" s="760"/>
      <c r="N116" s="760"/>
      <c r="O116" s="760"/>
      <c r="P116" s="760"/>
      <c r="Q116" s="760"/>
      <c r="R116" s="760"/>
      <c r="S116" s="760"/>
      <c r="T116" s="760"/>
      <c r="U116" s="760"/>
      <c r="V116" s="760"/>
      <c r="W116" s="760"/>
      <c r="X116" s="760"/>
      <c r="Y116" s="760"/>
      <c r="Z116" s="760"/>
      <c r="AA116" s="760"/>
      <c r="AB116" s="760"/>
      <c r="AC116" s="760"/>
      <c r="AD116" s="760"/>
      <c r="AE116" s="761"/>
      <c r="AF116" s="761"/>
      <c r="AG116" s="761"/>
      <c r="AH116" s="761"/>
      <c r="AI116" s="761"/>
      <c r="AJ116" s="761"/>
      <c r="AK116" s="761"/>
      <c r="AL116" s="761"/>
      <c r="AM116" s="761"/>
      <c r="AN116" s="761"/>
      <c r="AO116" s="761"/>
      <c r="AP116" s="761"/>
      <c r="AQ116" s="761"/>
      <c r="AR116" s="761"/>
      <c r="AS116" s="761"/>
      <c r="AT116" s="761"/>
      <c r="AU116" s="761"/>
      <c r="AV116" s="761"/>
      <c r="AW116" s="761"/>
      <c r="AX116" s="761"/>
      <c r="AY116" s="761"/>
      <c r="AZ116" s="761"/>
      <c r="BA116" s="761"/>
      <c r="BB116" s="761"/>
      <c r="BC116" s="761"/>
      <c r="BD116" s="761"/>
      <c r="BE116" s="761"/>
      <c r="BF116" s="761"/>
      <c r="BG116" s="761"/>
      <c r="BH116" s="761"/>
      <c r="BI116" s="761"/>
      <c r="BJ116" s="761"/>
      <c r="BK116" s="761"/>
      <c r="BL116" s="761"/>
      <c r="BM116" s="761"/>
      <c r="BN116" s="761"/>
      <c r="BO116" s="761"/>
      <c r="BP116" s="761"/>
      <c r="BQ116" s="761"/>
      <c r="BR116" s="761"/>
      <c r="BS116" s="762">
        <f t="shared" si="42"/>
        <v>225000000</v>
      </c>
      <c r="BT116" s="762">
        <v>206177162</v>
      </c>
      <c r="BU116" s="762">
        <v>206177162</v>
      </c>
      <c r="BV116" s="762">
        <v>206177162</v>
      </c>
      <c r="BW116" s="761"/>
      <c r="BX116" s="761"/>
      <c r="BY116" s="761"/>
      <c r="BZ116" s="761"/>
      <c r="CA116" s="761"/>
      <c r="CB116" s="761"/>
      <c r="CC116" s="761"/>
      <c r="CD116" s="761"/>
      <c r="CE116" s="761"/>
      <c r="CF116" s="761"/>
      <c r="CG116" s="761"/>
      <c r="CH116" s="761"/>
      <c r="CI116" s="761"/>
      <c r="CJ116" s="761"/>
      <c r="CK116" s="761"/>
      <c r="CL116" s="761"/>
      <c r="CM116" s="761"/>
      <c r="CN116" s="761"/>
      <c r="CO116" s="761"/>
      <c r="CP116" s="761"/>
      <c r="CQ116" s="761"/>
      <c r="CR116" s="761"/>
      <c r="CS116" s="761"/>
      <c r="CT116" s="761"/>
      <c r="CU116" s="1891">
        <f t="shared" si="35"/>
        <v>225000000</v>
      </c>
      <c r="CV116" s="1891">
        <f t="shared" si="36"/>
        <v>206177162</v>
      </c>
      <c r="CW116" s="1891">
        <f t="shared" si="37"/>
        <v>206177162</v>
      </c>
      <c r="CX116" s="1891">
        <f t="shared" si="38"/>
        <v>206177162</v>
      </c>
      <c r="CY116" s="1892">
        <v>162732419</v>
      </c>
      <c r="CZ116" s="1893">
        <v>162732419</v>
      </c>
      <c r="DA116" s="1894">
        <v>162732419</v>
      </c>
      <c r="DB116" s="816">
        <f t="shared" si="39"/>
        <v>43444743</v>
      </c>
      <c r="DC116" s="816">
        <f t="shared" si="39"/>
        <v>43444743</v>
      </c>
      <c r="DD116" s="816">
        <f t="shared" si="39"/>
        <v>43444743</v>
      </c>
    </row>
    <row r="117" spans="1:108" ht="110.25">
      <c r="A117" s="772" t="s">
        <v>1418</v>
      </c>
      <c r="B117" s="759">
        <v>50000000</v>
      </c>
      <c r="C117" s="761"/>
      <c r="D117" s="761"/>
      <c r="E117" s="761"/>
      <c r="F117" s="761"/>
      <c r="G117" s="760"/>
      <c r="H117" s="760"/>
      <c r="I117" s="760"/>
      <c r="J117" s="760"/>
      <c r="K117" s="760"/>
      <c r="L117" s="760"/>
      <c r="M117" s="760"/>
      <c r="N117" s="760"/>
      <c r="O117" s="760"/>
      <c r="P117" s="760"/>
      <c r="Q117" s="760"/>
      <c r="R117" s="760"/>
      <c r="S117" s="760"/>
      <c r="T117" s="760"/>
      <c r="U117" s="760"/>
      <c r="V117" s="760"/>
      <c r="W117" s="760"/>
      <c r="X117" s="760"/>
      <c r="Y117" s="760"/>
      <c r="Z117" s="760"/>
      <c r="AA117" s="760"/>
      <c r="AB117" s="760"/>
      <c r="AC117" s="760"/>
      <c r="AD117" s="760"/>
      <c r="AE117" s="761"/>
      <c r="AF117" s="761"/>
      <c r="AG117" s="761"/>
      <c r="AH117" s="761"/>
      <c r="AI117" s="761"/>
      <c r="AJ117" s="761"/>
      <c r="AK117" s="761"/>
      <c r="AL117" s="761"/>
      <c r="AM117" s="761"/>
      <c r="AN117" s="761"/>
      <c r="AO117" s="761"/>
      <c r="AP117" s="761"/>
      <c r="AQ117" s="761"/>
      <c r="AR117" s="761"/>
      <c r="AS117" s="761"/>
      <c r="AT117" s="761"/>
      <c r="AU117" s="761"/>
      <c r="AV117" s="761"/>
      <c r="AW117" s="761"/>
      <c r="AX117" s="761"/>
      <c r="AY117" s="761"/>
      <c r="AZ117" s="761"/>
      <c r="BA117" s="761"/>
      <c r="BB117" s="761"/>
      <c r="BC117" s="761"/>
      <c r="BD117" s="761"/>
      <c r="BE117" s="761"/>
      <c r="BF117" s="761"/>
      <c r="BG117" s="761"/>
      <c r="BH117" s="761"/>
      <c r="BI117" s="761"/>
      <c r="BJ117" s="761"/>
      <c r="BK117" s="761"/>
      <c r="BL117" s="761"/>
      <c r="BM117" s="761"/>
      <c r="BN117" s="761"/>
      <c r="BO117" s="761"/>
      <c r="BP117" s="761"/>
      <c r="BQ117" s="761"/>
      <c r="BR117" s="761"/>
      <c r="BS117" s="762">
        <f t="shared" si="42"/>
        <v>50000000</v>
      </c>
      <c r="BT117" s="762">
        <v>49974158</v>
      </c>
      <c r="BU117" s="762">
        <v>49189809</v>
      </c>
      <c r="BV117" s="762">
        <v>48366004</v>
      </c>
      <c r="BW117" s="761"/>
      <c r="BX117" s="761"/>
      <c r="BY117" s="761"/>
      <c r="BZ117" s="761"/>
      <c r="CA117" s="761"/>
      <c r="CB117" s="761"/>
      <c r="CC117" s="761"/>
      <c r="CD117" s="761"/>
      <c r="CE117" s="761"/>
      <c r="CF117" s="761"/>
      <c r="CG117" s="761"/>
      <c r="CH117" s="761"/>
      <c r="CI117" s="761"/>
      <c r="CJ117" s="761"/>
      <c r="CK117" s="761"/>
      <c r="CL117" s="761"/>
      <c r="CM117" s="761"/>
      <c r="CN117" s="761"/>
      <c r="CO117" s="761"/>
      <c r="CP117" s="761"/>
      <c r="CQ117" s="761"/>
      <c r="CR117" s="761"/>
      <c r="CS117" s="761"/>
      <c r="CT117" s="761"/>
      <c r="CU117" s="1891">
        <f t="shared" si="35"/>
        <v>50000000</v>
      </c>
      <c r="CV117" s="1891">
        <f t="shared" si="36"/>
        <v>49974158</v>
      </c>
      <c r="CW117" s="1891">
        <f t="shared" si="37"/>
        <v>49189809</v>
      </c>
      <c r="CX117" s="1891">
        <f t="shared" si="38"/>
        <v>48366004</v>
      </c>
      <c r="CY117" s="1892">
        <v>47176195</v>
      </c>
      <c r="CZ117" s="1893">
        <v>31767246</v>
      </c>
      <c r="DA117" s="1894">
        <v>24767246</v>
      </c>
      <c r="DB117" s="816">
        <f t="shared" si="39"/>
        <v>2797963</v>
      </c>
      <c r="DC117" s="816">
        <f t="shared" si="39"/>
        <v>17422563</v>
      </c>
      <c r="DD117" s="816">
        <f t="shared" si="39"/>
        <v>23598758</v>
      </c>
    </row>
    <row r="118" spans="1:108" ht="78.75">
      <c r="A118" s="788" t="s">
        <v>651</v>
      </c>
      <c r="B118" s="759">
        <v>40000000</v>
      </c>
      <c r="C118" s="761"/>
      <c r="D118" s="761"/>
      <c r="E118" s="761"/>
      <c r="F118" s="761"/>
      <c r="G118" s="760"/>
      <c r="H118" s="760"/>
      <c r="I118" s="760"/>
      <c r="J118" s="760"/>
      <c r="K118" s="760"/>
      <c r="L118" s="760"/>
      <c r="M118" s="760"/>
      <c r="N118" s="760"/>
      <c r="O118" s="760"/>
      <c r="P118" s="760"/>
      <c r="Q118" s="760"/>
      <c r="R118" s="760"/>
      <c r="S118" s="760"/>
      <c r="T118" s="760"/>
      <c r="U118" s="760"/>
      <c r="V118" s="760"/>
      <c r="W118" s="760"/>
      <c r="X118" s="760"/>
      <c r="Y118" s="760"/>
      <c r="Z118" s="760"/>
      <c r="AA118" s="760"/>
      <c r="AB118" s="760"/>
      <c r="AC118" s="760"/>
      <c r="AD118" s="760"/>
      <c r="AE118" s="761"/>
      <c r="AF118" s="761"/>
      <c r="AG118" s="761"/>
      <c r="AH118" s="761"/>
      <c r="AI118" s="761"/>
      <c r="AJ118" s="761"/>
      <c r="AK118" s="761"/>
      <c r="AL118" s="761"/>
      <c r="AM118" s="761"/>
      <c r="AN118" s="761"/>
      <c r="AO118" s="761"/>
      <c r="AP118" s="761"/>
      <c r="AQ118" s="761"/>
      <c r="AR118" s="761"/>
      <c r="AS118" s="761"/>
      <c r="AT118" s="761"/>
      <c r="AU118" s="761"/>
      <c r="AV118" s="761"/>
      <c r="AW118" s="761"/>
      <c r="AX118" s="761"/>
      <c r="AY118" s="761"/>
      <c r="AZ118" s="761"/>
      <c r="BA118" s="761"/>
      <c r="BB118" s="761"/>
      <c r="BC118" s="761"/>
      <c r="BD118" s="761"/>
      <c r="BE118" s="761"/>
      <c r="BF118" s="761"/>
      <c r="BG118" s="761"/>
      <c r="BH118" s="761"/>
      <c r="BI118" s="761"/>
      <c r="BJ118" s="761"/>
      <c r="BK118" s="761"/>
      <c r="BL118" s="761"/>
      <c r="BM118" s="761"/>
      <c r="BN118" s="761"/>
      <c r="BO118" s="761"/>
      <c r="BP118" s="761"/>
      <c r="BQ118" s="761"/>
      <c r="BR118" s="761"/>
      <c r="BS118" s="779">
        <f t="shared" si="42"/>
        <v>40000000</v>
      </c>
      <c r="BT118" s="779">
        <v>39979542</v>
      </c>
      <c r="BU118" s="779">
        <v>39470500</v>
      </c>
      <c r="BV118" s="779">
        <v>39470500</v>
      </c>
      <c r="BW118" s="761"/>
      <c r="BX118" s="761"/>
      <c r="BY118" s="761"/>
      <c r="BZ118" s="761"/>
      <c r="CA118" s="761"/>
      <c r="CB118" s="761"/>
      <c r="CC118" s="761"/>
      <c r="CD118" s="761"/>
      <c r="CE118" s="761"/>
      <c r="CF118" s="761"/>
      <c r="CG118" s="761"/>
      <c r="CH118" s="761"/>
      <c r="CI118" s="761"/>
      <c r="CJ118" s="761"/>
      <c r="CK118" s="761"/>
      <c r="CL118" s="761"/>
      <c r="CM118" s="761"/>
      <c r="CN118" s="761"/>
      <c r="CO118" s="761"/>
      <c r="CP118" s="761"/>
      <c r="CQ118" s="761"/>
      <c r="CR118" s="761"/>
      <c r="CS118" s="761"/>
      <c r="CT118" s="761"/>
      <c r="CU118" s="1891">
        <f t="shared" si="35"/>
        <v>40000000</v>
      </c>
      <c r="CV118" s="1891">
        <f t="shared" si="36"/>
        <v>39979542</v>
      </c>
      <c r="CW118" s="1891">
        <f t="shared" si="37"/>
        <v>39470500</v>
      </c>
      <c r="CX118" s="1891">
        <f t="shared" si="38"/>
        <v>39470500</v>
      </c>
      <c r="CY118" s="1892">
        <v>36036903</v>
      </c>
      <c r="CZ118" s="1893">
        <v>34407403</v>
      </c>
      <c r="DA118" s="1894">
        <v>34407403</v>
      </c>
      <c r="DB118" s="816">
        <f t="shared" si="39"/>
        <v>3942639</v>
      </c>
      <c r="DC118" s="816">
        <f t="shared" si="39"/>
        <v>5063097</v>
      </c>
      <c r="DD118" s="816">
        <f t="shared" si="39"/>
        <v>5063097</v>
      </c>
    </row>
    <row r="119" spans="1:108" ht="110.25">
      <c r="A119" s="772" t="s">
        <v>1419</v>
      </c>
      <c r="B119" s="759">
        <v>40000000</v>
      </c>
      <c r="C119" s="761"/>
      <c r="D119" s="761"/>
      <c r="E119" s="761"/>
      <c r="F119" s="761"/>
      <c r="G119" s="760"/>
      <c r="H119" s="760"/>
      <c r="I119" s="760"/>
      <c r="J119" s="760"/>
      <c r="K119" s="760"/>
      <c r="L119" s="760"/>
      <c r="M119" s="760"/>
      <c r="N119" s="760"/>
      <c r="O119" s="760"/>
      <c r="P119" s="760"/>
      <c r="Q119" s="760"/>
      <c r="R119" s="760"/>
      <c r="S119" s="760"/>
      <c r="T119" s="760"/>
      <c r="U119" s="760"/>
      <c r="V119" s="760"/>
      <c r="W119" s="760"/>
      <c r="X119" s="760"/>
      <c r="Y119" s="760"/>
      <c r="Z119" s="760"/>
      <c r="AA119" s="760"/>
      <c r="AB119" s="760"/>
      <c r="AC119" s="760"/>
      <c r="AD119" s="760"/>
      <c r="AE119" s="761"/>
      <c r="AF119" s="761"/>
      <c r="AG119" s="761"/>
      <c r="AH119" s="761"/>
      <c r="AI119" s="761"/>
      <c r="AJ119" s="761"/>
      <c r="AK119" s="761"/>
      <c r="AL119" s="761"/>
      <c r="AM119" s="761"/>
      <c r="AN119" s="761"/>
      <c r="AO119" s="761"/>
      <c r="AP119" s="761"/>
      <c r="AQ119" s="761"/>
      <c r="AR119" s="761"/>
      <c r="AS119" s="761"/>
      <c r="AT119" s="761"/>
      <c r="AU119" s="761"/>
      <c r="AV119" s="761"/>
      <c r="AW119" s="761"/>
      <c r="AX119" s="761"/>
      <c r="AY119" s="761"/>
      <c r="AZ119" s="761"/>
      <c r="BA119" s="761"/>
      <c r="BB119" s="761"/>
      <c r="BC119" s="761"/>
      <c r="BD119" s="761"/>
      <c r="BE119" s="761"/>
      <c r="BF119" s="761"/>
      <c r="BG119" s="761"/>
      <c r="BH119" s="761"/>
      <c r="BI119" s="761"/>
      <c r="BJ119" s="761"/>
      <c r="BK119" s="761"/>
      <c r="BL119" s="761"/>
      <c r="BM119" s="761"/>
      <c r="BN119" s="761"/>
      <c r="BO119" s="761"/>
      <c r="BP119" s="761"/>
      <c r="BQ119" s="761"/>
      <c r="BR119" s="761"/>
      <c r="BS119" s="762">
        <f t="shared" si="42"/>
        <v>40000000</v>
      </c>
      <c r="BT119" s="762">
        <v>39979542</v>
      </c>
      <c r="BU119" s="762">
        <v>39358599</v>
      </c>
      <c r="BV119" s="762">
        <v>39358599</v>
      </c>
      <c r="BW119" s="761"/>
      <c r="BX119" s="761"/>
      <c r="BY119" s="761"/>
      <c r="BZ119" s="761"/>
      <c r="CA119" s="761"/>
      <c r="CB119" s="761"/>
      <c r="CC119" s="761"/>
      <c r="CD119" s="761"/>
      <c r="CE119" s="761"/>
      <c r="CF119" s="761"/>
      <c r="CG119" s="761"/>
      <c r="CH119" s="761"/>
      <c r="CI119" s="761"/>
      <c r="CJ119" s="761"/>
      <c r="CK119" s="761"/>
      <c r="CL119" s="761"/>
      <c r="CM119" s="761"/>
      <c r="CN119" s="761"/>
      <c r="CO119" s="761"/>
      <c r="CP119" s="761"/>
      <c r="CQ119" s="761"/>
      <c r="CR119" s="761"/>
      <c r="CS119" s="761"/>
      <c r="CT119" s="761"/>
      <c r="CU119" s="1891">
        <f t="shared" si="35"/>
        <v>40000000</v>
      </c>
      <c r="CV119" s="1891">
        <f t="shared" si="36"/>
        <v>39979542</v>
      </c>
      <c r="CW119" s="1891">
        <f t="shared" si="37"/>
        <v>39358599</v>
      </c>
      <c r="CX119" s="1891">
        <f t="shared" si="38"/>
        <v>39358599</v>
      </c>
      <c r="CY119" s="1892">
        <v>18364488</v>
      </c>
      <c r="CZ119" s="1893">
        <v>10207403</v>
      </c>
      <c r="DA119" s="1894">
        <v>10207403</v>
      </c>
      <c r="DB119" s="816">
        <f t="shared" si="39"/>
        <v>21615054</v>
      </c>
      <c r="DC119" s="816">
        <f t="shared" si="39"/>
        <v>29151196</v>
      </c>
      <c r="DD119" s="816">
        <f t="shared" si="39"/>
        <v>29151196</v>
      </c>
    </row>
    <row r="120" spans="1:108" ht="173.25">
      <c r="A120" s="772" t="s">
        <v>653</v>
      </c>
      <c r="B120" s="759">
        <v>30000000</v>
      </c>
      <c r="C120" s="761"/>
      <c r="D120" s="761"/>
      <c r="E120" s="761"/>
      <c r="F120" s="761"/>
      <c r="G120" s="760"/>
      <c r="H120" s="760"/>
      <c r="I120" s="760"/>
      <c r="J120" s="760"/>
      <c r="K120" s="760"/>
      <c r="L120" s="760"/>
      <c r="M120" s="760"/>
      <c r="N120" s="760"/>
      <c r="O120" s="760"/>
      <c r="P120" s="760"/>
      <c r="Q120" s="760"/>
      <c r="R120" s="760"/>
      <c r="S120" s="760"/>
      <c r="T120" s="760"/>
      <c r="U120" s="760"/>
      <c r="V120" s="760"/>
      <c r="W120" s="760"/>
      <c r="X120" s="760"/>
      <c r="Y120" s="760"/>
      <c r="Z120" s="760"/>
      <c r="AA120" s="760"/>
      <c r="AB120" s="760"/>
      <c r="AC120" s="760"/>
      <c r="AD120" s="760"/>
      <c r="AE120" s="761"/>
      <c r="AF120" s="761"/>
      <c r="AG120" s="761"/>
      <c r="AH120" s="761"/>
      <c r="AI120" s="761"/>
      <c r="AJ120" s="761"/>
      <c r="AK120" s="761"/>
      <c r="AL120" s="761"/>
      <c r="AM120" s="761"/>
      <c r="AN120" s="761"/>
      <c r="AO120" s="761"/>
      <c r="AP120" s="761"/>
      <c r="AQ120" s="761"/>
      <c r="AR120" s="761"/>
      <c r="AS120" s="761"/>
      <c r="AT120" s="761"/>
      <c r="AU120" s="761"/>
      <c r="AV120" s="761"/>
      <c r="AW120" s="761"/>
      <c r="AX120" s="761"/>
      <c r="AY120" s="761"/>
      <c r="AZ120" s="761"/>
      <c r="BA120" s="761"/>
      <c r="BB120" s="761"/>
      <c r="BC120" s="761"/>
      <c r="BD120" s="761"/>
      <c r="BE120" s="761"/>
      <c r="BF120" s="761"/>
      <c r="BG120" s="761"/>
      <c r="BH120" s="761"/>
      <c r="BI120" s="761"/>
      <c r="BJ120" s="761"/>
      <c r="BK120" s="761"/>
      <c r="BL120" s="761"/>
      <c r="BM120" s="761"/>
      <c r="BN120" s="761"/>
      <c r="BO120" s="761"/>
      <c r="BP120" s="761"/>
      <c r="BQ120" s="761"/>
      <c r="BR120" s="761"/>
      <c r="BS120" s="762">
        <f t="shared" si="42"/>
        <v>30000000</v>
      </c>
      <c r="BT120" s="762">
        <v>29755339</v>
      </c>
      <c r="BU120" s="762">
        <v>27987507</v>
      </c>
      <c r="BV120" s="762">
        <v>27987507</v>
      </c>
      <c r="BW120" s="761"/>
      <c r="BX120" s="761"/>
      <c r="BY120" s="761"/>
      <c r="BZ120" s="761"/>
      <c r="CA120" s="761"/>
      <c r="CB120" s="761"/>
      <c r="CC120" s="761"/>
      <c r="CD120" s="761"/>
      <c r="CE120" s="761"/>
      <c r="CF120" s="761"/>
      <c r="CG120" s="761"/>
      <c r="CH120" s="761"/>
      <c r="CI120" s="761"/>
      <c r="CJ120" s="761"/>
      <c r="CK120" s="761"/>
      <c r="CL120" s="761"/>
      <c r="CM120" s="761"/>
      <c r="CN120" s="761"/>
      <c r="CO120" s="761"/>
      <c r="CP120" s="761"/>
      <c r="CQ120" s="761"/>
      <c r="CR120" s="761"/>
      <c r="CS120" s="761"/>
      <c r="CT120" s="761"/>
      <c r="CU120" s="1891">
        <f t="shared" si="35"/>
        <v>30000000</v>
      </c>
      <c r="CV120" s="1891">
        <f t="shared" si="36"/>
        <v>29755339</v>
      </c>
      <c r="CW120" s="1891">
        <f t="shared" si="37"/>
        <v>27987507</v>
      </c>
      <c r="CX120" s="1891">
        <f t="shared" si="38"/>
        <v>27987507</v>
      </c>
      <c r="CY120" s="1892">
        <v>18467638</v>
      </c>
      <c r="CZ120" s="1893">
        <v>12463545</v>
      </c>
      <c r="DA120" s="1894">
        <v>12463545</v>
      </c>
      <c r="DB120" s="816">
        <f t="shared" si="39"/>
        <v>11287701</v>
      </c>
      <c r="DC120" s="816">
        <f t="shared" si="39"/>
        <v>15523962</v>
      </c>
      <c r="DD120" s="816">
        <f t="shared" si="39"/>
        <v>15523962</v>
      </c>
    </row>
    <row r="121" spans="1:108" ht="220.5">
      <c r="A121" s="772" t="s">
        <v>654</v>
      </c>
      <c r="B121" s="759">
        <v>125000000</v>
      </c>
      <c r="C121" s="761"/>
      <c r="D121" s="761"/>
      <c r="E121" s="761"/>
      <c r="F121" s="761"/>
      <c r="G121" s="760"/>
      <c r="H121" s="760"/>
      <c r="I121" s="760"/>
      <c r="J121" s="760"/>
      <c r="K121" s="760"/>
      <c r="L121" s="760"/>
      <c r="M121" s="760"/>
      <c r="N121" s="760"/>
      <c r="O121" s="760"/>
      <c r="P121" s="760"/>
      <c r="Q121" s="760"/>
      <c r="R121" s="760"/>
      <c r="S121" s="760"/>
      <c r="T121" s="760"/>
      <c r="U121" s="760"/>
      <c r="V121" s="760"/>
      <c r="W121" s="760"/>
      <c r="X121" s="760"/>
      <c r="Y121" s="760"/>
      <c r="Z121" s="760"/>
      <c r="AA121" s="760"/>
      <c r="AB121" s="760"/>
      <c r="AC121" s="760"/>
      <c r="AD121" s="760"/>
      <c r="AE121" s="761"/>
      <c r="AF121" s="761"/>
      <c r="AG121" s="761"/>
      <c r="AH121" s="761"/>
      <c r="AI121" s="761"/>
      <c r="AJ121" s="761"/>
      <c r="AK121" s="761"/>
      <c r="AL121" s="761"/>
      <c r="AM121" s="761"/>
      <c r="AN121" s="761"/>
      <c r="AO121" s="761"/>
      <c r="AP121" s="761"/>
      <c r="AQ121" s="761"/>
      <c r="AR121" s="761"/>
      <c r="AS121" s="761"/>
      <c r="AT121" s="761"/>
      <c r="AU121" s="761"/>
      <c r="AV121" s="761"/>
      <c r="AW121" s="761"/>
      <c r="AX121" s="761"/>
      <c r="AY121" s="761"/>
      <c r="AZ121" s="761"/>
      <c r="BA121" s="761"/>
      <c r="BB121" s="761"/>
      <c r="BC121" s="761"/>
      <c r="BD121" s="761"/>
      <c r="BE121" s="761"/>
      <c r="BF121" s="761"/>
      <c r="BG121" s="761"/>
      <c r="BH121" s="761"/>
      <c r="BI121" s="761"/>
      <c r="BJ121" s="761"/>
      <c r="BK121" s="761"/>
      <c r="BL121" s="761"/>
      <c r="BM121" s="761"/>
      <c r="BN121" s="761"/>
      <c r="BO121" s="761"/>
      <c r="BP121" s="761"/>
      <c r="BQ121" s="761"/>
      <c r="BR121" s="761"/>
      <c r="BS121" s="762">
        <f t="shared" si="42"/>
        <v>125000000</v>
      </c>
      <c r="BT121" s="762">
        <v>124756379</v>
      </c>
      <c r="BU121" s="762">
        <v>120732647</v>
      </c>
      <c r="BV121" s="762">
        <v>120732647</v>
      </c>
      <c r="BW121" s="761"/>
      <c r="BX121" s="761"/>
      <c r="BY121" s="761"/>
      <c r="BZ121" s="761"/>
      <c r="CA121" s="761"/>
      <c r="CB121" s="761"/>
      <c r="CC121" s="761"/>
      <c r="CD121" s="761"/>
      <c r="CE121" s="761"/>
      <c r="CF121" s="761"/>
      <c r="CG121" s="761"/>
      <c r="CH121" s="761"/>
      <c r="CI121" s="761"/>
      <c r="CJ121" s="761"/>
      <c r="CK121" s="761"/>
      <c r="CL121" s="761"/>
      <c r="CM121" s="761"/>
      <c r="CN121" s="761"/>
      <c r="CO121" s="761"/>
      <c r="CP121" s="761"/>
      <c r="CQ121" s="761"/>
      <c r="CR121" s="761"/>
      <c r="CS121" s="761"/>
      <c r="CT121" s="761"/>
      <c r="CU121" s="1891">
        <f t="shared" si="35"/>
        <v>125000000</v>
      </c>
      <c r="CV121" s="1891">
        <f t="shared" si="36"/>
        <v>124756379</v>
      </c>
      <c r="CW121" s="1891">
        <f t="shared" si="37"/>
        <v>120732647</v>
      </c>
      <c r="CX121" s="1891">
        <f t="shared" si="38"/>
        <v>120732647</v>
      </c>
      <c r="CY121" s="1892">
        <v>111064542</v>
      </c>
      <c r="CZ121" s="1893">
        <v>14918116</v>
      </c>
      <c r="DA121" s="1894">
        <v>14918116</v>
      </c>
      <c r="DB121" s="816">
        <f t="shared" si="39"/>
        <v>13691837</v>
      </c>
      <c r="DC121" s="816">
        <f t="shared" si="39"/>
        <v>105814531</v>
      </c>
      <c r="DD121" s="816">
        <f t="shared" si="39"/>
        <v>105814531</v>
      </c>
    </row>
    <row r="122" spans="1:108" ht="110.25">
      <c r="A122" s="772" t="s">
        <v>656</v>
      </c>
      <c r="B122" s="759">
        <v>20000000</v>
      </c>
      <c r="C122" s="761"/>
      <c r="D122" s="761"/>
      <c r="E122" s="761"/>
      <c r="F122" s="761"/>
      <c r="G122" s="760"/>
      <c r="H122" s="760"/>
      <c r="I122" s="760"/>
      <c r="J122" s="760"/>
      <c r="K122" s="760"/>
      <c r="L122" s="760"/>
      <c r="M122" s="760"/>
      <c r="N122" s="760"/>
      <c r="O122" s="760"/>
      <c r="P122" s="760"/>
      <c r="Q122" s="760"/>
      <c r="R122" s="760"/>
      <c r="S122" s="760"/>
      <c r="T122" s="760"/>
      <c r="U122" s="760"/>
      <c r="V122" s="760"/>
      <c r="W122" s="760"/>
      <c r="X122" s="760"/>
      <c r="Y122" s="760"/>
      <c r="Z122" s="760"/>
      <c r="AA122" s="760"/>
      <c r="AB122" s="760"/>
      <c r="AC122" s="760"/>
      <c r="AD122" s="760"/>
      <c r="AE122" s="761"/>
      <c r="AF122" s="761"/>
      <c r="AG122" s="761"/>
      <c r="AH122" s="761"/>
      <c r="AI122" s="761"/>
      <c r="AJ122" s="761"/>
      <c r="AK122" s="761"/>
      <c r="AL122" s="761"/>
      <c r="AM122" s="761"/>
      <c r="AN122" s="761"/>
      <c r="AO122" s="761"/>
      <c r="AP122" s="761"/>
      <c r="AQ122" s="761"/>
      <c r="AR122" s="761"/>
      <c r="AS122" s="761"/>
      <c r="AT122" s="761"/>
      <c r="AU122" s="761"/>
      <c r="AV122" s="761"/>
      <c r="AW122" s="761"/>
      <c r="AX122" s="761"/>
      <c r="AY122" s="761"/>
      <c r="AZ122" s="761"/>
      <c r="BA122" s="761"/>
      <c r="BB122" s="761"/>
      <c r="BC122" s="761"/>
      <c r="BD122" s="761"/>
      <c r="BE122" s="761"/>
      <c r="BF122" s="761"/>
      <c r="BG122" s="761"/>
      <c r="BH122" s="761"/>
      <c r="BI122" s="761"/>
      <c r="BJ122" s="761"/>
      <c r="BK122" s="761"/>
      <c r="BL122" s="761"/>
      <c r="BM122" s="761"/>
      <c r="BN122" s="761"/>
      <c r="BO122" s="761"/>
      <c r="BP122" s="761"/>
      <c r="BQ122" s="761"/>
      <c r="BR122" s="761"/>
      <c r="BS122" s="779">
        <f>+B122</f>
        <v>20000000</v>
      </c>
      <c r="BT122" s="779">
        <v>19989771</v>
      </c>
      <c r="BU122" s="779">
        <v>19679299</v>
      </c>
      <c r="BV122" s="779">
        <v>19561544</v>
      </c>
      <c r="BW122" s="761"/>
      <c r="BX122" s="761"/>
      <c r="BY122" s="761"/>
      <c r="BZ122" s="761"/>
      <c r="CA122" s="761"/>
      <c r="CB122" s="761"/>
      <c r="CC122" s="761"/>
      <c r="CD122" s="761"/>
      <c r="CE122" s="761"/>
      <c r="CF122" s="761"/>
      <c r="CG122" s="761"/>
      <c r="CH122" s="761"/>
      <c r="CI122" s="761"/>
      <c r="CJ122" s="761"/>
      <c r="CK122" s="761"/>
      <c r="CL122" s="761"/>
      <c r="CM122" s="761"/>
      <c r="CN122" s="761"/>
      <c r="CO122" s="761"/>
      <c r="CP122" s="761"/>
      <c r="CQ122" s="761"/>
      <c r="CR122" s="761"/>
      <c r="CS122" s="761"/>
      <c r="CT122" s="761"/>
      <c r="CU122" s="1891">
        <f t="shared" si="35"/>
        <v>20000000</v>
      </c>
      <c r="CV122" s="1891">
        <f t="shared" si="36"/>
        <v>19989771</v>
      </c>
      <c r="CW122" s="1891">
        <f t="shared" si="37"/>
        <v>19679299</v>
      </c>
      <c r="CX122" s="1891">
        <f t="shared" si="38"/>
        <v>19561544</v>
      </c>
      <c r="CY122" s="1892">
        <v>18882245</v>
      </c>
      <c r="CZ122" s="1893">
        <v>2303702</v>
      </c>
      <c r="DA122" s="1894">
        <v>2303702</v>
      </c>
      <c r="DB122" s="816">
        <f t="shared" si="39"/>
        <v>1107526</v>
      </c>
      <c r="DC122" s="816">
        <f t="shared" si="39"/>
        <v>17375597</v>
      </c>
      <c r="DD122" s="816">
        <f t="shared" si="39"/>
        <v>17257842</v>
      </c>
    </row>
    <row r="123" spans="1:108" ht="157.5">
      <c r="A123" s="772" t="s">
        <v>657</v>
      </c>
      <c r="B123" s="759">
        <v>50000000</v>
      </c>
      <c r="C123" s="761"/>
      <c r="D123" s="761"/>
      <c r="E123" s="761"/>
      <c r="F123" s="761"/>
      <c r="G123" s="760"/>
      <c r="H123" s="760"/>
      <c r="I123" s="760"/>
      <c r="J123" s="760"/>
      <c r="K123" s="760"/>
      <c r="L123" s="760"/>
      <c r="M123" s="760"/>
      <c r="N123" s="760"/>
      <c r="O123" s="760"/>
      <c r="P123" s="760"/>
      <c r="Q123" s="760"/>
      <c r="R123" s="760"/>
      <c r="S123" s="760"/>
      <c r="T123" s="760"/>
      <c r="U123" s="760"/>
      <c r="V123" s="760"/>
      <c r="W123" s="760"/>
      <c r="X123" s="760"/>
      <c r="Y123" s="760"/>
      <c r="Z123" s="760"/>
      <c r="AA123" s="760"/>
      <c r="AB123" s="760"/>
      <c r="AC123" s="760"/>
      <c r="AD123" s="760"/>
      <c r="AE123" s="761"/>
      <c r="AF123" s="761"/>
      <c r="AG123" s="761"/>
      <c r="AH123" s="761"/>
      <c r="AI123" s="761"/>
      <c r="AJ123" s="761"/>
      <c r="AK123" s="761"/>
      <c r="AL123" s="761"/>
      <c r="AM123" s="761"/>
      <c r="AN123" s="761"/>
      <c r="AO123" s="761"/>
      <c r="AP123" s="761"/>
      <c r="AQ123" s="761"/>
      <c r="AR123" s="761"/>
      <c r="AS123" s="761"/>
      <c r="AT123" s="761"/>
      <c r="AU123" s="761"/>
      <c r="AV123" s="761"/>
      <c r="AW123" s="761"/>
      <c r="AX123" s="761"/>
      <c r="AY123" s="761"/>
      <c r="AZ123" s="761"/>
      <c r="BA123" s="761"/>
      <c r="BB123" s="761"/>
      <c r="BC123" s="761"/>
      <c r="BD123" s="761"/>
      <c r="BE123" s="761"/>
      <c r="BF123" s="761"/>
      <c r="BG123" s="761"/>
      <c r="BH123" s="761"/>
      <c r="BI123" s="761"/>
      <c r="BJ123" s="761"/>
      <c r="BK123" s="761"/>
      <c r="BL123" s="761"/>
      <c r="BM123" s="761"/>
      <c r="BN123" s="761"/>
      <c r="BO123" s="761"/>
      <c r="BP123" s="761"/>
      <c r="BQ123" s="761"/>
      <c r="BR123" s="761"/>
      <c r="BS123" s="762">
        <f>+B123</f>
        <v>50000000</v>
      </c>
      <c r="BT123" s="762">
        <v>49974158</v>
      </c>
      <c r="BU123" s="762">
        <v>48499695</v>
      </c>
      <c r="BV123" s="762">
        <v>48321225</v>
      </c>
      <c r="BW123" s="761"/>
      <c r="BX123" s="761"/>
      <c r="BY123" s="761"/>
      <c r="BZ123" s="761"/>
      <c r="CA123" s="761"/>
      <c r="CB123" s="761"/>
      <c r="CC123" s="761"/>
      <c r="CD123" s="761"/>
      <c r="CE123" s="761"/>
      <c r="CF123" s="761"/>
      <c r="CG123" s="761"/>
      <c r="CH123" s="761"/>
      <c r="CI123" s="761"/>
      <c r="CJ123" s="761"/>
      <c r="CK123" s="761"/>
      <c r="CL123" s="761"/>
      <c r="CM123" s="761"/>
      <c r="CN123" s="761"/>
      <c r="CO123" s="761"/>
      <c r="CP123" s="761"/>
      <c r="CQ123" s="761"/>
      <c r="CR123" s="761"/>
      <c r="CS123" s="761"/>
      <c r="CT123" s="761"/>
      <c r="CU123" s="1891">
        <f t="shared" si="35"/>
        <v>50000000</v>
      </c>
      <c r="CV123" s="1891">
        <f t="shared" si="36"/>
        <v>49974158</v>
      </c>
      <c r="CW123" s="1891">
        <f t="shared" si="37"/>
        <v>48499695</v>
      </c>
      <c r="CX123" s="1891">
        <f t="shared" si="38"/>
        <v>48321225</v>
      </c>
      <c r="CY123" s="1892">
        <v>47176195</v>
      </c>
      <c r="CZ123" s="1893">
        <v>32767246</v>
      </c>
      <c r="DA123" s="1894">
        <v>32767246</v>
      </c>
      <c r="DB123" s="816">
        <f t="shared" si="39"/>
        <v>2797963</v>
      </c>
      <c r="DC123" s="816">
        <f t="shared" si="39"/>
        <v>15732449</v>
      </c>
      <c r="DD123" s="816">
        <f t="shared" si="39"/>
        <v>15553979</v>
      </c>
    </row>
    <row r="124" spans="1:108" ht="63">
      <c r="A124" s="788" t="s">
        <v>659</v>
      </c>
      <c r="B124" s="759">
        <v>60000000</v>
      </c>
      <c r="C124" s="761"/>
      <c r="D124" s="761"/>
      <c r="E124" s="761"/>
      <c r="F124" s="761"/>
      <c r="G124" s="760"/>
      <c r="H124" s="760"/>
      <c r="I124" s="760"/>
      <c r="J124" s="760"/>
      <c r="K124" s="760"/>
      <c r="L124" s="760"/>
      <c r="M124" s="760"/>
      <c r="N124" s="760"/>
      <c r="O124" s="760"/>
      <c r="P124" s="760"/>
      <c r="Q124" s="760"/>
      <c r="R124" s="760"/>
      <c r="S124" s="760"/>
      <c r="T124" s="760"/>
      <c r="U124" s="760"/>
      <c r="V124" s="760"/>
      <c r="W124" s="760"/>
      <c r="X124" s="760"/>
      <c r="Y124" s="760"/>
      <c r="Z124" s="760"/>
      <c r="AA124" s="760"/>
      <c r="AB124" s="760"/>
      <c r="AC124" s="760"/>
      <c r="AD124" s="760"/>
      <c r="AE124" s="761"/>
      <c r="AF124" s="761"/>
      <c r="AG124" s="761"/>
      <c r="AH124" s="761"/>
      <c r="AI124" s="761"/>
      <c r="AJ124" s="761"/>
      <c r="AK124" s="761"/>
      <c r="AL124" s="761"/>
      <c r="AM124" s="761"/>
      <c r="AN124" s="761"/>
      <c r="AO124" s="761"/>
      <c r="AP124" s="761"/>
      <c r="AQ124" s="761"/>
      <c r="AR124" s="761"/>
      <c r="AS124" s="761"/>
      <c r="AT124" s="761"/>
      <c r="AU124" s="761"/>
      <c r="AV124" s="761"/>
      <c r="AW124" s="761"/>
      <c r="AX124" s="761"/>
      <c r="AY124" s="761"/>
      <c r="AZ124" s="761"/>
      <c r="BA124" s="761"/>
      <c r="BB124" s="761"/>
      <c r="BC124" s="761"/>
      <c r="BD124" s="761"/>
      <c r="BE124" s="761"/>
      <c r="BF124" s="761"/>
      <c r="BG124" s="761"/>
      <c r="BH124" s="761"/>
      <c r="BI124" s="761"/>
      <c r="BJ124" s="761"/>
      <c r="BK124" s="761"/>
      <c r="BL124" s="761"/>
      <c r="BM124" s="761"/>
      <c r="BN124" s="761"/>
      <c r="BO124" s="761"/>
      <c r="BP124" s="761"/>
      <c r="BQ124" s="761"/>
      <c r="BR124" s="761"/>
      <c r="BS124" s="779">
        <f t="shared" ref="BS124:BS150" si="43">+B124</f>
        <v>60000000</v>
      </c>
      <c r="BT124" s="779">
        <v>59968774</v>
      </c>
      <c r="BU124" s="779">
        <v>11408300</v>
      </c>
      <c r="BV124" s="779">
        <v>11172262</v>
      </c>
      <c r="BW124" s="761"/>
      <c r="BX124" s="761"/>
      <c r="BY124" s="761"/>
      <c r="BZ124" s="761"/>
      <c r="CA124" s="761"/>
      <c r="CB124" s="761"/>
      <c r="CC124" s="761"/>
      <c r="CD124" s="761"/>
      <c r="CE124" s="761"/>
      <c r="CF124" s="761"/>
      <c r="CG124" s="761"/>
      <c r="CH124" s="761"/>
      <c r="CI124" s="761"/>
      <c r="CJ124" s="761"/>
      <c r="CK124" s="761"/>
      <c r="CL124" s="761"/>
      <c r="CM124" s="761"/>
      <c r="CN124" s="761"/>
      <c r="CO124" s="761"/>
      <c r="CP124" s="761"/>
      <c r="CQ124" s="761"/>
      <c r="CR124" s="761"/>
      <c r="CS124" s="761"/>
      <c r="CT124" s="761"/>
      <c r="CU124" s="1891">
        <f t="shared" si="35"/>
        <v>60000000</v>
      </c>
      <c r="CV124" s="1891">
        <f t="shared" si="36"/>
        <v>59968774</v>
      </c>
      <c r="CW124" s="1891">
        <f t="shared" si="37"/>
        <v>11408300</v>
      </c>
      <c r="CX124" s="1891">
        <f t="shared" si="38"/>
        <v>11172262</v>
      </c>
      <c r="CY124" s="1892">
        <v>56587903</v>
      </c>
      <c r="CZ124" s="1893">
        <v>8427089</v>
      </c>
      <c r="DA124" s="1894">
        <v>8427089</v>
      </c>
      <c r="DB124" s="816">
        <f t="shared" si="39"/>
        <v>3380871</v>
      </c>
      <c r="DC124" s="816">
        <f t="shared" si="39"/>
        <v>2981211</v>
      </c>
      <c r="DD124" s="816">
        <f t="shared" si="39"/>
        <v>2745173</v>
      </c>
    </row>
    <row r="125" spans="1:108" ht="78.75">
      <c r="A125" s="772" t="s">
        <v>660</v>
      </c>
      <c r="B125" s="759">
        <v>62500000</v>
      </c>
      <c r="C125" s="761"/>
      <c r="D125" s="761"/>
      <c r="E125" s="761"/>
      <c r="F125" s="761"/>
      <c r="G125" s="760"/>
      <c r="H125" s="760"/>
      <c r="I125" s="760"/>
      <c r="J125" s="760"/>
      <c r="K125" s="760"/>
      <c r="L125" s="760"/>
      <c r="M125" s="760"/>
      <c r="N125" s="760"/>
      <c r="O125" s="760"/>
      <c r="P125" s="760"/>
      <c r="Q125" s="760"/>
      <c r="R125" s="760"/>
      <c r="S125" s="760"/>
      <c r="T125" s="760"/>
      <c r="U125" s="760"/>
      <c r="V125" s="760"/>
      <c r="W125" s="760"/>
      <c r="X125" s="760"/>
      <c r="Y125" s="760"/>
      <c r="Z125" s="760"/>
      <c r="AA125" s="760"/>
      <c r="AB125" s="760"/>
      <c r="AC125" s="760"/>
      <c r="AD125" s="760"/>
      <c r="AE125" s="761"/>
      <c r="AF125" s="761"/>
      <c r="AG125" s="761"/>
      <c r="AH125" s="761"/>
      <c r="AI125" s="761"/>
      <c r="AJ125" s="761"/>
      <c r="AK125" s="761"/>
      <c r="AL125" s="761"/>
      <c r="AM125" s="761"/>
      <c r="AN125" s="761"/>
      <c r="AO125" s="761"/>
      <c r="AP125" s="761"/>
      <c r="AQ125" s="761"/>
      <c r="AR125" s="761"/>
      <c r="AS125" s="761"/>
      <c r="AT125" s="761"/>
      <c r="AU125" s="761"/>
      <c r="AV125" s="761"/>
      <c r="AW125" s="761"/>
      <c r="AX125" s="761"/>
      <c r="AY125" s="761"/>
      <c r="AZ125" s="761"/>
      <c r="BA125" s="761"/>
      <c r="BB125" s="761"/>
      <c r="BC125" s="761"/>
      <c r="BD125" s="761"/>
      <c r="BE125" s="761"/>
      <c r="BF125" s="761"/>
      <c r="BG125" s="761"/>
      <c r="BH125" s="761"/>
      <c r="BI125" s="761"/>
      <c r="BJ125" s="761"/>
      <c r="BK125" s="761"/>
      <c r="BL125" s="761"/>
      <c r="BM125" s="761"/>
      <c r="BN125" s="761"/>
      <c r="BO125" s="761"/>
      <c r="BP125" s="761"/>
      <c r="BQ125" s="761"/>
      <c r="BR125" s="761"/>
      <c r="BS125" s="762">
        <f t="shared" si="43"/>
        <v>62500000</v>
      </c>
      <c r="BT125" s="762">
        <v>62467698</v>
      </c>
      <c r="BU125" s="762">
        <v>11526213</v>
      </c>
      <c r="BV125" s="762">
        <v>11277676</v>
      </c>
      <c r="BW125" s="761"/>
      <c r="BX125" s="761"/>
      <c r="BY125" s="761"/>
      <c r="BZ125" s="761"/>
      <c r="CA125" s="761"/>
      <c r="CB125" s="761"/>
      <c r="CC125" s="761"/>
      <c r="CD125" s="761"/>
      <c r="CE125" s="761"/>
      <c r="CF125" s="761"/>
      <c r="CG125" s="761"/>
      <c r="CH125" s="761"/>
      <c r="CI125" s="761"/>
      <c r="CJ125" s="761"/>
      <c r="CK125" s="761"/>
      <c r="CL125" s="761"/>
      <c r="CM125" s="761"/>
      <c r="CN125" s="761"/>
      <c r="CO125" s="761"/>
      <c r="CP125" s="761"/>
      <c r="CQ125" s="761"/>
      <c r="CR125" s="761"/>
      <c r="CS125" s="761"/>
      <c r="CT125" s="761"/>
      <c r="CU125" s="1891">
        <f t="shared" si="35"/>
        <v>62500000</v>
      </c>
      <c r="CV125" s="1891">
        <f t="shared" si="36"/>
        <v>62467698</v>
      </c>
      <c r="CW125" s="1891">
        <f t="shared" si="37"/>
        <v>11526213</v>
      </c>
      <c r="CX125" s="1891">
        <f t="shared" si="38"/>
        <v>11277676</v>
      </c>
      <c r="CY125" s="1892">
        <v>58970245</v>
      </c>
      <c r="CZ125" s="1893">
        <v>3459058</v>
      </c>
      <c r="DA125" s="1894">
        <v>3459058</v>
      </c>
      <c r="DB125" s="816">
        <f t="shared" si="39"/>
        <v>3497453</v>
      </c>
      <c r="DC125" s="816">
        <f t="shared" si="39"/>
        <v>8067155</v>
      </c>
      <c r="DD125" s="816">
        <f t="shared" si="39"/>
        <v>7818618</v>
      </c>
    </row>
    <row r="126" spans="1:108" ht="94.5">
      <c r="A126" s="772" t="s">
        <v>1420</v>
      </c>
      <c r="B126" s="759">
        <v>125000000</v>
      </c>
      <c r="C126" s="761"/>
      <c r="D126" s="761"/>
      <c r="E126" s="761"/>
      <c r="F126" s="761"/>
      <c r="G126" s="760"/>
      <c r="H126" s="760"/>
      <c r="I126" s="760"/>
      <c r="J126" s="760"/>
      <c r="K126" s="760"/>
      <c r="L126" s="760"/>
      <c r="M126" s="760"/>
      <c r="N126" s="760"/>
      <c r="O126" s="760"/>
      <c r="P126" s="760"/>
      <c r="Q126" s="760"/>
      <c r="R126" s="760"/>
      <c r="S126" s="760"/>
      <c r="T126" s="760"/>
      <c r="U126" s="760"/>
      <c r="V126" s="760"/>
      <c r="W126" s="760"/>
      <c r="X126" s="760"/>
      <c r="Y126" s="760"/>
      <c r="Z126" s="760"/>
      <c r="AA126" s="760"/>
      <c r="AB126" s="760"/>
      <c r="AC126" s="760"/>
      <c r="AD126" s="760"/>
      <c r="AE126" s="761"/>
      <c r="AF126" s="761"/>
      <c r="AG126" s="761"/>
      <c r="AH126" s="761"/>
      <c r="AI126" s="761"/>
      <c r="AJ126" s="761"/>
      <c r="AK126" s="761"/>
      <c r="AL126" s="761"/>
      <c r="AM126" s="761"/>
      <c r="AN126" s="761"/>
      <c r="AO126" s="761"/>
      <c r="AP126" s="761"/>
      <c r="AQ126" s="761"/>
      <c r="AR126" s="761"/>
      <c r="AS126" s="761"/>
      <c r="AT126" s="761"/>
      <c r="AU126" s="761"/>
      <c r="AV126" s="761"/>
      <c r="AW126" s="761"/>
      <c r="AX126" s="761"/>
      <c r="AY126" s="761"/>
      <c r="AZ126" s="761"/>
      <c r="BA126" s="761"/>
      <c r="BB126" s="761"/>
      <c r="BC126" s="761"/>
      <c r="BD126" s="761"/>
      <c r="BE126" s="761"/>
      <c r="BF126" s="761"/>
      <c r="BG126" s="761"/>
      <c r="BH126" s="761"/>
      <c r="BI126" s="761"/>
      <c r="BJ126" s="761"/>
      <c r="BK126" s="761"/>
      <c r="BL126" s="761"/>
      <c r="BM126" s="761"/>
      <c r="BN126" s="761"/>
      <c r="BO126" s="761"/>
      <c r="BP126" s="761"/>
      <c r="BQ126" s="761"/>
      <c r="BR126" s="761"/>
      <c r="BS126" s="781">
        <f t="shared" si="43"/>
        <v>125000000</v>
      </c>
      <c r="BT126" s="781">
        <v>124935395</v>
      </c>
      <c r="BU126" s="781">
        <v>120303258</v>
      </c>
      <c r="BV126" s="781">
        <v>119612442</v>
      </c>
      <c r="BW126" s="761"/>
      <c r="BX126" s="761"/>
      <c r="BY126" s="761"/>
      <c r="BZ126" s="761"/>
      <c r="CA126" s="761"/>
      <c r="CB126" s="761"/>
      <c r="CC126" s="761"/>
      <c r="CD126" s="761"/>
      <c r="CE126" s="761"/>
      <c r="CF126" s="761"/>
      <c r="CG126" s="761"/>
      <c r="CH126" s="761"/>
      <c r="CI126" s="761"/>
      <c r="CJ126" s="761"/>
      <c r="CK126" s="761"/>
      <c r="CL126" s="761"/>
      <c r="CM126" s="761"/>
      <c r="CN126" s="761"/>
      <c r="CO126" s="761"/>
      <c r="CP126" s="761"/>
      <c r="CQ126" s="761"/>
      <c r="CR126" s="761"/>
      <c r="CS126" s="761"/>
      <c r="CT126" s="761"/>
      <c r="CU126" s="1891">
        <f t="shared" si="35"/>
        <v>125000000</v>
      </c>
      <c r="CV126" s="1891">
        <f t="shared" si="36"/>
        <v>124935395</v>
      </c>
      <c r="CW126" s="1891">
        <f t="shared" si="37"/>
        <v>120303258</v>
      </c>
      <c r="CX126" s="1891">
        <f t="shared" si="38"/>
        <v>119612442</v>
      </c>
      <c r="CY126" s="1892">
        <v>117940488</v>
      </c>
      <c r="CZ126" s="1893">
        <v>53918116</v>
      </c>
      <c r="DA126" s="1894">
        <v>23918116</v>
      </c>
      <c r="DB126" s="816">
        <f t="shared" si="39"/>
        <v>6994907</v>
      </c>
      <c r="DC126" s="816">
        <f t="shared" si="39"/>
        <v>66385142</v>
      </c>
      <c r="DD126" s="816">
        <f t="shared" si="39"/>
        <v>95694326</v>
      </c>
    </row>
    <row r="127" spans="1:108" ht="63">
      <c r="A127" s="772" t="s">
        <v>1421</v>
      </c>
      <c r="B127" s="759">
        <v>300000000</v>
      </c>
      <c r="C127" s="761"/>
      <c r="D127" s="761"/>
      <c r="E127" s="761"/>
      <c r="F127" s="761"/>
      <c r="G127" s="760"/>
      <c r="H127" s="760"/>
      <c r="I127" s="760"/>
      <c r="J127" s="760"/>
      <c r="K127" s="760"/>
      <c r="L127" s="760"/>
      <c r="M127" s="760"/>
      <c r="N127" s="760"/>
      <c r="O127" s="760"/>
      <c r="P127" s="760"/>
      <c r="Q127" s="760"/>
      <c r="R127" s="760"/>
      <c r="S127" s="760"/>
      <c r="T127" s="760"/>
      <c r="U127" s="760"/>
      <c r="V127" s="760"/>
      <c r="W127" s="760"/>
      <c r="X127" s="760"/>
      <c r="Y127" s="760"/>
      <c r="Z127" s="760"/>
      <c r="AA127" s="760"/>
      <c r="AB127" s="760"/>
      <c r="AC127" s="760"/>
      <c r="AD127" s="760"/>
      <c r="AE127" s="761"/>
      <c r="AF127" s="761"/>
      <c r="AG127" s="761"/>
      <c r="AH127" s="761"/>
      <c r="AI127" s="761"/>
      <c r="AJ127" s="761"/>
      <c r="AK127" s="761"/>
      <c r="AL127" s="761"/>
      <c r="AM127" s="761"/>
      <c r="AN127" s="761"/>
      <c r="AO127" s="761"/>
      <c r="AP127" s="761"/>
      <c r="AQ127" s="761"/>
      <c r="AR127" s="761"/>
      <c r="AS127" s="761"/>
      <c r="AT127" s="761"/>
      <c r="AU127" s="761"/>
      <c r="AV127" s="761"/>
      <c r="AW127" s="761"/>
      <c r="AX127" s="761"/>
      <c r="AY127" s="761"/>
      <c r="AZ127" s="761"/>
      <c r="BA127" s="761"/>
      <c r="BB127" s="761"/>
      <c r="BC127" s="761"/>
      <c r="BD127" s="761"/>
      <c r="BE127" s="761"/>
      <c r="BF127" s="761"/>
      <c r="BG127" s="761"/>
      <c r="BH127" s="761"/>
      <c r="BI127" s="761"/>
      <c r="BJ127" s="761"/>
      <c r="BK127" s="761"/>
      <c r="BL127" s="761"/>
      <c r="BM127" s="761"/>
      <c r="BN127" s="761"/>
      <c r="BO127" s="761"/>
      <c r="BP127" s="761"/>
      <c r="BQ127" s="761"/>
      <c r="BR127" s="761"/>
      <c r="BS127" s="779">
        <f t="shared" si="43"/>
        <v>300000000</v>
      </c>
      <c r="BT127" s="779">
        <v>299844949</v>
      </c>
      <c r="BU127" s="779">
        <v>288727816</v>
      </c>
      <c r="BV127" s="779">
        <v>286966082</v>
      </c>
      <c r="BW127" s="761"/>
      <c r="BX127" s="761"/>
      <c r="BY127" s="761"/>
      <c r="BZ127" s="761"/>
      <c r="CA127" s="761"/>
      <c r="CB127" s="761"/>
      <c r="CC127" s="761"/>
      <c r="CD127" s="761"/>
      <c r="CE127" s="761"/>
      <c r="CF127" s="761"/>
      <c r="CG127" s="761"/>
      <c r="CH127" s="761"/>
      <c r="CI127" s="761"/>
      <c r="CJ127" s="761"/>
      <c r="CK127" s="761"/>
      <c r="CL127" s="761"/>
      <c r="CM127" s="761"/>
      <c r="CN127" s="761"/>
      <c r="CO127" s="761"/>
      <c r="CP127" s="761"/>
      <c r="CQ127" s="761"/>
      <c r="CR127" s="761"/>
      <c r="CS127" s="761"/>
      <c r="CT127" s="761"/>
      <c r="CU127" s="1891">
        <f t="shared" si="35"/>
        <v>300000000</v>
      </c>
      <c r="CV127" s="1891">
        <f t="shared" si="36"/>
        <v>299844949</v>
      </c>
      <c r="CW127" s="1891">
        <f t="shared" si="37"/>
        <v>288727816</v>
      </c>
      <c r="CX127" s="1891">
        <f t="shared" si="38"/>
        <v>286966082</v>
      </c>
      <c r="CY127" s="1892">
        <v>183057172</v>
      </c>
      <c r="CZ127" s="1893">
        <v>84603478</v>
      </c>
      <c r="DA127" s="1894">
        <v>84603478</v>
      </c>
      <c r="DB127" s="816">
        <f t="shared" si="39"/>
        <v>116787777</v>
      </c>
      <c r="DC127" s="816">
        <f t="shared" si="39"/>
        <v>204124338</v>
      </c>
      <c r="DD127" s="816">
        <f t="shared" si="39"/>
        <v>202362604</v>
      </c>
    </row>
    <row r="128" spans="1:108" ht="47.25">
      <c r="A128" s="772" t="s">
        <v>1422</v>
      </c>
      <c r="B128" s="759">
        <v>200000000</v>
      </c>
      <c r="C128" s="761"/>
      <c r="D128" s="761"/>
      <c r="E128" s="761"/>
      <c r="F128" s="761"/>
      <c r="G128" s="760"/>
      <c r="H128" s="760"/>
      <c r="I128" s="760"/>
      <c r="J128" s="760"/>
      <c r="K128" s="760"/>
      <c r="L128" s="760"/>
      <c r="M128" s="760"/>
      <c r="N128" s="760"/>
      <c r="O128" s="760"/>
      <c r="P128" s="760"/>
      <c r="Q128" s="760"/>
      <c r="R128" s="760"/>
      <c r="S128" s="760"/>
      <c r="T128" s="760"/>
      <c r="U128" s="760"/>
      <c r="V128" s="760"/>
      <c r="W128" s="760"/>
      <c r="X128" s="760"/>
      <c r="Y128" s="760"/>
      <c r="Z128" s="760"/>
      <c r="AA128" s="760"/>
      <c r="AB128" s="760"/>
      <c r="AC128" s="760"/>
      <c r="AD128" s="760"/>
      <c r="AE128" s="761"/>
      <c r="AF128" s="761"/>
      <c r="AG128" s="761"/>
      <c r="AH128" s="761"/>
      <c r="AI128" s="761"/>
      <c r="AJ128" s="761"/>
      <c r="AK128" s="761"/>
      <c r="AL128" s="761"/>
      <c r="AM128" s="761"/>
      <c r="AN128" s="761"/>
      <c r="AO128" s="761"/>
      <c r="AP128" s="761"/>
      <c r="AQ128" s="761"/>
      <c r="AR128" s="761"/>
      <c r="AS128" s="761"/>
      <c r="AT128" s="761"/>
      <c r="AU128" s="761"/>
      <c r="AV128" s="761"/>
      <c r="AW128" s="761"/>
      <c r="AX128" s="761"/>
      <c r="AY128" s="761"/>
      <c r="AZ128" s="761"/>
      <c r="BA128" s="761"/>
      <c r="BB128" s="761"/>
      <c r="BC128" s="761"/>
      <c r="BD128" s="761"/>
      <c r="BE128" s="761"/>
      <c r="BF128" s="761"/>
      <c r="BG128" s="761"/>
      <c r="BH128" s="761"/>
      <c r="BI128" s="761"/>
      <c r="BJ128" s="761"/>
      <c r="BK128" s="761"/>
      <c r="BL128" s="761"/>
      <c r="BM128" s="761"/>
      <c r="BN128" s="761"/>
      <c r="BO128" s="761"/>
      <c r="BP128" s="761"/>
      <c r="BQ128" s="761"/>
      <c r="BR128" s="761"/>
      <c r="BS128" s="779">
        <f t="shared" si="43"/>
        <v>200000000</v>
      </c>
      <c r="BT128" s="779">
        <v>199893402</v>
      </c>
      <c r="BU128" s="779">
        <v>164876727</v>
      </c>
      <c r="BV128" s="779">
        <v>163736881</v>
      </c>
      <c r="BW128" s="761"/>
      <c r="BX128" s="761"/>
      <c r="BY128" s="761"/>
      <c r="BZ128" s="761"/>
      <c r="CA128" s="761"/>
      <c r="CB128" s="761"/>
      <c r="CC128" s="761"/>
      <c r="CD128" s="761"/>
      <c r="CE128" s="761"/>
      <c r="CF128" s="761"/>
      <c r="CG128" s="761"/>
      <c r="CH128" s="761"/>
      <c r="CI128" s="761"/>
      <c r="CJ128" s="761"/>
      <c r="CK128" s="761"/>
      <c r="CL128" s="761"/>
      <c r="CM128" s="761"/>
      <c r="CN128" s="761"/>
      <c r="CO128" s="761"/>
      <c r="CP128" s="761"/>
      <c r="CQ128" s="761"/>
      <c r="CR128" s="761"/>
      <c r="CS128" s="761"/>
      <c r="CT128" s="761"/>
      <c r="CU128" s="1891">
        <f t="shared" si="35"/>
        <v>200000000</v>
      </c>
      <c r="CV128" s="1891">
        <f t="shared" si="36"/>
        <v>199893402</v>
      </c>
      <c r="CW128" s="1891">
        <f t="shared" si="37"/>
        <v>164876727</v>
      </c>
      <c r="CX128" s="1891">
        <f t="shared" si="38"/>
        <v>163736881</v>
      </c>
      <c r="CY128" s="1892">
        <v>88351806</v>
      </c>
      <c r="CZ128" s="1893">
        <v>83164891</v>
      </c>
      <c r="DA128" s="1894">
        <v>23164891</v>
      </c>
      <c r="DB128" s="816">
        <f t="shared" si="39"/>
        <v>111541596</v>
      </c>
      <c r="DC128" s="816">
        <f t="shared" si="39"/>
        <v>81711836</v>
      </c>
      <c r="DD128" s="816">
        <f t="shared" si="39"/>
        <v>140571990</v>
      </c>
    </row>
    <row r="129" spans="1:108" ht="78.75">
      <c r="A129" s="790" t="s">
        <v>664</v>
      </c>
      <c r="B129" s="759">
        <v>162500000</v>
      </c>
      <c r="C129" s="761"/>
      <c r="D129" s="761"/>
      <c r="E129" s="761"/>
      <c r="F129" s="761"/>
      <c r="G129" s="760"/>
      <c r="H129" s="760"/>
      <c r="I129" s="760"/>
      <c r="J129" s="760"/>
      <c r="K129" s="760"/>
      <c r="L129" s="760"/>
      <c r="M129" s="760"/>
      <c r="N129" s="760"/>
      <c r="O129" s="760"/>
      <c r="P129" s="760"/>
      <c r="Q129" s="760"/>
      <c r="R129" s="760"/>
      <c r="S129" s="760"/>
      <c r="T129" s="760"/>
      <c r="U129" s="760"/>
      <c r="V129" s="760"/>
      <c r="W129" s="760"/>
      <c r="X129" s="760"/>
      <c r="Y129" s="760"/>
      <c r="Z129" s="760"/>
      <c r="AA129" s="760"/>
      <c r="AB129" s="760"/>
      <c r="AC129" s="760"/>
      <c r="AD129" s="760"/>
      <c r="AE129" s="761"/>
      <c r="AF129" s="761"/>
      <c r="AG129" s="761"/>
      <c r="AH129" s="761"/>
      <c r="AI129" s="761"/>
      <c r="AJ129" s="761"/>
      <c r="AK129" s="761"/>
      <c r="AL129" s="761"/>
      <c r="AM129" s="761"/>
      <c r="AN129" s="761"/>
      <c r="AO129" s="761"/>
      <c r="AP129" s="761"/>
      <c r="AQ129" s="761"/>
      <c r="AR129" s="761"/>
      <c r="AS129" s="761"/>
      <c r="AT129" s="761"/>
      <c r="AU129" s="761"/>
      <c r="AV129" s="761"/>
      <c r="AW129" s="761"/>
      <c r="AX129" s="761"/>
      <c r="AY129" s="761"/>
      <c r="AZ129" s="761"/>
      <c r="BA129" s="761"/>
      <c r="BB129" s="761"/>
      <c r="BC129" s="761"/>
      <c r="BD129" s="761"/>
      <c r="BE129" s="761"/>
      <c r="BF129" s="761"/>
      <c r="BG129" s="761"/>
      <c r="BH129" s="761"/>
      <c r="BI129" s="761"/>
      <c r="BJ129" s="761"/>
      <c r="BK129" s="761"/>
      <c r="BL129" s="761"/>
      <c r="BM129" s="761"/>
      <c r="BN129" s="761"/>
      <c r="BO129" s="761"/>
      <c r="BP129" s="761"/>
      <c r="BQ129" s="761"/>
      <c r="BR129" s="761"/>
      <c r="BS129" s="779">
        <f t="shared" si="43"/>
        <v>162500000</v>
      </c>
      <c r="BT129" s="779">
        <v>162419244</v>
      </c>
      <c r="BU129" s="779">
        <v>156629071</v>
      </c>
      <c r="BV129" s="779">
        <v>155765552</v>
      </c>
      <c r="BW129" s="761"/>
      <c r="BX129" s="761"/>
      <c r="BY129" s="761"/>
      <c r="BZ129" s="761"/>
      <c r="CA129" s="761"/>
      <c r="CB129" s="761"/>
      <c r="CC129" s="761"/>
      <c r="CD129" s="761"/>
      <c r="CE129" s="761"/>
      <c r="CF129" s="761"/>
      <c r="CG129" s="761"/>
      <c r="CH129" s="761"/>
      <c r="CI129" s="761"/>
      <c r="CJ129" s="761"/>
      <c r="CK129" s="761"/>
      <c r="CL129" s="761"/>
      <c r="CM129" s="761"/>
      <c r="CN129" s="761"/>
      <c r="CO129" s="761"/>
      <c r="CP129" s="761"/>
      <c r="CQ129" s="761"/>
      <c r="CR129" s="761"/>
      <c r="CS129" s="761"/>
      <c r="CT129" s="761"/>
      <c r="CU129" s="1891">
        <f t="shared" si="35"/>
        <v>162500000</v>
      </c>
      <c r="CV129" s="1891">
        <f t="shared" si="36"/>
        <v>162419244</v>
      </c>
      <c r="CW129" s="1891">
        <f t="shared" si="37"/>
        <v>156629071</v>
      </c>
      <c r="CX129" s="1891">
        <f t="shared" si="38"/>
        <v>155765552</v>
      </c>
      <c r="CY129" s="1892">
        <v>153675611</v>
      </c>
      <c r="CZ129" s="1893">
        <v>54797645</v>
      </c>
      <c r="DA129" s="1894">
        <v>54797645</v>
      </c>
      <c r="DB129" s="816">
        <f t="shared" si="39"/>
        <v>8743633</v>
      </c>
      <c r="DC129" s="816">
        <f t="shared" si="39"/>
        <v>101831426</v>
      </c>
      <c r="DD129" s="816">
        <f t="shared" si="39"/>
        <v>100967907</v>
      </c>
    </row>
    <row r="130" spans="1:108" ht="78.75">
      <c r="A130" s="772" t="s">
        <v>1423</v>
      </c>
      <c r="B130" s="759">
        <v>140000000</v>
      </c>
      <c r="C130" s="761"/>
      <c r="D130" s="761"/>
      <c r="E130" s="761"/>
      <c r="F130" s="761"/>
      <c r="G130" s="760"/>
      <c r="H130" s="760"/>
      <c r="I130" s="760"/>
      <c r="J130" s="760"/>
      <c r="K130" s="760"/>
      <c r="L130" s="760"/>
      <c r="M130" s="760"/>
      <c r="N130" s="760"/>
      <c r="O130" s="760"/>
      <c r="P130" s="760"/>
      <c r="Q130" s="760"/>
      <c r="R130" s="760"/>
      <c r="S130" s="760"/>
      <c r="T130" s="760"/>
      <c r="U130" s="760"/>
      <c r="V130" s="760"/>
      <c r="W130" s="760"/>
      <c r="X130" s="760"/>
      <c r="Y130" s="760"/>
      <c r="Z130" s="760"/>
      <c r="AA130" s="760"/>
      <c r="AB130" s="760"/>
      <c r="AC130" s="760"/>
      <c r="AD130" s="760"/>
      <c r="AE130" s="761"/>
      <c r="AF130" s="761"/>
      <c r="AG130" s="761"/>
      <c r="AH130" s="761"/>
      <c r="AI130" s="761"/>
      <c r="AJ130" s="761"/>
      <c r="AK130" s="761"/>
      <c r="AL130" s="761"/>
      <c r="AM130" s="761"/>
      <c r="AN130" s="761"/>
      <c r="AO130" s="761"/>
      <c r="AP130" s="761"/>
      <c r="AQ130" s="761"/>
      <c r="AR130" s="761"/>
      <c r="AS130" s="761"/>
      <c r="AT130" s="761"/>
      <c r="AU130" s="761"/>
      <c r="AV130" s="761"/>
      <c r="AW130" s="761"/>
      <c r="AX130" s="761"/>
      <c r="AY130" s="761"/>
      <c r="AZ130" s="761"/>
      <c r="BA130" s="761"/>
      <c r="BB130" s="761"/>
      <c r="BC130" s="761"/>
      <c r="BD130" s="761"/>
      <c r="BE130" s="761"/>
      <c r="BF130" s="761"/>
      <c r="BG130" s="761"/>
      <c r="BH130" s="761"/>
      <c r="BI130" s="761"/>
      <c r="BJ130" s="761"/>
      <c r="BK130" s="761"/>
      <c r="BL130" s="761"/>
      <c r="BM130" s="761"/>
      <c r="BN130" s="761"/>
      <c r="BO130" s="761"/>
      <c r="BP130" s="761"/>
      <c r="BQ130" s="761"/>
      <c r="BR130" s="761"/>
      <c r="BS130" s="779">
        <f t="shared" si="43"/>
        <v>140000000</v>
      </c>
      <c r="BT130" s="779">
        <v>139900233</v>
      </c>
      <c r="BU130" s="779">
        <v>137645230</v>
      </c>
      <c r="BV130" s="779">
        <v>137026791</v>
      </c>
      <c r="BW130" s="761"/>
      <c r="BX130" s="761"/>
      <c r="BY130" s="761"/>
      <c r="BZ130" s="761"/>
      <c r="CA130" s="761"/>
      <c r="CB130" s="761"/>
      <c r="CC130" s="761"/>
      <c r="CD130" s="761"/>
      <c r="CE130" s="761"/>
      <c r="CF130" s="761"/>
      <c r="CG130" s="761"/>
      <c r="CH130" s="761"/>
      <c r="CI130" s="761"/>
      <c r="CJ130" s="761"/>
      <c r="CK130" s="761"/>
      <c r="CL130" s="761"/>
      <c r="CM130" s="761"/>
      <c r="CN130" s="761"/>
      <c r="CO130" s="761"/>
      <c r="CP130" s="761"/>
      <c r="CQ130" s="761"/>
      <c r="CR130" s="761"/>
      <c r="CS130" s="761"/>
      <c r="CT130" s="761"/>
      <c r="CU130" s="1891">
        <f t="shared" si="35"/>
        <v>140000000</v>
      </c>
      <c r="CV130" s="1891">
        <f t="shared" si="36"/>
        <v>139900233</v>
      </c>
      <c r="CW130" s="1891">
        <f t="shared" si="37"/>
        <v>137645230</v>
      </c>
      <c r="CX130" s="1891">
        <f t="shared" si="38"/>
        <v>137026791</v>
      </c>
      <c r="CY130" s="1892">
        <v>131856089</v>
      </c>
      <c r="CZ130" s="1893">
        <v>79405833</v>
      </c>
      <c r="DA130" s="1894">
        <v>79405833</v>
      </c>
      <c r="DB130" s="816">
        <f t="shared" si="39"/>
        <v>8044144</v>
      </c>
      <c r="DC130" s="816">
        <f t="shared" si="39"/>
        <v>58239397</v>
      </c>
      <c r="DD130" s="816">
        <f t="shared" si="39"/>
        <v>57620958</v>
      </c>
    </row>
    <row r="131" spans="1:108" ht="78.75">
      <c r="A131" s="772" t="s">
        <v>666</v>
      </c>
      <c r="B131" s="759">
        <v>140000000</v>
      </c>
      <c r="C131" s="761"/>
      <c r="D131" s="761"/>
      <c r="E131" s="761"/>
      <c r="F131" s="761"/>
      <c r="G131" s="760"/>
      <c r="H131" s="760"/>
      <c r="I131" s="760"/>
      <c r="J131" s="760"/>
      <c r="K131" s="760"/>
      <c r="L131" s="760"/>
      <c r="M131" s="760"/>
      <c r="N131" s="760"/>
      <c r="O131" s="760"/>
      <c r="P131" s="760"/>
      <c r="Q131" s="760"/>
      <c r="R131" s="760"/>
      <c r="S131" s="760"/>
      <c r="T131" s="760"/>
      <c r="U131" s="760"/>
      <c r="V131" s="760"/>
      <c r="W131" s="760"/>
      <c r="X131" s="760"/>
      <c r="Y131" s="760"/>
      <c r="Z131" s="760"/>
      <c r="AA131" s="760"/>
      <c r="AB131" s="760"/>
      <c r="AC131" s="760"/>
      <c r="AD131" s="760"/>
      <c r="AE131" s="761"/>
      <c r="AF131" s="761"/>
      <c r="AG131" s="761"/>
      <c r="AH131" s="761"/>
      <c r="AI131" s="761"/>
      <c r="AJ131" s="761"/>
      <c r="AK131" s="761"/>
      <c r="AL131" s="761"/>
      <c r="AM131" s="761"/>
      <c r="AN131" s="761"/>
      <c r="AO131" s="761"/>
      <c r="AP131" s="761"/>
      <c r="AQ131" s="761"/>
      <c r="AR131" s="761"/>
      <c r="AS131" s="761"/>
      <c r="AT131" s="761"/>
      <c r="AU131" s="761"/>
      <c r="AV131" s="761"/>
      <c r="AW131" s="761"/>
      <c r="AX131" s="761"/>
      <c r="AY131" s="761"/>
      <c r="AZ131" s="761"/>
      <c r="BA131" s="761"/>
      <c r="BB131" s="761"/>
      <c r="BC131" s="761"/>
      <c r="BD131" s="761"/>
      <c r="BE131" s="761"/>
      <c r="BF131" s="761"/>
      <c r="BG131" s="761"/>
      <c r="BH131" s="761"/>
      <c r="BI131" s="761"/>
      <c r="BJ131" s="761"/>
      <c r="BK131" s="761"/>
      <c r="BL131" s="761"/>
      <c r="BM131" s="761"/>
      <c r="BN131" s="761"/>
      <c r="BO131" s="761"/>
      <c r="BP131" s="761"/>
      <c r="BQ131" s="761"/>
      <c r="BR131" s="761"/>
      <c r="BS131" s="779">
        <f t="shared" si="43"/>
        <v>140000000</v>
      </c>
      <c r="BT131" s="779">
        <v>139900233</v>
      </c>
      <c r="BU131" s="779">
        <v>137520698</v>
      </c>
      <c r="BV131" s="779">
        <v>124235595</v>
      </c>
      <c r="BW131" s="761"/>
      <c r="BX131" s="761"/>
      <c r="BY131" s="761"/>
      <c r="BZ131" s="761"/>
      <c r="CA131" s="761"/>
      <c r="CB131" s="761"/>
      <c r="CC131" s="761"/>
      <c r="CD131" s="761"/>
      <c r="CE131" s="761"/>
      <c r="CF131" s="761"/>
      <c r="CG131" s="761"/>
      <c r="CH131" s="761"/>
      <c r="CI131" s="761"/>
      <c r="CJ131" s="761"/>
      <c r="CK131" s="761"/>
      <c r="CL131" s="761"/>
      <c r="CM131" s="761"/>
      <c r="CN131" s="761"/>
      <c r="CO131" s="761"/>
      <c r="CP131" s="761"/>
      <c r="CQ131" s="761"/>
      <c r="CR131" s="761"/>
      <c r="CS131" s="761"/>
      <c r="CT131" s="761"/>
      <c r="CU131" s="1891">
        <f t="shared" si="35"/>
        <v>140000000</v>
      </c>
      <c r="CV131" s="1891">
        <f t="shared" si="36"/>
        <v>139900233</v>
      </c>
      <c r="CW131" s="1891">
        <f t="shared" si="37"/>
        <v>137520698</v>
      </c>
      <c r="CX131" s="1891">
        <f t="shared" si="38"/>
        <v>124235595</v>
      </c>
      <c r="CY131" s="1892">
        <v>131856089</v>
      </c>
      <c r="CZ131" s="1893">
        <v>35505833</v>
      </c>
      <c r="DA131" s="1894">
        <v>26305833</v>
      </c>
      <c r="DB131" s="816">
        <f t="shared" si="39"/>
        <v>8044144</v>
      </c>
      <c r="DC131" s="816">
        <f t="shared" si="39"/>
        <v>102014865</v>
      </c>
      <c r="DD131" s="816">
        <f t="shared" si="39"/>
        <v>97929762</v>
      </c>
    </row>
    <row r="132" spans="1:108" ht="78.75">
      <c r="A132" s="772" t="s">
        <v>667</v>
      </c>
      <c r="B132" s="759">
        <v>60000000</v>
      </c>
      <c r="C132" s="761"/>
      <c r="D132" s="761"/>
      <c r="E132" s="761"/>
      <c r="F132" s="761"/>
      <c r="G132" s="760"/>
      <c r="H132" s="760"/>
      <c r="I132" s="760"/>
      <c r="J132" s="760"/>
      <c r="K132" s="760"/>
      <c r="L132" s="760"/>
      <c r="M132" s="760"/>
      <c r="N132" s="760"/>
      <c r="O132" s="760"/>
      <c r="P132" s="760"/>
      <c r="Q132" s="760"/>
      <c r="R132" s="760"/>
      <c r="S132" s="760"/>
      <c r="T132" s="760"/>
      <c r="U132" s="760"/>
      <c r="V132" s="760"/>
      <c r="W132" s="760"/>
      <c r="X132" s="760"/>
      <c r="Y132" s="760"/>
      <c r="Z132" s="760"/>
      <c r="AA132" s="760"/>
      <c r="AB132" s="760"/>
      <c r="AC132" s="760"/>
      <c r="AD132" s="760"/>
      <c r="AE132" s="761"/>
      <c r="AF132" s="761"/>
      <c r="AG132" s="761"/>
      <c r="AH132" s="761"/>
      <c r="AI132" s="761"/>
      <c r="AJ132" s="761"/>
      <c r="AK132" s="761"/>
      <c r="AL132" s="761"/>
      <c r="AM132" s="761"/>
      <c r="AN132" s="761"/>
      <c r="AO132" s="761"/>
      <c r="AP132" s="761"/>
      <c r="AQ132" s="761"/>
      <c r="AR132" s="761"/>
      <c r="AS132" s="761"/>
      <c r="AT132" s="761"/>
      <c r="AU132" s="761"/>
      <c r="AV132" s="761"/>
      <c r="AW132" s="761"/>
      <c r="AX132" s="761"/>
      <c r="AY132" s="761"/>
      <c r="AZ132" s="761"/>
      <c r="BA132" s="761"/>
      <c r="BB132" s="761"/>
      <c r="BC132" s="761"/>
      <c r="BD132" s="761"/>
      <c r="BE132" s="761"/>
      <c r="BF132" s="761"/>
      <c r="BG132" s="761"/>
      <c r="BH132" s="761"/>
      <c r="BI132" s="761"/>
      <c r="BJ132" s="761"/>
      <c r="BK132" s="761"/>
      <c r="BL132" s="761"/>
      <c r="BM132" s="761"/>
      <c r="BN132" s="761"/>
      <c r="BO132" s="761"/>
      <c r="BP132" s="761"/>
      <c r="BQ132" s="761"/>
      <c r="BR132" s="761"/>
      <c r="BS132" s="779">
        <f t="shared" si="43"/>
        <v>60000000</v>
      </c>
      <c r="BT132" s="779">
        <v>59970928</v>
      </c>
      <c r="BU132" s="779">
        <v>57886466</v>
      </c>
      <c r="BV132" s="779">
        <v>56982786</v>
      </c>
      <c r="BW132" s="761"/>
      <c r="BX132" s="761"/>
      <c r="BY132" s="761"/>
      <c r="BZ132" s="761"/>
      <c r="CA132" s="761"/>
      <c r="CB132" s="761"/>
      <c r="CC132" s="761"/>
      <c r="CD132" s="761"/>
      <c r="CE132" s="761"/>
      <c r="CF132" s="761"/>
      <c r="CG132" s="761"/>
      <c r="CH132" s="761"/>
      <c r="CI132" s="761"/>
      <c r="CJ132" s="761"/>
      <c r="CK132" s="761"/>
      <c r="CL132" s="761"/>
      <c r="CM132" s="761"/>
      <c r="CN132" s="761"/>
      <c r="CO132" s="761"/>
      <c r="CP132" s="761"/>
      <c r="CQ132" s="761"/>
      <c r="CR132" s="761"/>
      <c r="CS132" s="761"/>
      <c r="CT132" s="761"/>
      <c r="CU132" s="1891">
        <f t="shared" si="35"/>
        <v>60000000</v>
      </c>
      <c r="CV132" s="1891">
        <f t="shared" si="36"/>
        <v>59970928</v>
      </c>
      <c r="CW132" s="1891">
        <f t="shared" si="37"/>
        <v>57886466</v>
      </c>
      <c r="CX132" s="1891">
        <f t="shared" si="38"/>
        <v>56982786</v>
      </c>
      <c r="CY132" s="1892">
        <v>56823219</v>
      </c>
      <c r="CZ132" s="1893">
        <v>863152</v>
      </c>
      <c r="DA132" s="1894">
        <v>863152</v>
      </c>
      <c r="DB132" s="816">
        <f t="shared" si="39"/>
        <v>3147709</v>
      </c>
      <c r="DC132" s="816">
        <f t="shared" si="39"/>
        <v>57023314</v>
      </c>
      <c r="DD132" s="816">
        <f t="shared" si="39"/>
        <v>56119634</v>
      </c>
    </row>
    <row r="133" spans="1:108" ht="63">
      <c r="A133" s="772" t="s">
        <v>1424</v>
      </c>
      <c r="B133" s="759">
        <v>60000000</v>
      </c>
      <c r="C133" s="761"/>
      <c r="D133" s="761"/>
      <c r="E133" s="761"/>
      <c r="F133" s="761"/>
      <c r="G133" s="760"/>
      <c r="H133" s="760"/>
      <c r="I133" s="760"/>
      <c r="J133" s="760"/>
      <c r="K133" s="760"/>
      <c r="L133" s="760"/>
      <c r="M133" s="760"/>
      <c r="N133" s="760"/>
      <c r="O133" s="760"/>
      <c r="P133" s="760"/>
      <c r="Q133" s="760"/>
      <c r="R133" s="760"/>
      <c r="S133" s="760"/>
      <c r="T133" s="760"/>
      <c r="U133" s="760"/>
      <c r="V133" s="760"/>
      <c r="W133" s="760"/>
      <c r="X133" s="760"/>
      <c r="Y133" s="760"/>
      <c r="Z133" s="760"/>
      <c r="AA133" s="760"/>
      <c r="AB133" s="760"/>
      <c r="AC133" s="760"/>
      <c r="AD133" s="760"/>
      <c r="AE133" s="761"/>
      <c r="AF133" s="761"/>
      <c r="AG133" s="761"/>
      <c r="AH133" s="761"/>
      <c r="AI133" s="761"/>
      <c r="AJ133" s="761"/>
      <c r="AK133" s="761"/>
      <c r="AL133" s="761"/>
      <c r="AM133" s="761"/>
      <c r="AN133" s="761"/>
      <c r="AO133" s="761"/>
      <c r="AP133" s="761"/>
      <c r="AQ133" s="761"/>
      <c r="AR133" s="761"/>
      <c r="AS133" s="761"/>
      <c r="AT133" s="761"/>
      <c r="AU133" s="761"/>
      <c r="AV133" s="761"/>
      <c r="AW133" s="761"/>
      <c r="AX133" s="761"/>
      <c r="AY133" s="761"/>
      <c r="AZ133" s="761"/>
      <c r="BA133" s="761"/>
      <c r="BB133" s="761"/>
      <c r="BC133" s="761"/>
      <c r="BD133" s="761"/>
      <c r="BE133" s="761"/>
      <c r="BF133" s="761"/>
      <c r="BG133" s="761"/>
      <c r="BH133" s="761"/>
      <c r="BI133" s="761"/>
      <c r="BJ133" s="761"/>
      <c r="BK133" s="761"/>
      <c r="BL133" s="761"/>
      <c r="BM133" s="761"/>
      <c r="BN133" s="761"/>
      <c r="BO133" s="761"/>
      <c r="BP133" s="761"/>
      <c r="BQ133" s="761"/>
      <c r="BR133" s="761"/>
      <c r="BS133" s="779">
        <f t="shared" si="43"/>
        <v>60000000</v>
      </c>
      <c r="BT133" s="779">
        <v>59970928</v>
      </c>
      <c r="BU133" s="779">
        <v>59088536</v>
      </c>
      <c r="BV133" s="779">
        <v>58911755</v>
      </c>
      <c r="BW133" s="761"/>
      <c r="BX133" s="761"/>
      <c r="BY133" s="761"/>
      <c r="BZ133" s="761"/>
      <c r="CA133" s="761"/>
      <c r="CB133" s="761"/>
      <c r="CC133" s="761"/>
      <c r="CD133" s="761"/>
      <c r="CE133" s="761"/>
      <c r="CF133" s="761"/>
      <c r="CG133" s="761"/>
      <c r="CH133" s="761"/>
      <c r="CI133" s="761"/>
      <c r="CJ133" s="761"/>
      <c r="CK133" s="761"/>
      <c r="CL133" s="761"/>
      <c r="CM133" s="761"/>
      <c r="CN133" s="761"/>
      <c r="CO133" s="761"/>
      <c r="CP133" s="761"/>
      <c r="CQ133" s="761"/>
      <c r="CR133" s="761"/>
      <c r="CS133" s="761"/>
      <c r="CT133" s="761"/>
      <c r="CU133" s="1891">
        <f t="shared" ref="CU133:CU162" si="44">+C133+G133+K133+O133+S133+W133+AA133+AE133+AI133+AM133+AQ133+AU133+AY133+BC133+BG133+BK133+BO133+BS133+BW133+CA133+CE133+CI133+CM133+CQ133</f>
        <v>60000000</v>
      </c>
      <c r="CV133" s="1891">
        <f t="shared" ref="CV133:CV163" si="45">+D133+H133+L133+P133+T133+X133+AB133+AF133+AJ133+AN133+AR133+AV133+AZ133+BD133+BH133+BL133+BP133+BT133+BX133+CB133+CF133+CJ133+CN133+CR133</f>
        <v>59970928</v>
      </c>
      <c r="CW133" s="1891">
        <f t="shared" ref="CW133:CW163" si="46">+E133+I133+M133+Q133+U133+Y133+AC133+AG133+AK133+AO133+AS133+AW133+BA133+BE133+BI133+BM133+BQ133+BU133+BY133+CC133+CG133+CK133+CO133+CS133</f>
        <v>59088536</v>
      </c>
      <c r="CX133" s="1891">
        <f t="shared" ref="CX133:CX162" si="47">+F133+J133+N133+R133+V133+Z133+AD133+AH133+AL133+AP133+AT133+AX133+BB133+BF133+BJ133+BN133+BR133+BV133+BZ133+CD133+CH133+CL133+CP133+CT133</f>
        <v>58911755</v>
      </c>
      <c r="CY133" s="1892">
        <v>56823219</v>
      </c>
      <c r="CZ133" s="1893">
        <v>48863152</v>
      </c>
      <c r="DA133" s="1894">
        <v>48463152</v>
      </c>
      <c r="DB133" s="816">
        <f t="shared" si="39"/>
        <v>3147709</v>
      </c>
      <c r="DC133" s="816">
        <f t="shared" si="39"/>
        <v>10225384</v>
      </c>
      <c r="DD133" s="816">
        <f t="shared" si="39"/>
        <v>10448603</v>
      </c>
    </row>
    <row r="134" spans="1:108" ht="78.75">
      <c r="A134" s="772" t="s">
        <v>1425</v>
      </c>
      <c r="B134" s="759">
        <v>100000000</v>
      </c>
      <c r="C134" s="761"/>
      <c r="D134" s="761"/>
      <c r="E134" s="761"/>
      <c r="F134" s="761"/>
      <c r="G134" s="760"/>
      <c r="H134" s="760"/>
      <c r="I134" s="760"/>
      <c r="J134" s="760"/>
      <c r="K134" s="760"/>
      <c r="L134" s="760"/>
      <c r="M134" s="760"/>
      <c r="N134" s="760"/>
      <c r="O134" s="760"/>
      <c r="P134" s="760"/>
      <c r="Q134" s="760"/>
      <c r="R134" s="760"/>
      <c r="S134" s="760"/>
      <c r="T134" s="760"/>
      <c r="U134" s="760"/>
      <c r="V134" s="760"/>
      <c r="W134" s="760"/>
      <c r="X134" s="760"/>
      <c r="Y134" s="760"/>
      <c r="Z134" s="760"/>
      <c r="AA134" s="760"/>
      <c r="AB134" s="760"/>
      <c r="AC134" s="760"/>
      <c r="AD134" s="760"/>
      <c r="AE134" s="761"/>
      <c r="AF134" s="761"/>
      <c r="AG134" s="761"/>
      <c r="AH134" s="761"/>
      <c r="AI134" s="761"/>
      <c r="AJ134" s="761"/>
      <c r="AK134" s="761"/>
      <c r="AL134" s="761"/>
      <c r="AM134" s="761"/>
      <c r="AN134" s="761"/>
      <c r="AO134" s="761"/>
      <c r="AP134" s="761"/>
      <c r="AQ134" s="761"/>
      <c r="AR134" s="761"/>
      <c r="AS134" s="761"/>
      <c r="AT134" s="761"/>
      <c r="AU134" s="761"/>
      <c r="AV134" s="761"/>
      <c r="AW134" s="761"/>
      <c r="AX134" s="761"/>
      <c r="AY134" s="761"/>
      <c r="AZ134" s="761"/>
      <c r="BA134" s="761"/>
      <c r="BB134" s="761"/>
      <c r="BC134" s="761"/>
      <c r="BD134" s="761"/>
      <c r="BE134" s="761"/>
      <c r="BF134" s="761"/>
      <c r="BG134" s="761"/>
      <c r="BH134" s="761"/>
      <c r="BI134" s="761"/>
      <c r="BJ134" s="761"/>
      <c r="BK134" s="761"/>
      <c r="BL134" s="761"/>
      <c r="BM134" s="761"/>
      <c r="BN134" s="761"/>
      <c r="BO134" s="761"/>
      <c r="BP134" s="761"/>
      <c r="BQ134" s="761"/>
      <c r="BR134" s="761"/>
      <c r="BS134" s="781">
        <f t="shared" si="43"/>
        <v>100000000</v>
      </c>
      <c r="BT134" s="781">
        <v>99948316</v>
      </c>
      <c r="BU134" s="781">
        <v>98379617</v>
      </c>
      <c r="BV134" s="781">
        <v>98232009</v>
      </c>
      <c r="BW134" s="761"/>
      <c r="BX134" s="761"/>
      <c r="BY134" s="761"/>
      <c r="BZ134" s="761"/>
      <c r="CA134" s="761"/>
      <c r="CB134" s="761"/>
      <c r="CC134" s="761"/>
      <c r="CD134" s="761"/>
      <c r="CE134" s="761"/>
      <c r="CF134" s="761"/>
      <c r="CG134" s="761"/>
      <c r="CH134" s="761"/>
      <c r="CI134" s="761"/>
      <c r="CJ134" s="761"/>
      <c r="CK134" s="761"/>
      <c r="CL134" s="761"/>
      <c r="CM134" s="761"/>
      <c r="CN134" s="761"/>
      <c r="CO134" s="761"/>
      <c r="CP134" s="761"/>
      <c r="CQ134" s="761"/>
      <c r="CR134" s="761"/>
      <c r="CS134" s="761"/>
      <c r="CT134" s="761"/>
      <c r="CU134" s="1891">
        <f t="shared" si="44"/>
        <v>100000000</v>
      </c>
      <c r="CV134" s="1891">
        <f t="shared" si="45"/>
        <v>99948316</v>
      </c>
      <c r="CW134" s="1891">
        <f t="shared" si="46"/>
        <v>98379617</v>
      </c>
      <c r="CX134" s="1891">
        <f t="shared" si="47"/>
        <v>98232009</v>
      </c>
      <c r="CY134" s="1892">
        <v>94352392</v>
      </c>
      <c r="CZ134" s="1893">
        <v>38034493</v>
      </c>
      <c r="DA134" s="1894">
        <v>38034493</v>
      </c>
      <c r="DB134" s="816">
        <f t="shared" ref="DB134:DD160" si="48">+CV134-CY134</f>
        <v>5595924</v>
      </c>
      <c r="DC134" s="816">
        <f t="shared" si="48"/>
        <v>60345124</v>
      </c>
      <c r="DD134" s="816">
        <f t="shared" si="48"/>
        <v>60197516</v>
      </c>
    </row>
    <row r="135" spans="1:108" ht="78.75">
      <c r="A135" s="772" t="s">
        <v>670</v>
      </c>
      <c r="B135" s="759">
        <v>112500000</v>
      </c>
      <c r="C135" s="761"/>
      <c r="D135" s="761"/>
      <c r="E135" s="761"/>
      <c r="F135" s="761"/>
      <c r="G135" s="760"/>
      <c r="H135" s="760"/>
      <c r="I135" s="760"/>
      <c r="J135" s="760"/>
      <c r="K135" s="760"/>
      <c r="L135" s="760"/>
      <c r="M135" s="760"/>
      <c r="N135" s="760"/>
      <c r="O135" s="777"/>
      <c r="P135" s="777"/>
      <c r="Q135" s="777"/>
      <c r="R135" s="777"/>
      <c r="S135" s="760"/>
      <c r="T135" s="760"/>
      <c r="U135" s="760"/>
      <c r="V135" s="760"/>
      <c r="W135" s="760"/>
      <c r="X135" s="760"/>
      <c r="Y135" s="760"/>
      <c r="Z135" s="760"/>
      <c r="AA135" s="760"/>
      <c r="AB135" s="760"/>
      <c r="AC135" s="760"/>
      <c r="AD135" s="760"/>
      <c r="AE135" s="761"/>
      <c r="AF135" s="761"/>
      <c r="AG135" s="761"/>
      <c r="AH135" s="761"/>
      <c r="AI135" s="761"/>
      <c r="AJ135" s="761"/>
      <c r="AK135" s="761"/>
      <c r="AL135" s="761"/>
      <c r="AM135" s="761"/>
      <c r="AN135" s="761"/>
      <c r="AO135" s="761"/>
      <c r="AP135" s="761"/>
      <c r="AQ135" s="761"/>
      <c r="AR135" s="761"/>
      <c r="AS135" s="761"/>
      <c r="AT135" s="761"/>
      <c r="AU135" s="761"/>
      <c r="AV135" s="761"/>
      <c r="AW135" s="761"/>
      <c r="AX135" s="761"/>
      <c r="AY135" s="761"/>
      <c r="AZ135" s="761"/>
      <c r="BA135" s="761"/>
      <c r="BB135" s="761"/>
      <c r="BC135" s="761"/>
      <c r="BD135" s="761"/>
      <c r="BE135" s="761"/>
      <c r="BF135" s="761"/>
      <c r="BG135" s="761"/>
      <c r="BH135" s="761"/>
      <c r="BI135" s="761"/>
      <c r="BJ135" s="761"/>
      <c r="BK135" s="761"/>
      <c r="BL135" s="761"/>
      <c r="BM135" s="761"/>
      <c r="BN135" s="761"/>
      <c r="BO135" s="761"/>
      <c r="BP135" s="761"/>
      <c r="BQ135" s="761"/>
      <c r="BR135" s="761"/>
      <c r="BS135" s="781">
        <f t="shared" si="43"/>
        <v>112500000</v>
      </c>
      <c r="BT135" s="781">
        <v>111191856</v>
      </c>
      <c r="BU135" s="781">
        <v>109427070</v>
      </c>
      <c r="BV135" s="781">
        <v>109323510</v>
      </c>
      <c r="BW135" s="761"/>
      <c r="BX135" s="761"/>
      <c r="BY135" s="761"/>
      <c r="BZ135" s="761"/>
      <c r="CA135" s="761"/>
      <c r="CB135" s="761"/>
      <c r="CC135" s="761"/>
      <c r="CD135" s="761"/>
      <c r="CE135" s="761"/>
      <c r="CF135" s="761"/>
      <c r="CG135" s="761"/>
      <c r="CH135" s="761"/>
      <c r="CI135" s="761"/>
      <c r="CJ135" s="761"/>
      <c r="CK135" s="761"/>
      <c r="CL135" s="761"/>
      <c r="CM135" s="761"/>
      <c r="CN135" s="761"/>
      <c r="CO135" s="761"/>
      <c r="CP135" s="761"/>
      <c r="CQ135" s="761"/>
      <c r="CR135" s="761"/>
      <c r="CS135" s="761"/>
      <c r="CT135" s="761"/>
      <c r="CU135" s="1891">
        <f t="shared" si="44"/>
        <v>112500000</v>
      </c>
      <c r="CV135" s="1891">
        <f t="shared" si="45"/>
        <v>111191856</v>
      </c>
      <c r="CW135" s="1891">
        <f t="shared" si="46"/>
        <v>109427070</v>
      </c>
      <c r="CX135" s="1891">
        <f t="shared" si="47"/>
        <v>109323510</v>
      </c>
      <c r="CY135" s="1892">
        <v>106146440</v>
      </c>
      <c r="CZ135" s="1893">
        <v>29726304</v>
      </c>
      <c r="DA135" s="1894">
        <v>23726304</v>
      </c>
      <c r="DB135" s="816">
        <f t="shared" si="48"/>
        <v>5045416</v>
      </c>
      <c r="DC135" s="816">
        <f t="shared" si="48"/>
        <v>79700766</v>
      </c>
      <c r="DD135" s="816">
        <f t="shared" si="48"/>
        <v>85597206</v>
      </c>
    </row>
    <row r="136" spans="1:108" ht="94.5">
      <c r="A136" s="772" t="s">
        <v>1426</v>
      </c>
      <c r="B136" s="759">
        <v>154000000</v>
      </c>
      <c r="C136" s="761"/>
      <c r="D136" s="761"/>
      <c r="E136" s="761"/>
      <c r="F136" s="761"/>
      <c r="G136" s="760"/>
      <c r="H136" s="760"/>
      <c r="I136" s="760"/>
      <c r="J136" s="760"/>
      <c r="K136" s="760"/>
      <c r="L136" s="760"/>
      <c r="M136" s="760"/>
      <c r="N136" s="760"/>
      <c r="O136" s="760"/>
      <c r="P136" s="760"/>
      <c r="Q136" s="760"/>
      <c r="R136" s="760"/>
      <c r="S136" s="760"/>
      <c r="T136" s="760"/>
      <c r="U136" s="760"/>
      <c r="V136" s="760"/>
      <c r="W136" s="760"/>
      <c r="X136" s="760"/>
      <c r="Y136" s="760"/>
      <c r="Z136" s="760"/>
      <c r="AA136" s="760"/>
      <c r="AB136" s="760"/>
      <c r="AC136" s="760"/>
      <c r="AD136" s="760"/>
      <c r="AE136" s="761"/>
      <c r="AF136" s="761"/>
      <c r="AG136" s="761"/>
      <c r="AH136" s="761"/>
      <c r="AI136" s="761"/>
      <c r="AJ136" s="761"/>
      <c r="AK136" s="761"/>
      <c r="AL136" s="761"/>
      <c r="AM136" s="761"/>
      <c r="AN136" s="761"/>
      <c r="AO136" s="761"/>
      <c r="AP136" s="761"/>
      <c r="AQ136" s="761"/>
      <c r="AR136" s="761"/>
      <c r="AS136" s="761"/>
      <c r="AT136" s="761"/>
      <c r="AU136" s="761"/>
      <c r="AV136" s="761"/>
      <c r="AW136" s="761"/>
      <c r="AX136" s="761"/>
      <c r="AY136" s="761"/>
      <c r="AZ136" s="761"/>
      <c r="BA136" s="761"/>
      <c r="BB136" s="761"/>
      <c r="BC136" s="761"/>
      <c r="BD136" s="761"/>
      <c r="BE136" s="761"/>
      <c r="BF136" s="761"/>
      <c r="BG136" s="761"/>
      <c r="BH136" s="761"/>
      <c r="BI136" s="761"/>
      <c r="BJ136" s="761"/>
      <c r="BK136" s="761"/>
      <c r="BL136" s="761"/>
      <c r="BM136" s="761"/>
      <c r="BN136" s="761"/>
      <c r="BO136" s="761"/>
      <c r="BP136" s="761"/>
      <c r="BQ136" s="761"/>
      <c r="BR136" s="761"/>
      <c r="BS136" s="762">
        <f t="shared" si="43"/>
        <v>154000000</v>
      </c>
      <c r="BT136" s="762">
        <v>152980472</v>
      </c>
      <c r="BU136" s="762">
        <v>111305141</v>
      </c>
      <c r="BV136" s="762">
        <v>70453574</v>
      </c>
      <c r="BW136" s="761"/>
      <c r="BX136" s="761"/>
      <c r="BY136" s="761"/>
      <c r="BZ136" s="761"/>
      <c r="CA136" s="761"/>
      <c r="CB136" s="761"/>
      <c r="CC136" s="761"/>
      <c r="CD136" s="761"/>
      <c r="CE136" s="761"/>
      <c r="CF136" s="761"/>
      <c r="CG136" s="761"/>
      <c r="CH136" s="761"/>
      <c r="CI136" s="761"/>
      <c r="CJ136" s="761"/>
      <c r="CK136" s="761"/>
      <c r="CL136" s="761"/>
      <c r="CM136" s="761"/>
      <c r="CN136" s="761"/>
      <c r="CO136" s="761"/>
      <c r="CP136" s="761"/>
      <c r="CQ136" s="761"/>
      <c r="CR136" s="761"/>
      <c r="CS136" s="761"/>
      <c r="CT136" s="761"/>
      <c r="CU136" s="1891">
        <f t="shared" si="44"/>
        <v>154000000</v>
      </c>
      <c r="CV136" s="1891">
        <f t="shared" si="45"/>
        <v>152980472</v>
      </c>
      <c r="CW136" s="1891">
        <f t="shared" si="46"/>
        <v>111305141</v>
      </c>
      <c r="CX136" s="1891">
        <f t="shared" si="47"/>
        <v>70453574</v>
      </c>
      <c r="CY136" s="1892">
        <v>143829169</v>
      </c>
      <c r="CZ136" s="1893">
        <v>45463906</v>
      </c>
      <c r="DA136" s="1894">
        <v>45463906</v>
      </c>
      <c r="DB136" s="816">
        <f t="shared" si="48"/>
        <v>9151303</v>
      </c>
      <c r="DC136" s="816">
        <f t="shared" si="48"/>
        <v>65841235</v>
      </c>
      <c r="DD136" s="816">
        <f t="shared" si="48"/>
        <v>24989668</v>
      </c>
    </row>
    <row r="137" spans="1:108" ht="47.25">
      <c r="A137" s="772" t="s">
        <v>673</v>
      </c>
      <c r="B137" s="759">
        <v>100000000</v>
      </c>
      <c r="C137" s="761"/>
      <c r="D137" s="761"/>
      <c r="E137" s="761"/>
      <c r="F137" s="761"/>
      <c r="G137" s="760"/>
      <c r="H137" s="760"/>
      <c r="I137" s="760"/>
      <c r="J137" s="760"/>
      <c r="K137" s="760"/>
      <c r="L137" s="760"/>
      <c r="M137" s="760"/>
      <c r="N137" s="760"/>
      <c r="O137" s="760"/>
      <c r="P137" s="760"/>
      <c r="Q137" s="760"/>
      <c r="R137" s="760"/>
      <c r="S137" s="760"/>
      <c r="T137" s="760"/>
      <c r="U137" s="760"/>
      <c r="V137" s="760"/>
      <c r="W137" s="760"/>
      <c r="X137" s="760"/>
      <c r="Y137" s="760"/>
      <c r="Z137" s="760"/>
      <c r="AA137" s="760"/>
      <c r="AB137" s="760"/>
      <c r="AC137" s="760"/>
      <c r="AD137" s="760"/>
      <c r="AE137" s="761"/>
      <c r="AF137" s="761"/>
      <c r="AG137" s="761"/>
      <c r="AH137" s="761"/>
      <c r="AI137" s="761"/>
      <c r="AJ137" s="761"/>
      <c r="AK137" s="761"/>
      <c r="AL137" s="761"/>
      <c r="AM137" s="761"/>
      <c r="AN137" s="761"/>
      <c r="AO137" s="761"/>
      <c r="AP137" s="761"/>
      <c r="AQ137" s="761"/>
      <c r="AR137" s="761"/>
      <c r="AS137" s="761"/>
      <c r="AT137" s="761"/>
      <c r="AU137" s="761"/>
      <c r="AV137" s="761"/>
      <c r="AW137" s="761"/>
      <c r="AX137" s="761"/>
      <c r="AY137" s="761"/>
      <c r="AZ137" s="761"/>
      <c r="BA137" s="761"/>
      <c r="BB137" s="761"/>
      <c r="BC137" s="761"/>
      <c r="BD137" s="761"/>
      <c r="BE137" s="761"/>
      <c r="BF137" s="761"/>
      <c r="BG137" s="761"/>
      <c r="BH137" s="761"/>
      <c r="BI137" s="761"/>
      <c r="BJ137" s="761"/>
      <c r="BK137" s="761"/>
      <c r="BL137" s="761"/>
      <c r="BM137" s="761"/>
      <c r="BN137" s="761"/>
      <c r="BO137" s="761"/>
      <c r="BP137" s="761"/>
      <c r="BQ137" s="761"/>
      <c r="BR137" s="761"/>
      <c r="BS137" s="779">
        <f t="shared" si="43"/>
        <v>100000000</v>
      </c>
      <c r="BT137" s="779">
        <v>99948316</v>
      </c>
      <c r="BU137" s="779">
        <v>98457207</v>
      </c>
      <c r="BV137" s="779">
        <v>98309599</v>
      </c>
      <c r="BW137" s="761"/>
      <c r="BX137" s="761"/>
      <c r="BY137" s="761"/>
      <c r="BZ137" s="761"/>
      <c r="CA137" s="761"/>
      <c r="CB137" s="761"/>
      <c r="CC137" s="761"/>
      <c r="CD137" s="761"/>
      <c r="CE137" s="761"/>
      <c r="CF137" s="761"/>
      <c r="CG137" s="761"/>
      <c r="CH137" s="761"/>
      <c r="CI137" s="761"/>
      <c r="CJ137" s="761"/>
      <c r="CK137" s="761"/>
      <c r="CL137" s="761"/>
      <c r="CM137" s="761"/>
      <c r="CN137" s="761"/>
      <c r="CO137" s="761"/>
      <c r="CP137" s="761"/>
      <c r="CQ137" s="761"/>
      <c r="CR137" s="761"/>
      <c r="CS137" s="761"/>
      <c r="CT137" s="761"/>
      <c r="CU137" s="1891">
        <f t="shared" si="44"/>
        <v>100000000</v>
      </c>
      <c r="CV137" s="1891">
        <f t="shared" si="45"/>
        <v>99948316</v>
      </c>
      <c r="CW137" s="1891">
        <f t="shared" si="46"/>
        <v>98457207</v>
      </c>
      <c r="CX137" s="1891">
        <f t="shared" si="47"/>
        <v>98309599</v>
      </c>
      <c r="CY137" s="1892">
        <v>94352392</v>
      </c>
      <c r="CZ137" s="1893">
        <v>21334493</v>
      </c>
      <c r="DA137" s="1894">
        <v>21334493</v>
      </c>
      <c r="DB137" s="816">
        <f t="shared" si="48"/>
        <v>5595924</v>
      </c>
      <c r="DC137" s="816">
        <f t="shared" si="48"/>
        <v>77122714</v>
      </c>
      <c r="DD137" s="816">
        <f t="shared" si="48"/>
        <v>76975106</v>
      </c>
    </row>
    <row r="138" spans="1:108" ht="47.25">
      <c r="A138" s="772" t="s">
        <v>1427</v>
      </c>
      <c r="B138" s="759">
        <v>100000000</v>
      </c>
      <c r="C138" s="761"/>
      <c r="D138" s="761"/>
      <c r="E138" s="761"/>
      <c r="F138" s="761"/>
      <c r="G138" s="760"/>
      <c r="H138" s="760"/>
      <c r="I138" s="760"/>
      <c r="J138" s="760"/>
      <c r="K138" s="760"/>
      <c r="L138" s="760"/>
      <c r="M138" s="760"/>
      <c r="N138" s="760"/>
      <c r="O138" s="760"/>
      <c r="P138" s="760"/>
      <c r="Q138" s="760"/>
      <c r="R138" s="760"/>
      <c r="S138" s="760"/>
      <c r="T138" s="760"/>
      <c r="U138" s="760"/>
      <c r="V138" s="760"/>
      <c r="W138" s="760"/>
      <c r="X138" s="760"/>
      <c r="Y138" s="760"/>
      <c r="Z138" s="760"/>
      <c r="AA138" s="760"/>
      <c r="AB138" s="760"/>
      <c r="AC138" s="760"/>
      <c r="AD138" s="760"/>
      <c r="AE138" s="761"/>
      <c r="AF138" s="761"/>
      <c r="AG138" s="761"/>
      <c r="AH138" s="761"/>
      <c r="AI138" s="761"/>
      <c r="AJ138" s="761"/>
      <c r="AK138" s="761"/>
      <c r="AL138" s="761"/>
      <c r="AM138" s="761"/>
      <c r="AN138" s="761"/>
      <c r="AO138" s="761"/>
      <c r="AP138" s="761"/>
      <c r="AQ138" s="761"/>
      <c r="AR138" s="761"/>
      <c r="AS138" s="761"/>
      <c r="AT138" s="761"/>
      <c r="AU138" s="761"/>
      <c r="AV138" s="761"/>
      <c r="AW138" s="761"/>
      <c r="AX138" s="761"/>
      <c r="AY138" s="761"/>
      <c r="AZ138" s="761"/>
      <c r="BA138" s="761"/>
      <c r="BB138" s="761"/>
      <c r="BC138" s="761"/>
      <c r="BD138" s="761"/>
      <c r="BE138" s="761"/>
      <c r="BF138" s="761"/>
      <c r="BG138" s="761"/>
      <c r="BH138" s="761"/>
      <c r="BI138" s="761"/>
      <c r="BJ138" s="761"/>
      <c r="BK138" s="761"/>
      <c r="BL138" s="761"/>
      <c r="BM138" s="761"/>
      <c r="BN138" s="761"/>
      <c r="BO138" s="761"/>
      <c r="BP138" s="761"/>
      <c r="BQ138" s="761"/>
      <c r="BR138" s="761"/>
      <c r="BS138" s="779">
        <f t="shared" si="43"/>
        <v>100000000</v>
      </c>
      <c r="BT138" s="779">
        <v>99897816</v>
      </c>
      <c r="BU138" s="779">
        <v>98024897</v>
      </c>
      <c r="BV138" s="779">
        <v>97332009</v>
      </c>
      <c r="BW138" s="761"/>
      <c r="BX138" s="761"/>
      <c r="BY138" s="761"/>
      <c r="BZ138" s="761"/>
      <c r="CA138" s="761"/>
      <c r="CB138" s="761"/>
      <c r="CC138" s="761"/>
      <c r="CD138" s="761"/>
      <c r="CE138" s="761"/>
      <c r="CF138" s="761"/>
      <c r="CG138" s="761"/>
      <c r="CH138" s="761"/>
      <c r="CI138" s="761"/>
      <c r="CJ138" s="761"/>
      <c r="CK138" s="761"/>
      <c r="CL138" s="761"/>
      <c r="CM138" s="761"/>
      <c r="CN138" s="761"/>
      <c r="CO138" s="761"/>
      <c r="CP138" s="761"/>
      <c r="CQ138" s="761"/>
      <c r="CR138" s="761"/>
      <c r="CS138" s="761"/>
      <c r="CT138" s="761"/>
      <c r="CU138" s="1891">
        <f t="shared" si="44"/>
        <v>100000000</v>
      </c>
      <c r="CV138" s="1891">
        <f t="shared" si="45"/>
        <v>99897816</v>
      </c>
      <c r="CW138" s="1891">
        <f t="shared" si="46"/>
        <v>98024897</v>
      </c>
      <c r="CX138" s="1891">
        <f t="shared" si="47"/>
        <v>97332009</v>
      </c>
      <c r="CY138" s="1892">
        <v>93952392</v>
      </c>
      <c r="CZ138" s="1893">
        <v>88434493</v>
      </c>
      <c r="DA138" s="1894">
        <v>88434493</v>
      </c>
      <c r="DB138" s="816">
        <f t="shared" si="48"/>
        <v>5945424</v>
      </c>
      <c r="DC138" s="816">
        <f t="shared" si="48"/>
        <v>9590404</v>
      </c>
      <c r="DD138" s="816">
        <f t="shared" si="48"/>
        <v>8897516</v>
      </c>
    </row>
    <row r="139" spans="1:108" ht="47.25">
      <c r="A139" s="772" t="s">
        <v>1428</v>
      </c>
      <c r="B139" s="759">
        <v>100000000</v>
      </c>
      <c r="C139" s="761"/>
      <c r="D139" s="761"/>
      <c r="E139" s="761"/>
      <c r="F139" s="761"/>
      <c r="G139" s="760"/>
      <c r="H139" s="760"/>
      <c r="I139" s="760"/>
      <c r="J139" s="760"/>
      <c r="K139" s="760"/>
      <c r="L139" s="760"/>
      <c r="M139" s="760"/>
      <c r="N139" s="760"/>
      <c r="O139" s="760"/>
      <c r="P139" s="760"/>
      <c r="Q139" s="760"/>
      <c r="R139" s="760"/>
      <c r="S139" s="760"/>
      <c r="T139" s="760"/>
      <c r="U139" s="760"/>
      <c r="V139" s="760"/>
      <c r="W139" s="760"/>
      <c r="X139" s="760"/>
      <c r="Y139" s="760"/>
      <c r="Z139" s="760"/>
      <c r="AA139" s="760"/>
      <c r="AB139" s="760"/>
      <c r="AC139" s="760"/>
      <c r="AD139" s="760"/>
      <c r="AE139" s="761"/>
      <c r="AF139" s="761"/>
      <c r="AG139" s="761"/>
      <c r="AH139" s="761"/>
      <c r="AI139" s="761"/>
      <c r="AJ139" s="761"/>
      <c r="AK139" s="761"/>
      <c r="AL139" s="761"/>
      <c r="AM139" s="761"/>
      <c r="AN139" s="761"/>
      <c r="AO139" s="761"/>
      <c r="AP139" s="761"/>
      <c r="AQ139" s="761"/>
      <c r="AR139" s="761"/>
      <c r="AS139" s="761"/>
      <c r="AT139" s="761"/>
      <c r="AU139" s="761"/>
      <c r="AV139" s="761"/>
      <c r="AW139" s="761"/>
      <c r="AX139" s="761"/>
      <c r="AY139" s="761"/>
      <c r="AZ139" s="761"/>
      <c r="BA139" s="761"/>
      <c r="BB139" s="761"/>
      <c r="BC139" s="761"/>
      <c r="BD139" s="761"/>
      <c r="BE139" s="761"/>
      <c r="BF139" s="761"/>
      <c r="BG139" s="761"/>
      <c r="BH139" s="761"/>
      <c r="BI139" s="761"/>
      <c r="BJ139" s="761"/>
      <c r="BK139" s="761"/>
      <c r="BL139" s="761"/>
      <c r="BM139" s="761"/>
      <c r="BN139" s="761"/>
      <c r="BO139" s="761"/>
      <c r="BP139" s="761"/>
      <c r="BQ139" s="761"/>
      <c r="BR139" s="761"/>
      <c r="BS139" s="779">
        <f t="shared" si="43"/>
        <v>100000000</v>
      </c>
      <c r="BT139" s="779">
        <v>99897816</v>
      </c>
      <c r="BU139" s="779">
        <v>95887886</v>
      </c>
      <c r="BV139" s="779">
        <v>94236063</v>
      </c>
      <c r="BW139" s="761"/>
      <c r="BX139" s="761"/>
      <c r="BY139" s="761"/>
      <c r="BZ139" s="761"/>
      <c r="CA139" s="761"/>
      <c r="CB139" s="761"/>
      <c r="CC139" s="761"/>
      <c r="CD139" s="761"/>
      <c r="CE139" s="761"/>
      <c r="CF139" s="761"/>
      <c r="CG139" s="761"/>
      <c r="CH139" s="761"/>
      <c r="CI139" s="761"/>
      <c r="CJ139" s="761"/>
      <c r="CK139" s="761"/>
      <c r="CL139" s="761"/>
      <c r="CM139" s="761"/>
      <c r="CN139" s="761"/>
      <c r="CO139" s="761"/>
      <c r="CP139" s="761"/>
      <c r="CQ139" s="761"/>
      <c r="CR139" s="761"/>
      <c r="CS139" s="761"/>
      <c r="CT139" s="761"/>
      <c r="CU139" s="1891">
        <f t="shared" si="44"/>
        <v>100000000</v>
      </c>
      <c r="CV139" s="1891">
        <f t="shared" si="45"/>
        <v>99897816</v>
      </c>
      <c r="CW139" s="1891">
        <f t="shared" si="46"/>
        <v>95887886</v>
      </c>
      <c r="CX139" s="1891">
        <f t="shared" si="47"/>
        <v>94236063</v>
      </c>
      <c r="CY139" s="1892">
        <v>93952392</v>
      </c>
      <c r="CZ139" s="1893">
        <v>81534493</v>
      </c>
      <c r="DA139" s="1894">
        <v>81534493</v>
      </c>
      <c r="DB139" s="816">
        <f t="shared" si="48"/>
        <v>5945424</v>
      </c>
      <c r="DC139" s="816">
        <f t="shared" si="48"/>
        <v>14353393</v>
      </c>
      <c r="DD139" s="816">
        <f t="shared" si="48"/>
        <v>12701570</v>
      </c>
    </row>
    <row r="140" spans="1:108" s="765" customFormat="1" ht="78.75">
      <c r="A140" s="772" t="s">
        <v>1429</v>
      </c>
      <c r="B140" s="759">
        <v>50000000</v>
      </c>
      <c r="C140" s="764"/>
      <c r="D140" s="764"/>
      <c r="E140" s="764"/>
      <c r="F140" s="764"/>
      <c r="G140" s="764"/>
      <c r="H140" s="764"/>
      <c r="I140" s="764"/>
      <c r="J140" s="764"/>
      <c r="K140" s="764"/>
      <c r="L140" s="764"/>
      <c r="M140" s="764"/>
      <c r="N140" s="764"/>
      <c r="O140" s="764"/>
      <c r="P140" s="764"/>
      <c r="Q140" s="764"/>
      <c r="R140" s="764"/>
      <c r="S140" s="764"/>
      <c r="T140" s="764"/>
      <c r="U140" s="764"/>
      <c r="V140" s="764"/>
      <c r="W140" s="764"/>
      <c r="X140" s="764"/>
      <c r="Y140" s="764"/>
      <c r="Z140" s="764"/>
      <c r="AA140" s="764"/>
      <c r="AB140" s="764"/>
      <c r="AC140" s="764"/>
      <c r="AD140" s="764"/>
      <c r="AE140" s="764"/>
      <c r="AF140" s="764"/>
      <c r="AG140" s="764"/>
      <c r="AH140" s="764"/>
      <c r="AI140" s="764"/>
      <c r="AJ140" s="764"/>
      <c r="AK140" s="764"/>
      <c r="AL140" s="764"/>
      <c r="AM140" s="764"/>
      <c r="AN140" s="764"/>
      <c r="AO140" s="764"/>
      <c r="AP140" s="764"/>
      <c r="AQ140" s="764"/>
      <c r="AR140" s="764"/>
      <c r="AS140" s="764"/>
      <c r="AT140" s="764"/>
      <c r="AU140" s="764"/>
      <c r="AV140" s="764"/>
      <c r="AW140" s="764"/>
      <c r="AX140" s="764"/>
      <c r="AY140" s="764"/>
      <c r="AZ140" s="764"/>
      <c r="BA140" s="764"/>
      <c r="BB140" s="764"/>
      <c r="BC140" s="764"/>
      <c r="BD140" s="764"/>
      <c r="BE140" s="764"/>
      <c r="BF140" s="764"/>
      <c r="BG140" s="764"/>
      <c r="BH140" s="764"/>
      <c r="BI140" s="764"/>
      <c r="BJ140" s="764"/>
      <c r="BK140" s="764"/>
      <c r="BL140" s="764"/>
      <c r="BM140" s="764"/>
      <c r="BN140" s="764"/>
      <c r="BO140" s="764"/>
      <c r="BP140" s="764"/>
      <c r="BQ140" s="764"/>
      <c r="BR140" s="764"/>
      <c r="BS140" s="762">
        <f t="shared" si="43"/>
        <v>50000000</v>
      </c>
      <c r="BT140" s="762">
        <v>49974158</v>
      </c>
      <c r="BU140" s="762">
        <v>47921302</v>
      </c>
      <c r="BV140" s="762">
        <v>47118302</v>
      </c>
      <c r="BW140" s="764"/>
      <c r="BX140" s="764"/>
      <c r="BY140" s="764"/>
      <c r="BZ140" s="764"/>
      <c r="CA140" s="764"/>
      <c r="CB140" s="764"/>
      <c r="CC140" s="764"/>
      <c r="CD140" s="764"/>
      <c r="CE140" s="764"/>
      <c r="CF140" s="764"/>
      <c r="CG140" s="764"/>
      <c r="CH140" s="764"/>
      <c r="CI140" s="764"/>
      <c r="CJ140" s="764"/>
      <c r="CK140" s="764"/>
      <c r="CL140" s="764"/>
      <c r="CM140" s="764"/>
      <c r="CN140" s="764"/>
      <c r="CO140" s="764"/>
      <c r="CP140" s="764"/>
      <c r="CQ140" s="764"/>
      <c r="CR140" s="764"/>
      <c r="CS140" s="764"/>
      <c r="CT140" s="764"/>
      <c r="CU140" s="1891">
        <f t="shared" si="44"/>
        <v>50000000</v>
      </c>
      <c r="CV140" s="1891">
        <f t="shared" si="45"/>
        <v>49974158</v>
      </c>
      <c r="CW140" s="1891">
        <f t="shared" si="46"/>
        <v>47921302</v>
      </c>
      <c r="CX140" s="1891">
        <f t="shared" si="47"/>
        <v>47118302</v>
      </c>
      <c r="CY140" s="1892">
        <v>46976195</v>
      </c>
      <c r="CZ140" s="1893">
        <v>35767246</v>
      </c>
      <c r="DA140" s="1894">
        <v>35767246</v>
      </c>
      <c r="DB140" s="816">
        <f t="shared" si="48"/>
        <v>2997963</v>
      </c>
      <c r="DC140" s="816">
        <f t="shared" si="48"/>
        <v>12154056</v>
      </c>
      <c r="DD140" s="816">
        <f t="shared" si="48"/>
        <v>11351056</v>
      </c>
    </row>
    <row r="141" spans="1:108" ht="126">
      <c r="A141" s="772" t="s">
        <v>677</v>
      </c>
      <c r="B141" s="759">
        <v>130000000</v>
      </c>
      <c r="C141" s="761"/>
      <c r="D141" s="761"/>
      <c r="E141" s="761"/>
      <c r="F141" s="761"/>
      <c r="G141" s="760"/>
      <c r="H141" s="760"/>
      <c r="I141" s="760"/>
      <c r="J141" s="760"/>
      <c r="K141" s="760"/>
      <c r="L141" s="760"/>
      <c r="M141" s="760"/>
      <c r="N141" s="760"/>
      <c r="O141" s="760"/>
      <c r="P141" s="760"/>
      <c r="Q141" s="760"/>
      <c r="R141" s="760"/>
      <c r="S141" s="760"/>
      <c r="T141" s="760"/>
      <c r="U141" s="760"/>
      <c r="V141" s="760"/>
      <c r="W141" s="760"/>
      <c r="X141" s="760"/>
      <c r="Y141" s="760"/>
      <c r="Z141" s="760"/>
      <c r="AA141" s="760"/>
      <c r="AB141" s="760"/>
      <c r="AC141" s="760"/>
      <c r="AD141" s="760"/>
      <c r="AE141" s="761"/>
      <c r="AF141" s="761"/>
      <c r="AG141" s="761"/>
      <c r="AH141" s="761"/>
      <c r="AI141" s="761"/>
      <c r="AJ141" s="761"/>
      <c r="AK141" s="761"/>
      <c r="AL141" s="761"/>
      <c r="AM141" s="761"/>
      <c r="AN141" s="761"/>
      <c r="AO141" s="761"/>
      <c r="AP141" s="761"/>
      <c r="AQ141" s="761"/>
      <c r="AR141" s="761"/>
      <c r="AS141" s="761"/>
      <c r="AT141" s="761"/>
      <c r="AU141" s="761"/>
      <c r="AV141" s="761"/>
      <c r="AW141" s="761"/>
      <c r="AX141" s="761"/>
      <c r="AY141" s="761"/>
      <c r="AZ141" s="761"/>
      <c r="BA141" s="761"/>
      <c r="BB141" s="761"/>
      <c r="BC141" s="761"/>
      <c r="BD141" s="761"/>
      <c r="BE141" s="761"/>
      <c r="BF141" s="761"/>
      <c r="BG141" s="761"/>
      <c r="BH141" s="761"/>
      <c r="BI141" s="761"/>
      <c r="BJ141" s="761"/>
      <c r="BK141" s="761"/>
      <c r="BL141" s="761"/>
      <c r="BM141" s="761"/>
      <c r="BN141" s="761"/>
      <c r="BO141" s="761"/>
      <c r="BP141" s="761"/>
      <c r="BQ141" s="761"/>
      <c r="BR141" s="761"/>
      <c r="BS141" s="762">
        <f t="shared" si="43"/>
        <v>130000000</v>
      </c>
      <c r="BT141" s="762">
        <v>129932703</v>
      </c>
      <c r="BU141" s="762">
        <v>127377913</v>
      </c>
      <c r="BV141" s="762">
        <v>127245449</v>
      </c>
      <c r="BW141" s="761"/>
      <c r="BX141" s="761"/>
      <c r="BY141" s="761"/>
      <c r="BZ141" s="761"/>
      <c r="CA141" s="761"/>
      <c r="CB141" s="761"/>
      <c r="CC141" s="761"/>
      <c r="CD141" s="761"/>
      <c r="CE141" s="761"/>
      <c r="CF141" s="761"/>
      <c r="CG141" s="761"/>
      <c r="CH141" s="761"/>
      <c r="CI141" s="761"/>
      <c r="CJ141" s="761"/>
      <c r="CK141" s="761"/>
      <c r="CL141" s="761"/>
      <c r="CM141" s="761"/>
      <c r="CN141" s="761"/>
      <c r="CO141" s="761"/>
      <c r="CP141" s="761"/>
      <c r="CQ141" s="761"/>
      <c r="CR141" s="761"/>
      <c r="CS141" s="761"/>
      <c r="CT141" s="761"/>
      <c r="CU141" s="1891">
        <f t="shared" si="44"/>
        <v>130000000</v>
      </c>
      <c r="CV141" s="1891">
        <f t="shared" si="45"/>
        <v>129932703</v>
      </c>
      <c r="CW141" s="1891">
        <f t="shared" si="46"/>
        <v>127377913</v>
      </c>
      <c r="CX141" s="1891">
        <f t="shared" si="47"/>
        <v>127245449</v>
      </c>
      <c r="CY141" s="1892">
        <v>122646342</v>
      </c>
      <c r="CZ141" s="1893">
        <v>51398038</v>
      </c>
      <c r="DA141" s="1894">
        <v>51398038</v>
      </c>
      <c r="DB141" s="816">
        <f t="shared" si="48"/>
        <v>7286361</v>
      </c>
      <c r="DC141" s="816">
        <f t="shared" si="48"/>
        <v>75979875</v>
      </c>
      <c r="DD141" s="816">
        <f t="shared" si="48"/>
        <v>75847411</v>
      </c>
    </row>
    <row r="142" spans="1:108" ht="189">
      <c r="A142" s="772" t="s">
        <v>1430</v>
      </c>
      <c r="B142" s="759">
        <v>102500000</v>
      </c>
      <c r="C142" s="761"/>
      <c r="D142" s="761"/>
      <c r="E142" s="761"/>
      <c r="F142" s="761"/>
      <c r="G142" s="760"/>
      <c r="H142" s="760"/>
      <c r="I142" s="760"/>
      <c r="J142" s="760"/>
      <c r="K142" s="760"/>
      <c r="L142" s="760"/>
      <c r="M142" s="760"/>
      <c r="N142" s="760"/>
      <c r="O142" s="760"/>
      <c r="P142" s="760"/>
      <c r="Q142" s="760"/>
      <c r="R142" s="760"/>
      <c r="S142" s="760"/>
      <c r="T142" s="760"/>
      <c r="U142" s="760"/>
      <c r="V142" s="760"/>
      <c r="W142" s="760"/>
      <c r="X142" s="760"/>
      <c r="Y142" s="760"/>
      <c r="Z142" s="760"/>
      <c r="AA142" s="760"/>
      <c r="AB142" s="760"/>
      <c r="AC142" s="760"/>
      <c r="AD142" s="760"/>
      <c r="AE142" s="761"/>
      <c r="AF142" s="761"/>
      <c r="AG142" s="761"/>
      <c r="AH142" s="761"/>
      <c r="AI142" s="761"/>
      <c r="AJ142" s="761"/>
      <c r="AK142" s="761"/>
      <c r="AL142" s="761"/>
      <c r="AM142" s="761"/>
      <c r="AN142" s="761"/>
      <c r="AO142" s="761"/>
      <c r="AP142" s="761"/>
      <c r="AQ142" s="761"/>
      <c r="AR142" s="761"/>
      <c r="AS142" s="761"/>
      <c r="AT142" s="761"/>
      <c r="AU142" s="761"/>
      <c r="AV142" s="761"/>
      <c r="AW142" s="761"/>
      <c r="AX142" s="761"/>
      <c r="AY142" s="761"/>
      <c r="AZ142" s="761"/>
      <c r="BA142" s="761"/>
      <c r="BB142" s="761"/>
      <c r="BC142" s="761"/>
      <c r="BD142" s="761"/>
      <c r="BE142" s="761"/>
      <c r="BF142" s="761"/>
      <c r="BG142" s="761"/>
      <c r="BH142" s="761"/>
      <c r="BI142" s="761"/>
      <c r="BJ142" s="761"/>
      <c r="BK142" s="761"/>
      <c r="BL142" s="761"/>
      <c r="BM142" s="761"/>
      <c r="BN142" s="761"/>
      <c r="BO142" s="761"/>
      <c r="BP142" s="761"/>
      <c r="BQ142" s="761"/>
      <c r="BR142" s="761"/>
      <c r="BS142" s="762">
        <f t="shared" si="43"/>
        <v>102500000</v>
      </c>
      <c r="BT142" s="762">
        <v>102447239</v>
      </c>
      <c r="BU142" s="762">
        <v>100744758</v>
      </c>
      <c r="BV142" s="762">
        <v>96780592</v>
      </c>
      <c r="BW142" s="761"/>
      <c r="BX142" s="761"/>
      <c r="BY142" s="761"/>
      <c r="BZ142" s="761"/>
      <c r="CA142" s="761"/>
      <c r="CB142" s="761"/>
      <c r="CC142" s="761"/>
      <c r="CD142" s="761"/>
      <c r="CE142" s="761"/>
      <c r="CF142" s="761"/>
      <c r="CG142" s="761"/>
      <c r="CH142" s="761"/>
      <c r="CI142" s="761"/>
      <c r="CJ142" s="761"/>
      <c r="CK142" s="761"/>
      <c r="CL142" s="761"/>
      <c r="CM142" s="761"/>
      <c r="CN142" s="761"/>
      <c r="CO142" s="761"/>
      <c r="CP142" s="761"/>
      <c r="CQ142" s="761"/>
      <c r="CR142" s="761"/>
      <c r="CS142" s="761"/>
      <c r="CT142" s="761"/>
      <c r="CU142" s="1891">
        <f t="shared" si="44"/>
        <v>102500000</v>
      </c>
      <c r="CV142" s="1891">
        <f t="shared" si="45"/>
        <v>102447239</v>
      </c>
      <c r="CW142" s="1891">
        <f t="shared" si="46"/>
        <v>100744758</v>
      </c>
      <c r="CX142" s="1891">
        <f t="shared" si="47"/>
        <v>96780592</v>
      </c>
      <c r="CY142" s="1892">
        <v>96734732</v>
      </c>
      <c r="CZ142" s="1893">
        <v>32266461</v>
      </c>
      <c r="DA142" s="1894">
        <v>20766461</v>
      </c>
      <c r="DB142" s="816">
        <f t="shared" si="48"/>
        <v>5712507</v>
      </c>
      <c r="DC142" s="816">
        <f t="shared" si="48"/>
        <v>68478297</v>
      </c>
      <c r="DD142" s="816">
        <f t="shared" si="48"/>
        <v>76014131</v>
      </c>
    </row>
    <row r="143" spans="1:108" ht="63">
      <c r="A143" s="772" t="s">
        <v>1431</v>
      </c>
      <c r="B143" s="759">
        <v>50000000</v>
      </c>
      <c r="C143" s="761"/>
      <c r="D143" s="761"/>
      <c r="E143" s="761"/>
      <c r="F143" s="761"/>
      <c r="G143" s="760"/>
      <c r="H143" s="760"/>
      <c r="I143" s="760"/>
      <c r="J143" s="760"/>
      <c r="K143" s="760"/>
      <c r="L143" s="760"/>
      <c r="M143" s="760"/>
      <c r="N143" s="760"/>
      <c r="O143" s="760"/>
      <c r="P143" s="760"/>
      <c r="Q143" s="760"/>
      <c r="R143" s="760"/>
      <c r="S143" s="760"/>
      <c r="T143" s="760"/>
      <c r="U143" s="760"/>
      <c r="V143" s="760"/>
      <c r="W143" s="760"/>
      <c r="X143" s="760"/>
      <c r="Y143" s="760"/>
      <c r="Z143" s="760"/>
      <c r="AA143" s="760"/>
      <c r="AB143" s="760"/>
      <c r="AC143" s="760"/>
      <c r="AD143" s="760"/>
      <c r="AE143" s="761"/>
      <c r="AF143" s="761"/>
      <c r="AG143" s="761"/>
      <c r="AH143" s="761"/>
      <c r="AI143" s="761"/>
      <c r="AJ143" s="761"/>
      <c r="AK143" s="761"/>
      <c r="AL143" s="761"/>
      <c r="AM143" s="761"/>
      <c r="AN143" s="761"/>
      <c r="AO143" s="761"/>
      <c r="AP143" s="761"/>
      <c r="AQ143" s="761"/>
      <c r="AR143" s="761"/>
      <c r="AS143" s="761"/>
      <c r="AT143" s="761"/>
      <c r="AU143" s="761"/>
      <c r="AV143" s="761"/>
      <c r="AW143" s="761"/>
      <c r="AX143" s="761"/>
      <c r="AY143" s="761"/>
      <c r="AZ143" s="761"/>
      <c r="BA143" s="761"/>
      <c r="BB143" s="761"/>
      <c r="BC143" s="761"/>
      <c r="BD143" s="761"/>
      <c r="BE143" s="761"/>
      <c r="BF143" s="761"/>
      <c r="BG143" s="761"/>
      <c r="BH143" s="761"/>
      <c r="BI143" s="761"/>
      <c r="BJ143" s="761"/>
      <c r="BK143" s="761"/>
      <c r="BL143" s="761"/>
      <c r="BM143" s="761"/>
      <c r="BN143" s="761"/>
      <c r="BO143" s="761"/>
      <c r="BP143" s="761"/>
      <c r="BQ143" s="761"/>
      <c r="BR143" s="761"/>
      <c r="BS143" s="779">
        <f t="shared" si="43"/>
        <v>50000000</v>
      </c>
      <c r="BT143" s="779">
        <v>49517290</v>
      </c>
      <c r="BU143" s="779">
        <v>42800491</v>
      </c>
      <c r="BV143" s="779">
        <v>42800491</v>
      </c>
      <c r="BW143" s="761"/>
      <c r="BX143" s="761"/>
      <c r="BY143" s="761"/>
      <c r="BZ143" s="761"/>
      <c r="CA143" s="761"/>
      <c r="CB143" s="761"/>
      <c r="CC143" s="761"/>
      <c r="CD143" s="761"/>
      <c r="CE143" s="761"/>
      <c r="CF143" s="761"/>
      <c r="CG143" s="761"/>
      <c r="CH143" s="761"/>
      <c r="CI143" s="761"/>
      <c r="CJ143" s="761"/>
      <c r="CK143" s="761"/>
      <c r="CL143" s="761"/>
      <c r="CM143" s="761"/>
      <c r="CN143" s="761"/>
      <c r="CO143" s="761"/>
      <c r="CP143" s="761"/>
      <c r="CQ143" s="761"/>
      <c r="CR143" s="761"/>
      <c r="CS143" s="761"/>
      <c r="CT143" s="761"/>
      <c r="CU143" s="1891">
        <f t="shared" si="44"/>
        <v>50000000</v>
      </c>
      <c r="CV143" s="1891">
        <f t="shared" si="45"/>
        <v>49517290</v>
      </c>
      <c r="CW143" s="1891">
        <f t="shared" si="46"/>
        <v>42800491</v>
      </c>
      <c r="CX143" s="1891">
        <f t="shared" si="47"/>
        <v>42800491</v>
      </c>
      <c r="CY143" s="1892">
        <v>47176195</v>
      </c>
      <c r="CZ143" s="1893">
        <v>37767246</v>
      </c>
      <c r="DA143" s="1894">
        <v>37767246</v>
      </c>
      <c r="DB143" s="816">
        <f t="shared" si="48"/>
        <v>2341095</v>
      </c>
      <c r="DC143" s="816">
        <f t="shared" si="48"/>
        <v>5033245</v>
      </c>
      <c r="DD143" s="816">
        <f t="shared" si="48"/>
        <v>5033245</v>
      </c>
    </row>
    <row r="144" spans="1:108" ht="63">
      <c r="A144" s="772" t="s">
        <v>1432</v>
      </c>
      <c r="B144" s="759">
        <v>50000000</v>
      </c>
      <c r="C144" s="761"/>
      <c r="D144" s="761"/>
      <c r="E144" s="761"/>
      <c r="F144" s="761"/>
      <c r="G144" s="760"/>
      <c r="H144" s="760"/>
      <c r="I144" s="760"/>
      <c r="J144" s="760"/>
      <c r="K144" s="760"/>
      <c r="L144" s="760"/>
      <c r="M144" s="760"/>
      <c r="N144" s="760"/>
      <c r="O144" s="760"/>
      <c r="P144" s="760"/>
      <c r="Q144" s="760"/>
      <c r="R144" s="760"/>
      <c r="S144" s="760"/>
      <c r="T144" s="760"/>
      <c r="U144" s="760"/>
      <c r="V144" s="760"/>
      <c r="W144" s="760"/>
      <c r="X144" s="760"/>
      <c r="Y144" s="760"/>
      <c r="Z144" s="760"/>
      <c r="AA144" s="760"/>
      <c r="AB144" s="760"/>
      <c r="AC144" s="760"/>
      <c r="AD144" s="760"/>
      <c r="AE144" s="761"/>
      <c r="AF144" s="761"/>
      <c r="AG144" s="761"/>
      <c r="AH144" s="761"/>
      <c r="AI144" s="761"/>
      <c r="AJ144" s="761"/>
      <c r="AK144" s="761"/>
      <c r="AL144" s="761"/>
      <c r="AM144" s="761"/>
      <c r="AN144" s="761"/>
      <c r="AO144" s="761"/>
      <c r="AP144" s="761"/>
      <c r="AQ144" s="761"/>
      <c r="AR144" s="761"/>
      <c r="AS144" s="761"/>
      <c r="AT144" s="761"/>
      <c r="AU144" s="761"/>
      <c r="AV144" s="761"/>
      <c r="AW144" s="761"/>
      <c r="AX144" s="761"/>
      <c r="AY144" s="761"/>
      <c r="AZ144" s="761"/>
      <c r="BA144" s="761"/>
      <c r="BB144" s="761"/>
      <c r="BC144" s="761"/>
      <c r="BD144" s="761"/>
      <c r="BE144" s="761"/>
      <c r="BF144" s="761"/>
      <c r="BG144" s="761"/>
      <c r="BH144" s="761"/>
      <c r="BI144" s="761"/>
      <c r="BJ144" s="761"/>
      <c r="BK144" s="761"/>
      <c r="BL144" s="761"/>
      <c r="BM144" s="761"/>
      <c r="BN144" s="761"/>
      <c r="BO144" s="761"/>
      <c r="BP144" s="761"/>
      <c r="BQ144" s="761"/>
      <c r="BR144" s="761"/>
      <c r="BS144" s="779">
        <f t="shared" si="43"/>
        <v>50000000</v>
      </c>
      <c r="BT144" s="779">
        <v>49974158</v>
      </c>
      <c r="BU144" s="779">
        <v>48121302</v>
      </c>
      <c r="BV144" s="779">
        <v>47318032</v>
      </c>
      <c r="BW144" s="761"/>
      <c r="BX144" s="761"/>
      <c r="BY144" s="761"/>
      <c r="BZ144" s="761"/>
      <c r="CA144" s="761"/>
      <c r="CB144" s="761"/>
      <c r="CC144" s="761"/>
      <c r="CD144" s="761"/>
      <c r="CE144" s="761"/>
      <c r="CF144" s="761"/>
      <c r="CG144" s="761"/>
      <c r="CH144" s="761"/>
      <c r="CI144" s="761"/>
      <c r="CJ144" s="761"/>
      <c r="CK144" s="761"/>
      <c r="CL144" s="761"/>
      <c r="CM144" s="761"/>
      <c r="CN144" s="761"/>
      <c r="CO144" s="761"/>
      <c r="CP144" s="761"/>
      <c r="CQ144" s="761"/>
      <c r="CR144" s="761"/>
      <c r="CS144" s="761"/>
      <c r="CT144" s="761"/>
      <c r="CU144" s="1891">
        <f t="shared" si="44"/>
        <v>50000000</v>
      </c>
      <c r="CV144" s="1891">
        <f t="shared" si="45"/>
        <v>49974158</v>
      </c>
      <c r="CW144" s="1891">
        <f t="shared" si="46"/>
        <v>48121302</v>
      </c>
      <c r="CX144" s="1891">
        <f t="shared" si="47"/>
        <v>47318032</v>
      </c>
      <c r="CY144" s="1892">
        <v>47176195</v>
      </c>
      <c r="CZ144" s="1893">
        <v>36367246</v>
      </c>
      <c r="DA144" s="1894">
        <v>36367246</v>
      </c>
      <c r="DB144" s="816">
        <f t="shared" si="48"/>
        <v>2797963</v>
      </c>
      <c r="DC144" s="816">
        <f t="shared" si="48"/>
        <v>11754056</v>
      </c>
      <c r="DD144" s="816">
        <f t="shared" si="48"/>
        <v>10950786</v>
      </c>
    </row>
    <row r="145" spans="1:108" ht="63">
      <c r="A145" s="772" t="s">
        <v>681</v>
      </c>
      <c r="B145" s="759">
        <v>50000000</v>
      </c>
      <c r="C145" s="761"/>
      <c r="D145" s="761"/>
      <c r="E145" s="761"/>
      <c r="F145" s="761"/>
      <c r="G145" s="760"/>
      <c r="H145" s="760"/>
      <c r="I145" s="760"/>
      <c r="J145" s="760"/>
      <c r="K145" s="760"/>
      <c r="L145" s="760"/>
      <c r="M145" s="760"/>
      <c r="N145" s="760"/>
      <c r="O145" s="760"/>
      <c r="P145" s="760"/>
      <c r="Q145" s="760"/>
      <c r="R145" s="760"/>
      <c r="S145" s="760"/>
      <c r="T145" s="760"/>
      <c r="U145" s="760"/>
      <c r="V145" s="760"/>
      <c r="W145" s="760"/>
      <c r="X145" s="760"/>
      <c r="Y145" s="760"/>
      <c r="Z145" s="760"/>
      <c r="AA145" s="760"/>
      <c r="AB145" s="760"/>
      <c r="AC145" s="760"/>
      <c r="AD145" s="760"/>
      <c r="AE145" s="761"/>
      <c r="AF145" s="761"/>
      <c r="AG145" s="761"/>
      <c r="AH145" s="761"/>
      <c r="AI145" s="761"/>
      <c r="AJ145" s="761"/>
      <c r="AK145" s="761"/>
      <c r="AL145" s="761"/>
      <c r="AM145" s="761"/>
      <c r="AN145" s="761"/>
      <c r="AO145" s="761"/>
      <c r="AP145" s="761"/>
      <c r="AQ145" s="761"/>
      <c r="AR145" s="761"/>
      <c r="AS145" s="761"/>
      <c r="AT145" s="761"/>
      <c r="AU145" s="761"/>
      <c r="AV145" s="761"/>
      <c r="AW145" s="761"/>
      <c r="AX145" s="761"/>
      <c r="AY145" s="761"/>
      <c r="AZ145" s="761"/>
      <c r="BA145" s="761"/>
      <c r="BB145" s="761"/>
      <c r="BC145" s="761"/>
      <c r="BD145" s="761"/>
      <c r="BE145" s="761"/>
      <c r="BF145" s="761"/>
      <c r="BG145" s="761"/>
      <c r="BH145" s="761"/>
      <c r="BI145" s="761"/>
      <c r="BJ145" s="761"/>
      <c r="BK145" s="761"/>
      <c r="BL145" s="761"/>
      <c r="BM145" s="761"/>
      <c r="BN145" s="761"/>
      <c r="BO145" s="761"/>
      <c r="BP145" s="761"/>
      <c r="BQ145" s="761"/>
      <c r="BR145" s="761"/>
      <c r="BS145" s="779">
        <f t="shared" si="43"/>
        <v>50000000</v>
      </c>
      <c r="BT145" s="779">
        <v>49974158</v>
      </c>
      <c r="BU145" s="779">
        <v>45099695</v>
      </c>
      <c r="BV145" s="779">
        <v>44921225</v>
      </c>
      <c r="BW145" s="761"/>
      <c r="BX145" s="761"/>
      <c r="BY145" s="761"/>
      <c r="BZ145" s="761"/>
      <c r="CA145" s="761"/>
      <c r="CB145" s="761"/>
      <c r="CC145" s="761"/>
      <c r="CD145" s="761"/>
      <c r="CE145" s="761"/>
      <c r="CF145" s="761"/>
      <c r="CG145" s="761"/>
      <c r="CH145" s="761"/>
      <c r="CI145" s="761"/>
      <c r="CJ145" s="761"/>
      <c r="CK145" s="761"/>
      <c r="CL145" s="761"/>
      <c r="CM145" s="761"/>
      <c r="CN145" s="761"/>
      <c r="CO145" s="761"/>
      <c r="CP145" s="761"/>
      <c r="CQ145" s="761"/>
      <c r="CR145" s="761"/>
      <c r="CS145" s="761"/>
      <c r="CT145" s="761"/>
      <c r="CU145" s="1891">
        <f t="shared" si="44"/>
        <v>50000000</v>
      </c>
      <c r="CV145" s="1891">
        <f t="shared" si="45"/>
        <v>49974158</v>
      </c>
      <c r="CW145" s="1891">
        <f t="shared" si="46"/>
        <v>45099695</v>
      </c>
      <c r="CX145" s="1891">
        <f t="shared" si="47"/>
        <v>44921225</v>
      </c>
      <c r="CY145" s="1892">
        <v>47176195</v>
      </c>
      <c r="CZ145" s="1893">
        <v>26667246</v>
      </c>
      <c r="DA145" s="1894">
        <v>26667246</v>
      </c>
      <c r="DB145" s="816">
        <f t="shared" si="48"/>
        <v>2797963</v>
      </c>
      <c r="DC145" s="816">
        <f t="shared" si="48"/>
        <v>18432449</v>
      </c>
      <c r="DD145" s="816">
        <f t="shared" si="48"/>
        <v>18253979</v>
      </c>
    </row>
    <row r="146" spans="1:108" ht="63">
      <c r="A146" s="772" t="s">
        <v>682</v>
      </c>
      <c r="B146" s="759">
        <v>50000000</v>
      </c>
      <c r="C146" s="761"/>
      <c r="D146" s="761"/>
      <c r="E146" s="761"/>
      <c r="F146" s="761"/>
      <c r="G146" s="760"/>
      <c r="H146" s="760"/>
      <c r="I146" s="760"/>
      <c r="J146" s="760"/>
      <c r="K146" s="760"/>
      <c r="L146" s="760"/>
      <c r="M146" s="760"/>
      <c r="N146" s="760"/>
      <c r="O146" s="760"/>
      <c r="P146" s="760"/>
      <c r="Q146" s="760"/>
      <c r="R146" s="760"/>
      <c r="S146" s="760"/>
      <c r="T146" s="760"/>
      <c r="U146" s="760"/>
      <c r="V146" s="760"/>
      <c r="W146" s="760"/>
      <c r="X146" s="760"/>
      <c r="Y146" s="760"/>
      <c r="Z146" s="760"/>
      <c r="AA146" s="760"/>
      <c r="AB146" s="760"/>
      <c r="AC146" s="760"/>
      <c r="AD146" s="760"/>
      <c r="AE146" s="761"/>
      <c r="AF146" s="761"/>
      <c r="AG146" s="761"/>
      <c r="AH146" s="761"/>
      <c r="AI146" s="761"/>
      <c r="AJ146" s="761"/>
      <c r="AK146" s="761"/>
      <c r="AL146" s="761"/>
      <c r="AM146" s="761"/>
      <c r="AN146" s="761"/>
      <c r="AO146" s="761"/>
      <c r="AP146" s="761"/>
      <c r="AQ146" s="761"/>
      <c r="AR146" s="761"/>
      <c r="AS146" s="761"/>
      <c r="AT146" s="761"/>
      <c r="AU146" s="761"/>
      <c r="AV146" s="761"/>
      <c r="AW146" s="761"/>
      <c r="AX146" s="761"/>
      <c r="AY146" s="761"/>
      <c r="AZ146" s="761"/>
      <c r="BA146" s="761"/>
      <c r="BB146" s="761"/>
      <c r="BC146" s="761"/>
      <c r="BD146" s="761"/>
      <c r="BE146" s="761"/>
      <c r="BF146" s="761"/>
      <c r="BG146" s="761"/>
      <c r="BH146" s="761"/>
      <c r="BI146" s="761"/>
      <c r="BJ146" s="761"/>
      <c r="BK146" s="761"/>
      <c r="BL146" s="761"/>
      <c r="BM146" s="761"/>
      <c r="BN146" s="761"/>
      <c r="BO146" s="761"/>
      <c r="BP146" s="761"/>
      <c r="BQ146" s="761"/>
      <c r="BR146" s="761"/>
      <c r="BS146" s="762">
        <f t="shared" si="43"/>
        <v>50000000</v>
      </c>
      <c r="BT146" s="762">
        <v>48189444</v>
      </c>
      <c r="BU146" s="762">
        <v>40343942</v>
      </c>
      <c r="BV146" s="762">
        <v>39849075</v>
      </c>
      <c r="BW146" s="761"/>
      <c r="BX146" s="761"/>
      <c r="BY146" s="761"/>
      <c r="BZ146" s="761"/>
      <c r="CA146" s="761"/>
      <c r="CB146" s="761"/>
      <c r="CC146" s="761"/>
      <c r="CD146" s="761"/>
      <c r="CE146" s="761"/>
      <c r="CF146" s="761"/>
      <c r="CG146" s="761"/>
      <c r="CH146" s="761"/>
      <c r="CI146" s="761"/>
      <c r="CJ146" s="761"/>
      <c r="CK146" s="761"/>
      <c r="CL146" s="761"/>
      <c r="CM146" s="761"/>
      <c r="CN146" s="761"/>
      <c r="CO146" s="761"/>
      <c r="CP146" s="761"/>
      <c r="CQ146" s="761"/>
      <c r="CR146" s="761"/>
      <c r="CS146" s="761"/>
      <c r="CT146" s="761"/>
      <c r="CU146" s="1891">
        <f t="shared" si="44"/>
        <v>50000000</v>
      </c>
      <c r="CV146" s="1891">
        <f t="shared" si="45"/>
        <v>48189444</v>
      </c>
      <c r="CW146" s="1891">
        <f t="shared" si="46"/>
        <v>40343942</v>
      </c>
      <c r="CX146" s="1891">
        <f t="shared" si="47"/>
        <v>39849075</v>
      </c>
      <c r="CY146" s="1892">
        <v>36376195</v>
      </c>
      <c r="CZ146" s="1893">
        <v>16767246</v>
      </c>
      <c r="DA146" s="1894">
        <v>16767246</v>
      </c>
      <c r="DB146" s="816">
        <f t="shared" si="48"/>
        <v>11813249</v>
      </c>
      <c r="DC146" s="816">
        <f t="shared" si="48"/>
        <v>23576696</v>
      </c>
      <c r="DD146" s="816">
        <f t="shared" si="48"/>
        <v>23081829</v>
      </c>
    </row>
    <row r="147" spans="1:108" ht="78.75">
      <c r="A147" s="772" t="s">
        <v>1433</v>
      </c>
      <c r="B147" s="759">
        <v>85000000</v>
      </c>
      <c r="C147" s="761"/>
      <c r="D147" s="761"/>
      <c r="E147" s="761"/>
      <c r="F147" s="761"/>
      <c r="G147" s="760"/>
      <c r="H147" s="760"/>
      <c r="I147" s="760"/>
      <c r="J147" s="760"/>
      <c r="K147" s="760"/>
      <c r="L147" s="760"/>
      <c r="M147" s="760"/>
      <c r="N147" s="760"/>
      <c r="O147" s="760"/>
      <c r="P147" s="760"/>
      <c r="Q147" s="760"/>
      <c r="R147" s="760"/>
      <c r="S147" s="760"/>
      <c r="T147" s="760"/>
      <c r="U147" s="760"/>
      <c r="V147" s="760"/>
      <c r="W147" s="760"/>
      <c r="X147" s="760"/>
      <c r="Y147" s="760"/>
      <c r="Z147" s="760"/>
      <c r="AA147" s="760"/>
      <c r="AB147" s="760"/>
      <c r="AC147" s="760"/>
      <c r="AD147" s="760"/>
      <c r="AE147" s="761"/>
      <c r="AF147" s="761"/>
      <c r="AG147" s="761"/>
      <c r="AH147" s="761"/>
      <c r="AI147" s="761"/>
      <c r="AJ147" s="761"/>
      <c r="AK147" s="761"/>
      <c r="AL147" s="761"/>
      <c r="AM147" s="761"/>
      <c r="AN147" s="761"/>
      <c r="AO147" s="761"/>
      <c r="AP147" s="761"/>
      <c r="AQ147" s="761"/>
      <c r="AR147" s="761"/>
      <c r="AS147" s="761"/>
      <c r="AT147" s="761"/>
      <c r="AU147" s="761"/>
      <c r="AV147" s="761"/>
      <c r="AW147" s="761"/>
      <c r="AX147" s="761"/>
      <c r="AY147" s="761"/>
      <c r="AZ147" s="761"/>
      <c r="BA147" s="761"/>
      <c r="BB147" s="761"/>
      <c r="BC147" s="761"/>
      <c r="BD147" s="761"/>
      <c r="BE147" s="761"/>
      <c r="BF147" s="761"/>
      <c r="BG147" s="761"/>
      <c r="BH147" s="761"/>
      <c r="BI147" s="761"/>
      <c r="BJ147" s="761"/>
      <c r="BK147" s="761"/>
      <c r="BL147" s="761"/>
      <c r="BM147" s="761"/>
      <c r="BN147" s="761"/>
      <c r="BO147" s="761"/>
      <c r="BP147" s="761"/>
      <c r="BQ147" s="761"/>
      <c r="BR147" s="761"/>
      <c r="BS147" s="762">
        <f t="shared" si="43"/>
        <v>85000000</v>
      </c>
      <c r="BT147" s="762">
        <v>83877190</v>
      </c>
      <c r="BU147" s="762">
        <v>79597592</v>
      </c>
      <c r="BV147" s="762">
        <v>71942464</v>
      </c>
      <c r="BW147" s="761"/>
      <c r="BX147" s="761"/>
      <c r="BY147" s="761"/>
      <c r="BZ147" s="761"/>
      <c r="CA147" s="761"/>
      <c r="CB147" s="761"/>
      <c r="CC147" s="761"/>
      <c r="CD147" s="761"/>
      <c r="CE147" s="761"/>
      <c r="CF147" s="761"/>
      <c r="CG147" s="761"/>
      <c r="CH147" s="761"/>
      <c r="CI147" s="761"/>
      <c r="CJ147" s="761"/>
      <c r="CK147" s="761"/>
      <c r="CL147" s="761"/>
      <c r="CM147" s="761"/>
      <c r="CN147" s="761"/>
      <c r="CO147" s="761"/>
      <c r="CP147" s="761"/>
      <c r="CQ147" s="761"/>
      <c r="CR147" s="761"/>
      <c r="CS147" s="761"/>
      <c r="CT147" s="761"/>
      <c r="CU147" s="1891">
        <f t="shared" si="44"/>
        <v>85000000</v>
      </c>
      <c r="CV147" s="1891">
        <f t="shared" si="45"/>
        <v>83877190</v>
      </c>
      <c r="CW147" s="1891">
        <f t="shared" si="46"/>
        <v>79597592</v>
      </c>
      <c r="CX147" s="1891">
        <f t="shared" si="47"/>
        <v>71942464</v>
      </c>
      <c r="CY147" s="1892">
        <v>57834828</v>
      </c>
      <c r="CZ147" s="1893">
        <v>45473793</v>
      </c>
      <c r="DA147" s="1894">
        <v>45473793</v>
      </c>
      <c r="DB147" s="816">
        <f t="shared" si="48"/>
        <v>26042362</v>
      </c>
      <c r="DC147" s="816">
        <f t="shared" si="48"/>
        <v>34123799</v>
      </c>
      <c r="DD147" s="816">
        <f t="shared" si="48"/>
        <v>26468671</v>
      </c>
    </row>
    <row r="148" spans="1:108" s="765" customFormat="1" ht="78.75">
      <c r="A148" s="772" t="s">
        <v>684</v>
      </c>
      <c r="B148" s="759">
        <v>125000000</v>
      </c>
      <c r="C148" s="764"/>
      <c r="D148" s="764"/>
      <c r="E148" s="764"/>
      <c r="F148" s="764"/>
      <c r="G148" s="764"/>
      <c r="H148" s="764"/>
      <c r="I148" s="764"/>
      <c r="J148" s="764"/>
      <c r="K148" s="764"/>
      <c r="L148" s="764"/>
      <c r="M148" s="764"/>
      <c r="N148" s="764"/>
      <c r="O148" s="764"/>
      <c r="P148" s="764"/>
      <c r="Q148" s="764"/>
      <c r="R148" s="764"/>
      <c r="S148" s="764"/>
      <c r="T148" s="764"/>
      <c r="U148" s="764"/>
      <c r="V148" s="764"/>
      <c r="W148" s="764"/>
      <c r="X148" s="764"/>
      <c r="Y148" s="764"/>
      <c r="Z148" s="764"/>
      <c r="AA148" s="764"/>
      <c r="AB148" s="764"/>
      <c r="AC148" s="764"/>
      <c r="AD148" s="764"/>
      <c r="AE148" s="764"/>
      <c r="AF148" s="764"/>
      <c r="AG148" s="764"/>
      <c r="AH148" s="764"/>
      <c r="AI148" s="764"/>
      <c r="AJ148" s="764"/>
      <c r="AK148" s="764"/>
      <c r="AL148" s="764"/>
      <c r="AM148" s="764"/>
      <c r="AN148" s="764"/>
      <c r="AO148" s="764"/>
      <c r="AP148" s="764"/>
      <c r="AQ148" s="764"/>
      <c r="AR148" s="764"/>
      <c r="AS148" s="764"/>
      <c r="AT148" s="764"/>
      <c r="AU148" s="764"/>
      <c r="AV148" s="764"/>
      <c r="AW148" s="764"/>
      <c r="AX148" s="764"/>
      <c r="AY148" s="764"/>
      <c r="AZ148" s="764"/>
      <c r="BA148" s="764"/>
      <c r="BB148" s="764"/>
      <c r="BC148" s="764"/>
      <c r="BD148" s="764"/>
      <c r="BE148" s="764"/>
      <c r="BF148" s="764"/>
      <c r="BG148" s="764"/>
      <c r="BH148" s="764"/>
      <c r="BI148" s="764"/>
      <c r="BJ148" s="764"/>
      <c r="BK148" s="764"/>
      <c r="BL148" s="764"/>
      <c r="BM148" s="764"/>
      <c r="BN148" s="764"/>
      <c r="BO148" s="764"/>
      <c r="BP148" s="764"/>
      <c r="BQ148" s="764"/>
      <c r="BR148" s="764"/>
      <c r="BS148" s="762">
        <f t="shared" si="43"/>
        <v>125000000</v>
      </c>
      <c r="BT148" s="762">
        <v>124935395</v>
      </c>
      <c r="BU148" s="762">
        <v>106661407.90000001</v>
      </c>
      <c r="BV148" s="762">
        <v>105970591.90000001</v>
      </c>
      <c r="BW148" s="764"/>
      <c r="BX148" s="764"/>
      <c r="BY148" s="764"/>
      <c r="BZ148" s="764"/>
      <c r="CA148" s="764"/>
      <c r="CB148" s="764"/>
      <c r="CC148" s="764"/>
      <c r="CD148" s="764"/>
      <c r="CE148" s="764"/>
      <c r="CF148" s="764"/>
      <c r="CG148" s="764"/>
      <c r="CH148" s="764"/>
      <c r="CI148" s="764"/>
      <c r="CJ148" s="764"/>
      <c r="CK148" s="764"/>
      <c r="CL148" s="764"/>
      <c r="CM148" s="764"/>
      <c r="CN148" s="764"/>
      <c r="CO148" s="764"/>
      <c r="CP148" s="764"/>
      <c r="CQ148" s="764"/>
      <c r="CR148" s="764"/>
      <c r="CS148" s="764"/>
      <c r="CT148" s="764"/>
      <c r="CU148" s="1891">
        <f t="shared" si="44"/>
        <v>125000000</v>
      </c>
      <c r="CV148" s="1891">
        <f t="shared" si="45"/>
        <v>124935395</v>
      </c>
      <c r="CW148" s="1891">
        <f t="shared" si="46"/>
        <v>106661407.90000001</v>
      </c>
      <c r="CX148" s="1891">
        <f t="shared" si="47"/>
        <v>105970591.90000001</v>
      </c>
      <c r="CY148" s="1892">
        <v>117940488</v>
      </c>
      <c r="CZ148" s="1893">
        <v>7511016</v>
      </c>
      <c r="DA148" s="1894">
        <v>7511016</v>
      </c>
      <c r="DB148" s="816">
        <f t="shared" si="48"/>
        <v>6994907</v>
      </c>
      <c r="DC148" s="816">
        <f t="shared" si="48"/>
        <v>99150391.900000006</v>
      </c>
      <c r="DD148" s="816">
        <f t="shared" si="48"/>
        <v>98459575.900000006</v>
      </c>
    </row>
    <row r="149" spans="1:108" ht="63">
      <c r="A149" s="772" t="s">
        <v>1434</v>
      </c>
      <c r="B149" s="759">
        <v>190000000</v>
      </c>
      <c r="C149" s="761"/>
      <c r="D149" s="761"/>
      <c r="E149" s="761"/>
      <c r="F149" s="761"/>
      <c r="G149" s="760"/>
      <c r="H149" s="760"/>
      <c r="I149" s="760"/>
      <c r="J149" s="760"/>
      <c r="K149" s="760"/>
      <c r="L149" s="760"/>
      <c r="M149" s="760"/>
      <c r="N149" s="760"/>
      <c r="O149" s="769"/>
      <c r="P149" s="769"/>
      <c r="Q149" s="769"/>
      <c r="R149" s="769"/>
      <c r="S149" s="777"/>
      <c r="T149" s="777"/>
      <c r="U149" s="777"/>
      <c r="V149" s="777"/>
      <c r="W149" s="760"/>
      <c r="X149" s="760"/>
      <c r="Y149" s="760"/>
      <c r="Z149" s="760"/>
      <c r="AA149" s="760"/>
      <c r="AB149" s="760"/>
      <c r="AC149" s="760"/>
      <c r="AD149" s="760"/>
      <c r="AE149" s="761"/>
      <c r="AF149" s="761"/>
      <c r="AG149" s="761"/>
      <c r="AH149" s="761"/>
      <c r="AI149" s="761"/>
      <c r="AJ149" s="761"/>
      <c r="AK149" s="761"/>
      <c r="AL149" s="761"/>
      <c r="AM149" s="761"/>
      <c r="AN149" s="761"/>
      <c r="AO149" s="761"/>
      <c r="AP149" s="761"/>
      <c r="AQ149" s="761"/>
      <c r="AR149" s="761"/>
      <c r="AS149" s="761"/>
      <c r="AT149" s="761"/>
      <c r="AU149" s="761"/>
      <c r="AV149" s="761"/>
      <c r="AW149" s="761"/>
      <c r="AX149" s="761"/>
      <c r="AY149" s="761"/>
      <c r="AZ149" s="761"/>
      <c r="BA149" s="761"/>
      <c r="BB149" s="761"/>
      <c r="BC149" s="761"/>
      <c r="BD149" s="761"/>
      <c r="BE149" s="761"/>
      <c r="BF149" s="761"/>
      <c r="BG149" s="761"/>
      <c r="BH149" s="761"/>
      <c r="BI149" s="761"/>
      <c r="BJ149" s="761"/>
      <c r="BK149" s="761"/>
      <c r="BL149" s="761"/>
      <c r="BM149" s="761"/>
      <c r="BN149" s="761"/>
      <c r="BO149" s="761"/>
      <c r="BP149" s="761"/>
      <c r="BQ149" s="761"/>
      <c r="BR149" s="761"/>
      <c r="BS149" s="762">
        <f t="shared" si="43"/>
        <v>190000000</v>
      </c>
      <c r="BT149" s="762">
        <v>187984459</v>
      </c>
      <c r="BU149" s="762">
        <v>165461038</v>
      </c>
      <c r="BV149" s="762">
        <v>159884332</v>
      </c>
      <c r="BW149" s="761"/>
      <c r="BX149" s="761"/>
      <c r="BY149" s="761"/>
      <c r="BZ149" s="761"/>
      <c r="CA149" s="761"/>
      <c r="CB149" s="761"/>
      <c r="CC149" s="761"/>
      <c r="CD149" s="761"/>
      <c r="CE149" s="761"/>
      <c r="CF149" s="761"/>
      <c r="CG149" s="761"/>
      <c r="CH149" s="761"/>
      <c r="CI149" s="761"/>
      <c r="CJ149" s="761"/>
      <c r="CK149" s="761"/>
      <c r="CL149" s="761"/>
      <c r="CM149" s="761"/>
      <c r="CN149" s="761"/>
      <c r="CO149" s="761"/>
      <c r="CP149" s="761"/>
      <c r="CQ149" s="761"/>
      <c r="CR149" s="761"/>
      <c r="CS149" s="761"/>
      <c r="CT149" s="761"/>
      <c r="CU149" s="1891">
        <f t="shared" si="44"/>
        <v>190000000</v>
      </c>
      <c r="CV149" s="1891">
        <f t="shared" si="45"/>
        <v>187984459</v>
      </c>
      <c r="CW149" s="1891">
        <f t="shared" si="46"/>
        <v>165461038</v>
      </c>
      <c r="CX149" s="1891">
        <f t="shared" si="47"/>
        <v>159884332</v>
      </c>
      <c r="CY149" s="1892">
        <v>156603488</v>
      </c>
      <c r="CZ149" s="1893">
        <v>110989980</v>
      </c>
      <c r="DA149" s="1894">
        <v>110989980</v>
      </c>
      <c r="DB149" s="816">
        <f t="shared" si="48"/>
        <v>31380971</v>
      </c>
      <c r="DC149" s="816">
        <f t="shared" si="48"/>
        <v>54471058</v>
      </c>
      <c r="DD149" s="816">
        <f t="shared" si="48"/>
        <v>48894352</v>
      </c>
    </row>
    <row r="150" spans="1:108" ht="78.75">
      <c r="A150" s="772" t="s">
        <v>686</v>
      </c>
      <c r="B150" s="759">
        <v>180000000</v>
      </c>
      <c r="C150" s="761"/>
      <c r="D150" s="761"/>
      <c r="E150" s="761"/>
      <c r="F150" s="761"/>
      <c r="G150" s="791"/>
      <c r="H150" s="791"/>
      <c r="I150" s="791"/>
      <c r="J150" s="791"/>
      <c r="K150" s="791"/>
      <c r="L150" s="791"/>
      <c r="M150" s="791"/>
      <c r="N150" s="791"/>
      <c r="O150" s="791"/>
      <c r="P150" s="791"/>
      <c r="Q150" s="791"/>
      <c r="R150" s="791"/>
      <c r="S150" s="760"/>
      <c r="T150" s="760"/>
      <c r="U150" s="760"/>
      <c r="V150" s="760"/>
      <c r="W150" s="760"/>
      <c r="X150" s="760"/>
      <c r="Y150" s="760"/>
      <c r="Z150" s="760"/>
      <c r="AA150" s="760"/>
      <c r="AB150" s="760"/>
      <c r="AC150" s="760"/>
      <c r="AD150" s="760"/>
      <c r="AE150" s="761"/>
      <c r="AF150" s="761"/>
      <c r="AG150" s="761"/>
      <c r="AH150" s="761"/>
      <c r="AI150" s="761"/>
      <c r="AJ150" s="761"/>
      <c r="AK150" s="761"/>
      <c r="AL150" s="761"/>
      <c r="AM150" s="761"/>
      <c r="AN150" s="761"/>
      <c r="AO150" s="761"/>
      <c r="AP150" s="761"/>
      <c r="AQ150" s="761"/>
      <c r="AR150" s="761"/>
      <c r="AS150" s="761"/>
      <c r="AT150" s="761"/>
      <c r="AU150" s="761"/>
      <c r="AV150" s="761"/>
      <c r="AW150" s="761"/>
      <c r="AX150" s="761"/>
      <c r="AY150" s="761"/>
      <c r="AZ150" s="761"/>
      <c r="BA150" s="761"/>
      <c r="BB150" s="761"/>
      <c r="BC150" s="761"/>
      <c r="BD150" s="761"/>
      <c r="BE150" s="761"/>
      <c r="BF150" s="761"/>
      <c r="BG150" s="761"/>
      <c r="BH150" s="761"/>
      <c r="BI150" s="761"/>
      <c r="BJ150" s="761"/>
      <c r="BK150" s="761"/>
      <c r="BL150" s="761"/>
      <c r="BM150" s="761"/>
      <c r="BN150" s="761"/>
      <c r="BO150" s="761"/>
      <c r="BP150" s="761"/>
      <c r="BQ150" s="761"/>
      <c r="BR150" s="761"/>
      <c r="BS150" s="762">
        <f t="shared" si="43"/>
        <v>180000000</v>
      </c>
      <c r="BT150" s="762">
        <v>179908477</v>
      </c>
      <c r="BU150" s="762">
        <v>177267972</v>
      </c>
      <c r="BV150" s="762">
        <v>177266998</v>
      </c>
      <c r="BW150" s="761"/>
      <c r="BX150" s="761"/>
      <c r="BY150" s="761"/>
      <c r="BZ150" s="761"/>
      <c r="CA150" s="761"/>
      <c r="CB150" s="761"/>
      <c r="CC150" s="761"/>
      <c r="CD150" s="761"/>
      <c r="CE150" s="761"/>
      <c r="CF150" s="761"/>
      <c r="CG150" s="761"/>
      <c r="CH150" s="761"/>
      <c r="CI150" s="761"/>
      <c r="CJ150" s="761"/>
      <c r="CK150" s="761"/>
      <c r="CL150" s="761"/>
      <c r="CM150" s="761"/>
      <c r="CN150" s="761"/>
      <c r="CO150" s="761"/>
      <c r="CP150" s="761"/>
      <c r="CQ150" s="761"/>
      <c r="CR150" s="761"/>
      <c r="CS150" s="761"/>
      <c r="CT150" s="761"/>
      <c r="CU150" s="1891">
        <f t="shared" si="44"/>
        <v>180000000</v>
      </c>
      <c r="CV150" s="1891">
        <f t="shared" si="45"/>
        <v>179908477</v>
      </c>
      <c r="CW150" s="1891">
        <f t="shared" si="46"/>
        <v>177267972</v>
      </c>
      <c r="CX150" s="1891">
        <f t="shared" si="47"/>
        <v>177266998</v>
      </c>
      <c r="CY150" s="1892">
        <v>169999026</v>
      </c>
      <c r="CZ150" s="1893">
        <v>122217331</v>
      </c>
      <c r="DA150" s="1894">
        <v>119717331</v>
      </c>
      <c r="DB150" s="816">
        <f t="shared" si="48"/>
        <v>9909451</v>
      </c>
      <c r="DC150" s="816">
        <f t="shared" si="48"/>
        <v>55050641</v>
      </c>
      <c r="DD150" s="816">
        <f t="shared" si="48"/>
        <v>57549667</v>
      </c>
    </row>
    <row r="151" spans="1:108" ht="78.75">
      <c r="A151" s="772" t="s">
        <v>688</v>
      </c>
      <c r="B151" s="759">
        <v>50000000</v>
      </c>
      <c r="C151" s="761"/>
      <c r="D151" s="761"/>
      <c r="E151" s="761"/>
      <c r="F151" s="761"/>
      <c r="G151" s="760"/>
      <c r="H151" s="760"/>
      <c r="I151" s="760"/>
      <c r="J151" s="760"/>
      <c r="K151" s="760"/>
      <c r="L151" s="760"/>
      <c r="M151" s="760"/>
      <c r="N151" s="760"/>
      <c r="O151" s="760"/>
      <c r="P151" s="760"/>
      <c r="Q151" s="760"/>
      <c r="R151" s="760"/>
      <c r="S151" s="760"/>
      <c r="T151" s="760"/>
      <c r="U151" s="760"/>
      <c r="V151" s="760"/>
      <c r="W151" s="760"/>
      <c r="X151" s="760"/>
      <c r="Y151" s="760"/>
      <c r="Z151" s="760"/>
      <c r="AA151" s="760"/>
      <c r="AB151" s="760"/>
      <c r="AC151" s="760"/>
      <c r="AD151" s="760"/>
      <c r="AE151" s="761"/>
      <c r="AF151" s="761"/>
      <c r="AG151" s="761"/>
      <c r="AH151" s="761"/>
      <c r="AI151" s="761"/>
      <c r="AJ151" s="761"/>
      <c r="AK151" s="761"/>
      <c r="AL151" s="761"/>
      <c r="AM151" s="761"/>
      <c r="AN151" s="761"/>
      <c r="AO151" s="761"/>
      <c r="AP151" s="761"/>
      <c r="AQ151" s="761"/>
      <c r="AR151" s="761"/>
      <c r="AS151" s="761"/>
      <c r="AT151" s="761"/>
      <c r="AU151" s="761"/>
      <c r="AV151" s="761"/>
      <c r="AW151" s="761"/>
      <c r="AX151" s="761"/>
      <c r="AY151" s="761"/>
      <c r="AZ151" s="761"/>
      <c r="BA151" s="761"/>
      <c r="BB151" s="761"/>
      <c r="BC151" s="761"/>
      <c r="BD151" s="761"/>
      <c r="BE151" s="761"/>
      <c r="BF151" s="761"/>
      <c r="BG151" s="761"/>
      <c r="BH151" s="761"/>
      <c r="BI151" s="761"/>
      <c r="BJ151" s="761"/>
      <c r="BK151" s="761"/>
      <c r="BL151" s="761"/>
      <c r="BM151" s="761"/>
      <c r="BN151" s="761"/>
      <c r="BO151" s="761"/>
      <c r="BP151" s="761"/>
      <c r="BQ151" s="761"/>
      <c r="BR151" s="761"/>
      <c r="BS151" s="762">
        <f>+B151</f>
        <v>50000000</v>
      </c>
      <c r="BT151" s="762">
        <v>49150353</v>
      </c>
      <c r="BU151" s="762">
        <v>48404799</v>
      </c>
      <c r="BV151" s="762">
        <v>48404799</v>
      </c>
      <c r="BW151" s="761"/>
      <c r="BX151" s="761"/>
      <c r="BY151" s="761"/>
      <c r="BZ151" s="761"/>
      <c r="CA151" s="761"/>
      <c r="CB151" s="761"/>
      <c r="CC151" s="761"/>
      <c r="CD151" s="761"/>
      <c r="CE151" s="761"/>
      <c r="CF151" s="761"/>
      <c r="CG151" s="761"/>
      <c r="CH151" s="761"/>
      <c r="CI151" s="761"/>
      <c r="CJ151" s="761"/>
      <c r="CK151" s="761"/>
      <c r="CL151" s="761"/>
      <c r="CM151" s="761"/>
      <c r="CN151" s="761"/>
      <c r="CO151" s="761"/>
      <c r="CP151" s="761"/>
      <c r="CQ151" s="761"/>
      <c r="CR151" s="761"/>
      <c r="CS151" s="761"/>
      <c r="CT151" s="761"/>
      <c r="CU151" s="1891">
        <f t="shared" si="44"/>
        <v>50000000</v>
      </c>
      <c r="CV151" s="1891">
        <f t="shared" si="45"/>
        <v>49150353</v>
      </c>
      <c r="CW151" s="1891">
        <f t="shared" si="46"/>
        <v>48404799</v>
      </c>
      <c r="CX151" s="1891">
        <f t="shared" si="47"/>
        <v>48404799</v>
      </c>
      <c r="CY151" s="1892">
        <v>47176195</v>
      </c>
      <c r="CZ151" s="1893">
        <v>31617246</v>
      </c>
      <c r="DA151" s="1894">
        <v>31617246</v>
      </c>
      <c r="DB151" s="816">
        <f t="shared" si="48"/>
        <v>1974158</v>
      </c>
      <c r="DC151" s="816">
        <f t="shared" si="48"/>
        <v>16787553</v>
      </c>
      <c r="DD151" s="816">
        <f t="shared" si="48"/>
        <v>16787553</v>
      </c>
    </row>
    <row r="152" spans="1:108" ht="94.5">
      <c r="A152" s="772" t="s">
        <v>689</v>
      </c>
      <c r="B152" s="759">
        <v>80000000</v>
      </c>
      <c r="C152" s="761"/>
      <c r="D152" s="761"/>
      <c r="E152" s="761"/>
      <c r="F152" s="761"/>
      <c r="G152" s="760"/>
      <c r="H152" s="760"/>
      <c r="I152" s="760"/>
      <c r="J152" s="760"/>
      <c r="K152" s="760"/>
      <c r="L152" s="760"/>
      <c r="M152" s="760"/>
      <c r="N152" s="760"/>
      <c r="O152" s="760"/>
      <c r="P152" s="760"/>
      <c r="Q152" s="760"/>
      <c r="R152" s="760"/>
      <c r="S152" s="760"/>
      <c r="T152" s="760"/>
      <c r="U152" s="760"/>
      <c r="V152" s="760"/>
      <c r="W152" s="760"/>
      <c r="X152" s="760"/>
      <c r="Y152" s="760"/>
      <c r="Z152" s="760"/>
      <c r="AA152" s="760"/>
      <c r="AB152" s="760"/>
      <c r="AC152" s="760"/>
      <c r="AD152" s="760"/>
      <c r="AE152" s="761"/>
      <c r="AF152" s="761"/>
      <c r="AG152" s="761"/>
      <c r="AH152" s="761"/>
      <c r="AI152" s="761"/>
      <c r="AJ152" s="761"/>
      <c r="AK152" s="761"/>
      <c r="AL152" s="761"/>
      <c r="AM152" s="761"/>
      <c r="AN152" s="761"/>
      <c r="AO152" s="761"/>
      <c r="AP152" s="761"/>
      <c r="AQ152" s="761"/>
      <c r="AR152" s="761"/>
      <c r="AS152" s="761"/>
      <c r="AT152" s="761"/>
      <c r="AU152" s="761"/>
      <c r="AV152" s="761"/>
      <c r="AW152" s="761"/>
      <c r="AX152" s="761"/>
      <c r="AY152" s="761"/>
      <c r="AZ152" s="761"/>
      <c r="BA152" s="761"/>
      <c r="BB152" s="761"/>
      <c r="BC152" s="761"/>
      <c r="BD152" s="761"/>
      <c r="BE152" s="761"/>
      <c r="BF152" s="761"/>
      <c r="BG152" s="761"/>
      <c r="BH152" s="761"/>
      <c r="BI152" s="761"/>
      <c r="BJ152" s="761"/>
      <c r="BK152" s="761"/>
      <c r="BL152" s="761"/>
      <c r="BM152" s="761"/>
      <c r="BN152" s="761"/>
      <c r="BO152" s="761"/>
      <c r="BP152" s="761"/>
      <c r="BQ152" s="761"/>
      <c r="BR152" s="761"/>
      <c r="BS152" s="762">
        <f>+B152</f>
        <v>80000000</v>
      </c>
      <c r="BT152" s="762">
        <v>79282350</v>
      </c>
      <c r="BU152" s="762">
        <v>78086357</v>
      </c>
      <c r="BV152" s="762">
        <v>78086357</v>
      </c>
      <c r="BW152" s="761"/>
      <c r="BX152" s="761"/>
      <c r="BY152" s="761"/>
      <c r="BZ152" s="761"/>
      <c r="CA152" s="761"/>
      <c r="CB152" s="761"/>
      <c r="CC152" s="761"/>
      <c r="CD152" s="761"/>
      <c r="CE152" s="761"/>
      <c r="CF152" s="761"/>
      <c r="CG152" s="761"/>
      <c r="CH152" s="761"/>
      <c r="CI152" s="761"/>
      <c r="CJ152" s="761"/>
      <c r="CK152" s="761"/>
      <c r="CL152" s="761"/>
      <c r="CM152" s="761"/>
      <c r="CN152" s="761"/>
      <c r="CO152" s="761"/>
      <c r="CP152" s="761"/>
      <c r="CQ152" s="761"/>
      <c r="CR152" s="761"/>
      <c r="CS152" s="761"/>
      <c r="CT152" s="761"/>
      <c r="CU152" s="1891">
        <f t="shared" si="44"/>
        <v>80000000</v>
      </c>
      <c r="CV152" s="1891">
        <f t="shared" si="45"/>
        <v>79282350</v>
      </c>
      <c r="CW152" s="1891">
        <f t="shared" si="46"/>
        <v>78086357</v>
      </c>
      <c r="CX152" s="1891">
        <f t="shared" si="47"/>
        <v>78086357</v>
      </c>
      <c r="CY152" s="1892">
        <v>73070515</v>
      </c>
      <c r="CZ152" s="1893">
        <v>60880791</v>
      </c>
      <c r="DA152" s="1894">
        <v>57880791</v>
      </c>
      <c r="DB152" s="816">
        <f t="shared" si="48"/>
        <v>6211835</v>
      </c>
      <c r="DC152" s="816">
        <f t="shared" si="48"/>
        <v>17205566</v>
      </c>
      <c r="DD152" s="816">
        <f t="shared" si="48"/>
        <v>20205566</v>
      </c>
    </row>
    <row r="153" spans="1:108" ht="47.25">
      <c r="A153" s="786" t="s">
        <v>690</v>
      </c>
      <c r="B153" s="759">
        <v>220000000</v>
      </c>
      <c r="C153" s="761"/>
      <c r="D153" s="761"/>
      <c r="E153" s="761"/>
      <c r="F153" s="761"/>
      <c r="G153" s="760"/>
      <c r="H153" s="760"/>
      <c r="I153" s="760"/>
      <c r="J153" s="760"/>
      <c r="K153" s="760"/>
      <c r="L153" s="760"/>
      <c r="M153" s="760"/>
      <c r="N153" s="760"/>
      <c r="O153" s="760"/>
      <c r="P153" s="760"/>
      <c r="Q153" s="760"/>
      <c r="R153" s="760"/>
      <c r="S153" s="760"/>
      <c r="T153" s="760"/>
      <c r="U153" s="760"/>
      <c r="V153" s="760"/>
      <c r="W153" s="760"/>
      <c r="X153" s="760"/>
      <c r="Y153" s="760"/>
      <c r="Z153" s="760"/>
      <c r="AA153" s="760"/>
      <c r="AB153" s="760"/>
      <c r="AC153" s="760"/>
      <c r="AD153" s="760"/>
      <c r="AE153" s="761"/>
      <c r="AF153" s="761"/>
      <c r="AG153" s="761"/>
      <c r="AH153" s="761"/>
      <c r="AI153" s="761"/>
      <c r="AJ153" s="761"/>
      <c r="AK153" s="761"/>
      <c r="AL153" s="761"/>
      <c r="AM153" s="761"/>
      <c r="AN153" s="761"/>
      <c r="AO153" s="761"/>
      <c r="AP153" s="761"/>
      <c r="AQ153" s="761"/>
      <c r="AR153" s="761"/>
      <c r="AS153" s="761"/>
      <c r="AT153" s="761"/>
      <c r="AU153" s="761"/>
      <c r="AV153" s="761"/>
      <c r="AW153" s="761"/>
      <c r="AX153" s="761"/>
      <c r="AY153" s="761"/>
      <c r="AZ153" s="761"/>
      <c r="BA153" s="761"/>
      <c r="BB153" s="761"/>
      <c r="BC153" s="761"/>
      <c r="BD153" s="761"/>
      <c r="BE153" s="761"/>
      <c r="BF153" s="761"/>
      <c r="BG153" s="761"/>
      <c r="BH153" s="761"/>
      <c r="BI153" s="761"/>
      <c r="BJ153" s="761"/>
      <c r="BK153" s="759">
        <v>43855368.969999999</v>
      </c>
      <c r="BL153" s="792">
        <v>43583546.017448246</v>
      </c>
      <c r="BM153" s="792">
        <v>42930234.180642851</v>
      </c>
      <c r="BN153" s="792">
        <v>42451811.973697394</v>
      </c>
      <c r="BO153" s="759">
        <v>16224093.99</v>
      </c>
      <c r="BP153" s="792">
        <v>16123534.326852355</v>
      </c>
      <c r="BQ153" s="792">
        <v>15881844.588650379</v>
      </c>
      <c r="BR153" s="792">
        <v>15704854.472395834</v>
      </c>
      <c r="BS153" s="762">
        <v>79076602.040000007</v>
      </c>
      <c r="BT153" s="792">
        <v>78586471.961309373</v>
      </c>
      <c r="BU153" s="792">
        <v>77408470.696232304</v>
      </c>
      <c r="BV153" s="792">
        <v>76545816.855795935</v>
      </c>
      <c r="BW153" s="779">
        <v>80843935</v>
      </c>
      <c r="BX153" s="792">
        <v>80342850.694390029</v>
      </c>
      <c r="BY153" s="792">
        <v>79138521.534474477</v>
      </c>
      <c r="BZ153" s="792">
        <v>78256587.698110834</v>
      </c>
      <c r="CA153" s="761"/>
      <c r="CB153" s="761"/>
      <c r="CC153" s="761"/>
      <c r="CD153" s="761"/>
      <c r="CE153" s="761"/>
      <c r="CF153" s="761"/>
      <c r="CG153" s="761"/>
      <c r="CH153" s="761"/>
      <c r="CI153" s="761"/>
      <c r="CJ153" s="761"/>
      <c r="CK153" s="761"/>
      <c r="CL153" s="761"/>
      <c r="CM153" s="761"/>
      <c r="CN153" s="761"/>
      <c r="CO153" s="761"/>
      <c r="CP153" s="761"/>
      <c r="CQ153" s="761"/>
      <c r="CR153" s="761"/>
      <c r="CS153" s="761"/>
      <c r="CT153" s="761"/>
      <c r="CU153" s="1891">
        <f t="shared" si="44"/>
        <v>220000000</v>
      </c>
      <c r="CV153" s="1891">
        <f t="shared" si="45"/>
        <v>218636403</v>
      </c>
      <c r="CW153" s="1891">
        <f t="shared" si="46"/>
        <v>215359071</v>
      </c>
      <c r="CX153" s="1891">
        <f t="shared" si="47"/>
        <v>212959071</v>
      </c>
      <c r="CY153" s="1892">
        <v>202987026</v>
      </c>
      <c r="CZ153" s="1893">
        <v>116172687</v>
      </c>
      <c r="DA153" s="1894">
        <v>110872687</v>
      </c>
      <c r="DB153" s="816">
        <f t="shared" si="48"/>
        <v>15649377</v>
      </c>
      <c r="DC153" s="816">
        <f t="shared" si="48"/>
        <v>99186384</v>
      </c>
      <c r="DD153" s="816">
        <f t="shared" si="48"/>
        <v>102086384</v>
      </c>
    </row>
    <row r="154" spans="1:108" ht="47.25">
      <c r="A154" s="772" t="s">
        <v>691</v>
      </c>
      <c r="B154" s="759">
        <v>185000000</v>
      </c>
      <c r="C154" s="761"/>
      <c r="D154" s="761"/>
      <c r="E154" s="761"/>
      <c r="F154" s="761"/>
      <c r="G154" s="760"/>
      <c r="H154" s="760"/>
      <c r="I154" s="760"/>
      <c r="J154" s="760"/>
      <c r="K154" s="760"/>
      <c r="L154" s="760"/>
      <c r="M154" s="760"/>
      <c r="N154" s="760"/>
      <c r="O154" s="760"/>
      <c r="P154" s="760"/>
      <c r="Q154" s="760"/>
      <c r="R154" s="760"/>
      <c r="S154" s="760"/>
      <c r="T154" s="760"/>
      <c r="U154" s="760"/>
      <c r="V154" s="760"/>
      <c r="W154" s="760"/>
      <c r="X154" s="760"/>
      <c r="Y154" s="760"/>
      <c r="Z154" s="760"/>
      <c r="AA154" s="760"/>
      <c r="AB154" s="760"/>
      <c r="AC154" s="760"/>
      <c r="AD154" s="760"/>
      <c r="AE154" s="761"/>
      <c r="AF154" s="761"/>
      <c r="AG154" s="761"/>
      <c r="AH154" s="761"/>
      <c r="AI154" s="761"/>
      <c r="AJ154" s="761"/>
      <c r="AK154" s="761"/>
      <c r="AL154" s="761"/>
      <c r="AM154" s="761"/>
      <c r="AN154" s="761"/>
      <c r="AO154" s="761"/>
      <c r="AP154" s="761"/>
      <c r="AQ154" s="761"/>
      <c r="AR154" s="761"/>
      <c r="AS154" s="761"/>
      <c r="AT154" s="761"/>
      <c r="AU154" s="761"/>
      <c r="AV154" s="761"/>
      <c r="AW154" s="761"/>
      <c r="AX154" s="761"/>
      <c r="AY154" s="761"/>
      <c r="AZ154" s="761"/>
      <c r="BA154" s="761"/>
      <c r="BB154" s="761"/>
      <c r="BC154" s="761"/>
      <c r="BD154" s="761"/>
      <c r="BE154" s="761"/>
      <c r="BF154" s="761"/>
      <c r="BG154" s="761"/>
      <c r="BH154" s="761"/>
      <c r="BI154" s="761"/>
      <c r="BJ154" s="761"/>
      <c r="BK154" s="759"/>
      <c r="BL154" s="759"/>
      <c r="BM154" s="759"/>
      <c r="BN154" s="759"/>
      <c r="BO154" s="759"/>
      <c r="BP154" s="759"/>
      <c r="BQ154" s="759"/>
      <c r="BR154" s="759"/>
      <c r="BS154" s="759"/>
      <c r="BT154" s="759"/>
      <c r="BU154" s="759"/>
      <c r="BV154" s="759"/>
      <c r="BW154" s="779">
        <f t="shared" ref="BW154:BW159" si="49">+B154</f>
        <v>185000000</v>
      </c>
      <c r="BX154" s="779">
        <v>184904170</v>
      </c>
      <c r="BY154" s="779">
        <v>181801172</v>
      </c>
      <c r="BZ154" s="779">
        <v>180776462</v>
      </c>
      <c r="CA154" s="759"/>
      <c r="CB154" s="759"/>
      <c r="CC154" s="759"/>
      <c r="CD154" s="759"/>
      <c r="CE154" s="759"/>
      <c r="CF154" s="759"/>
      <c r="CG154" s="759"/>
      <c r="CH154" s="759"/>
      <c r="CI154" s="759"/>
      <c r="CJ154" s="759"/>
      <c r="CK154" s="759"/>
      <c r="CL154" s="759"/>
      <c r="CM154" s="759"/>
      <c r="CN154" s="759"/>
      <c r="CO154" s="759"/>
      <c r="CP154" s="759"/>
      <c r="CQ154" s="759"/>
      <c r="CR154" s="759"/>
      <c r="CS154" s="759"/>
      <c r="CT154" s="759"/>
      <c r="CU154" s="1891">
        <f t="shared" si="44"/>
        <v>185000000</v>
      </c>
      <c r="CV154" s="1891">
        <f t="shared" si="45"/>
        <v>184904170</v>
      </c>
      <c r="CW154" s="1891">
        <f t="shared" si="46"/>
        <v>181801172</v>
      </c>
      <c r="CX154" s="1891">
        <f t="shared" si="47"/>
        <v>180776462</v>
      </c>
      <c r="CY154" s="1892">
        <v>174528391</v>
      </c>
      <c r="CZ154" s="1893">
        <v>82545205</v>
      </c>
      <c r="DA154" s="1894">
        <v>82545205</v>
      </c>
      <c r="DB154" s="816">
        <f t="shared" si="48"/>
        <v>10375779</v>
      </c>
      <c r="DC154" s="816">
        <f t="shared" si="48"/>
        <v>99255967</v>
      </c>
      <c r="DD154" s="816">
        <f t="shared" si="48"/>
        <v>98231257</v>
      </c>
    </row>
    <row r="155" spans="1:108" ht="31.5" customHeight="1">
      <c r="A155" s="772" t="s">
        <v>692</v>
      </c>
      <c r="B155" s="759">
        <v>140000000</v>
      </c>
      <c r="C155" s="761"/>
      <c r="D155" s="761"/>
      <c r="E155" s="761"/>
      <c r="F155" s="761"/>
      <c r="G155" s="760"/>
      <c r="H155" s="760"/>
      <c r="I155" s="760"/>
      <c r="J155" s="760"/>
      <c r="K155" s="760"/>
      <c r="L155" s="760"/>
      <c r="M155" s="760"/>
      <c r="N155" s="760"/>
      <c r="O155" s="760"/>
      <c r="P155" s="760"/>
      <c r="Q155" s="760"/>
      <c r="R155" s="760"/>
      <c r="S155" s="760"/>
      <c r="T155" s="760"/>
      <c r="U155" s="760"/>
      <c r="V155" s="760"/>
      <c r="W155" s="760"/>
      <c r="X155" s="760"/>
      <c r="Y155" s="760"/>
      <c r="Z155" s="760"/>
      <c r="AA155" s="760"/>
      <c r="AB155" s="760"/>
      <c r="AC155" s="760"/>
      <c r="AD155" s="760"/>
      <c r="AE155" s="777"/>
      <c r="AF155" s="777"/>
      <c r="AG155" s="777"/>
      <c r="AH155" s="777"/>
      <c r="AI155" s="777"/>
      <c r="AJ155" s="777"/>
      <c r="AK155" s="777"/>
      <c r="AL155" s="777"/>
      <c r="AM155" s="777"/>
      <c r="AN155" s="777"/>
      <c r="AO155" s="777"/>
      <c r="AP155" s="777"/>
      <c r="AQ155" s="777"/>
      <c r="AR155" s="777"/>
      <c r="AS155" s="777"/>
      <c r="AT155" s="777"/>
      <c r="AU155" s="761"/>
      <c r="AV155" s="761"/>
      <c r="AW155" s="761"/>
      <c r="AX155" s="761"/>
      <c r="AY155" s="761"/>
      <c r="AZ155" s="761"/>
      <c r="BA155" s="761"/>
      <c r="BB155" s="761"/>
      <c r="BC155" s="761"/>
      <c r="BD155" s="761"/>
      <c r="BE155" s="761"/>
      <c r="BF155" s="761"/>
      <c r="BG155" s="761"/>
      <c r="BH155" s="761"/>
      <c r="BI155" s="761"/>
      <c r="BJ155" s="761"/>
      <c r="BK155" s="759"/>
      <c r="BL155" s="759"/>
      <c r="BM155" s="759"/>
      <c r="BN155" s="759"/>
      <c r="BO155" s="759"/>
      <c r="BP155" s="759"/>
      <c r="BQ155" s="759"/>
      <c r="BR155" s="759"/>
      <c r="BS155" s="759"/>
      <c r="BT155" s="759"/>
      <c r="BU155" s="759"/>
      <c r="BV155" s="759"/>
      <c r="BW155" s="779">
        <f t="shared" si="49"/>
        <v>140000000</v>
      </c>
      <c r="BX155" s="779">
        <v>139927858</v>
      </c>
      <c r="BY155" s="779">
        <v>137753394</v>
      </c>
      <c r="BZ155" s="779">
        <v>137471263</v>
      </c>
      <c r="CA155" s="759"/>
      <c r="CB155" s="759"/>
      <c r="CC155" s="759"/>
      <c r="CD155" s="759"/>
      <c r="CE155" s="759"/>
      <c r="CF155" s="759"/>
      <c r="CG155" s="759"/>
      <c r="CH155" s="759"/>
      <c r="CI155" s="759"/>
      <c r="CJ155" s="759"/>
      <c r="CK155" s="759"/>
      <c r="CL155" s="759"/>
      <c r="CM155" s="759"/>
      <c r="CN155" s="759"/>
      <c r="CO155" s="759"/>
      <c r="CP155" s="759"/>
      <c r="CQ155" s="759"/>
      <c r="CR155" s="759"/>
      <c r="CS155" s="759"/>
      <c r="CT155" s="759"/>
      <c r="CU155" s="1891">
        <f t="shared" si="44"/>
        <v>140000000</v>
      </c>
      <c r="CV155" s="1891">
        <f t="shared" si="45"/>
        <v>139927858</v>
      </c>
      <c r="CW155" s="1891">
        <f t="shared" si="46"/>
        <v>137753394</v>
      </c>
      <c r="CX155" s="1891">
        <f t="shared" si="47"/>
        <v>137471263</v>
      </c>
      <c r="CY155" s="1892">
        <v>132116879</v>
      </c>
      <c r="CZ155" s="1893">
        <v>63041896</v>
      </c>
      <c r="DA155" s="1894">
        <v>63041896</v>
      </c>
      <c r="DB155" s="816">
        <f t="shared" si="48"/>
        <v>7810979</v>
      </c>
      <c r="DC155" s="816">
        <f t="shared" si="48"/>
        <v>74711498</v>
      </c>
      <c r="DD155" s="816">
        <f t="shared" si="48"/>
        <v>74429367</v>
      </c>
    </row>
    <row r="156" spans="1:108" ht="31.5">
      <c r="A156" s="772" t="s">
        <v>693</v>
      </c>
      <c r="B156" s="759">
        <v>100000000</v>
      </c>
      <c r="C156" s="761"/>
      <c r="D156" s="761"/>
      <c r="E156" s="761"/>
      <c r="F156" s="761"/>
      <c r="G156" s="760"/>
      <c r="H156" s="760"/>
      <c r="I156" s="760"/>
      <c r="J156" s="760"/>
      <c r="K156" s="760"/>
      <c r="L156" s="760"/>
      <c r="M156" s="760"/>
      <c r="N156" s="760"/>
      <c r="O156" s="760"/>
      <c r="P156" s="760"/>
      <c r="Q156" s="760"/>
      <c r="R156" s="760"/>
      <c r="S156" s="760"/>
      <c r="T156" s="760"/>
      <c r="U156" s="760"/>
      <c r="V156" s="760"/>
      <c r="W156" s="760"/>
      <c r="X156" s="760"/>
      <c r="Y156" s="760"/>
      <c r="Z156" s="760"/>
      <c r="AA156" s="760"/>
      <c r="AB156" s="760"/>
      <c r="AC156" s="760"/>
      <c r="AD156" s="760"/>
      <c r="AE156" s="761"/>
      <c r="AF156" s="761"/>
      <c r="AG156" s="761"/>
      <c r="AH156" s="761"/>
      <c r="AI156" s="761"/>
      <c r="AJ156" s="761"/>
      <c r="AK156" s="761"/>
      <c r="AL156" s="761"/>
      <c r="AM156" s="761"/>
      <c r="AN156" s="761"/>
      <c r="AO156" s="761"/>
      <c r="AP156" s="761"/>
      <c r="AQ156" s="769"/>
      <c r="AR156" s="769"/>
      <c r="AS156" s="769"/>
      <c r="AT156" s="769"/>
      <c r="AU156" s="761"/>
      <c r="AV156" s="761"/>
      <c r="AW156" s="761"/>
      <c r="AX156" s="761"/>
      <c r="AY156" s="761"/>
      <c r="AZ156" s="761"/>
      <c r="BA156" s="761"/>
      <c r="BB156" s="761"/>
      <c r="BC156" s="761"/>
      <c r="BD156" s="761"/>
      <c r="BE156" s="761"/>
      <c r="BF156" s="761"/>
      <c r="BG156" s="761"/>
      <c r="BH156" s="761"/>
      <c r="BI156" s="761"/>
      <c r="BJ156" s="761"/>
      <c r="BK156" s="759"/>
      <c r="BL156" s="759"/>
      <c r="BM156" s="759"/>
      <c r="BN156" s="759"/>
      <c r="BO156" s="759"/>
      <c r="BP156" s="759"/>
      <c r="BQ156" s="759"/>
      <c r="BR156" s="759"/>
      <c r="BS156" s="759"/>
      <c r="BT156" s="759"/>
      <c r="BU156" s="759"/>
      <c r="BV156" s="759"/>
      <c r="BW156" s="779">
        <f t="shared" si="49"/>
        <v>100000000</v>
      </c>
      <c r="BX156" s="779">
        <v>99948316</v>
      </c>
      <c r="BY156" s="779">
        <v>98274789</v>
      </c>
      <c r="BZ156" s="779">
        <v>97722137</v>
      </c>
      <c r="CA156" s="759"/>
      <c r="CB156" s="759"/>
      <c r="CC156" s="759"/>
      <c r="CD156" s="759"/>
      <c r="CE156" s="759"/>
      <c r="CF156" s="759"/>
      <c r="CG156" s="759"/>
      <c r="CH156" s="759"/>
      <c r="CI156" s="759"/>
      <c r="CJ156" s="759"/>
      <c r="CK156" s="759"/>
      <c r="CL156" s="759"/>
      <c r="CM156" s="759"/>
      <c r="CN156" s="759"/>
      <c r="CO156" s="759"/>
      <c r="CP156" s="759"/>
      <c r="CQ156" s="759"/>
      <c r="CR156" s="759"/>
      <c r="CS156" s="759"/>
      <c r="CT156" s="759"/>
      <c r="CU156" s="1891">
        <f t="shared" si="44"/>
        <v>100000000</v>
      </c>
      <c r="CV156" s="1891">
        <f t="shared" si="45"/>
        <v>99948316</v>
      </c>
      <c r="CW156" s="1891">
        <f t="shared" si="46"/>
        <v>98274789</v>
      </c>
      <c r="CX156" s="1891">
        <f t="shared" si="47"/>
        <v>97722137</v>
      </c>
      <c r="CY156" s="1892">
        <v>94352392</v>
      </c>
      <c r="CZ156" s="1893">
        <v>35034493</v>
      </c>
      <c r="DA156" s="1894">
        <v>32034493</v>
      </c>
      <c r="DB156" s="816">
        <f t="shared" si="48"/>
        <v>5595924</v>
      </c>
      <c r="DC156" s="816">
        <f t="shared" si="48"/>
        <v>63240296</v>
      </c>
      <c r="DD156" s="816">
        <f t="shared" si="48"/>
        <v>65687644</v>
      </c>
    </row>
    <row r="157" spans="1:108" ht="78.75">
      <c r="A157" s="772" t="s">
        <v>1435</v>
      </c>
      <c r="B157" s="759">
        <v>280000000</v>
      </c>
      <c r="C157" s="761"/>
      <c r="D157" s="761"/>
      <c r="E157" s="761"/>
      <c r="F157" s="761"/>
      <c r="G157" s="760"/>
      <c r="H157" s="760"/>
      <c r="I157" s="760"/>
      <c r="J157" s="760"/>
      <c r="K157" s="760"/>
      <c r="L157" s="760"/>
      <c r="M157" s="760"/>
      <c r="N157" s="760"/>
      <c r="O157" s="760"/>
      <c r="P157" s="760"/>
      <c r="Q157" s="760"/>
      <c r="R157" s="760"/>
      <c r="S157" s="760"/>
      <c r="T157" s="760"/>
      <c r="U157" s="760"/>
      <c r="V157" s="760"/>
      <c r="W157" s="761"/>
      <c r="X157" s="761"/>
      <c r="Y157" s="761"/>
      <c r="Z157" s="761"/>
      <c r="AA157" s="761"/>
      <c r="AB157" s="761"/>
      <c r="AC157" s="761"/>
      <c r="AD157" s="761"/>
      <c r="AE157" s="761"/>
      <c r="AF157" s="761"/>
      <c r="AG157" s="761"/>
      <c r="AH157" s="761"/>
      <c r="AI157" s="761"/>
      <c r="AJ157" s="761"/>
      <c r="AK157" s="761"/>
      <c r="AL157" s="761"/>
      <c r="AM157" s="761"/>
      <c r="AN157" s="761"/>
      <c r="AO157" s="761"/>
      <c r="AP157" s="761"/>
      <c r="AQ157" s="761"/>
      <c r="AR157" s="761"/>
      <c r="AS157" s="761"/>
      <c r="AT157" s="761"/>
      <c r="AU157" s="761"/>
      <c r="AV157" s="761"/>
      <c r="AW157" s="761"/>
      <c r="AX157" s="761"/>
      <c r="AY157" s="761"/>
      <c r="AZ157" s="761"/>
      <c r="BA157" s="761"/>
      <c r="BB157" s="761"/>
      <c r="BC157" s="761"/>
      <c r="BD157" s="761"/>
      <c r="BE157" s="761"/>
      <c r="BF157" s="761"/>
      <c r="BG157" s="761"/>
      <c r="BH157" s="761"/>
      <c r="BI157" s="761"/>
      <c r="BJ157" s="761"/>
      <c r="BK157" s="759"/>
      <c r="BL157" s="759"/>
      <c r="BM157" s="759"/>
      <c r="BN157" s="759"/>
      <c r="BO157" s="759"/>
      <c r="BP157" s="759"/>
      <c r="BQ157" s="759"/>
      <c r="BR157" s="759"/>
      <c r="BS157" s="759"/>
      <c r="BT157" s="759"/>
      <c r="BU157" s="759"/>
      <c r="BV157" s="759"/>
      <c r="BW157" s="779">
        <f t="shared" si="49"/>
        <v>280000000</v>
      </c>
      <c r="BX157" s="779">
        <v>279849794</v>
      </c>
      <c r="BY157" s="779">
        <v>275260830</v>
      </c>
      <c r="BZ157" s="779">
        <v>275114570</v>
      </c>
      <c r="CA157" s="759"/>
      <c r="CB157" s="759"/>
      <c r="CC157" s="759"/>
      <c r="CD157" s="759"/>
      <c r="CE157" s="759"/>
      <c r="CF157" s="759"/>
      <c r="CG157" s="759"/>
      <c r="CH157" s="759"/>
      <c r="CI157" s="759"/>
      <c r="CJ157" s="759"/>
      <c r="CK157" s="759"/>
      <c r="CL157" s="759"/>
      <c r="CM157" s="759"/>
      <c r="CN157" s="759"/>
      <c r="CO157" s="759"/>
      <c r="CP157" s="759"/>
      <c r="CQ157" s="759"/>
      <c r="CR157" s="759"/>
      <c r="CS157" s="759"/>
      <c r="CT157" s="759"/>
      <c r="CU157" s="1891">
        <f t="shared" si="44"/>
        <v>280000000</v>
      </c>
      <c r="CV157" s="1891">
        <f t="shared" si="45"/>
        <v>279849794</v>
      </c>
      <c r="CW157" s="1891">
        <f t="shared" si="46"/>
        <v>275260830</v>
      </c>
      <c r="CX157" s="1891">
        <f t="shared" si="47"/>
        <v>275114570</v>
      </c>
      <c r="CY157" s="1892">
        <v>263586635</v>
      </c>
      <c r="CZ157" s="1893">
        <v>94559620</v>
      </c>
      <c r="DA157" s="1894">
        <v>89559620</v>
      </c>
      <c r="DB157" s="816">
        <f t="shared" si="48"/>
        <v>16263159</v>
      </c>
      <c r="DC157" s="816">
        <f t="shared" si="48"/>
        <v>180701210</v>
      </c>
      <c r="DD157" s="816">
        <f t="shared" si="48"/>
        <v>185554950</v>
      </c>
    </row>
    <row r="158" spans="1:108" ht="94.5">
      <c r="A158" s="772" t="s">
        <v>1436</v>
      </c>
      <c r="B158" s="759">
        <v>596990838</v>
      </c>
      <c r="C158" s="761"/>
      <c r="D158" s="761"/>
      <c r="E158" s="761"/>
      <c r="F158" s="761"/>
      <c r="G158" s="760"/>
      <c r="H158" s="760"/>
      <c r="I158" s="760"/>
      <c r="J158" s="760"/>
      <c r="K158" s="760"/>
      <c r="L158" s="760"/>
      <c r="M158" s="760"/>
      <c r="N158" s="760"/>
      <c r="O158" s="760"/>
      <c r="P158" s="760"/>
      <c r="Q158" s="760"/>
      <c r="R158" s="760"/>
      <c r="S158" s="760"/>
      <c r="T158" s="760"/>
      <c r="U158" s="760"/>
      <c r="V158" s="760"/>
      <c r="W158" s="761"/>
      <c r="X158" s="761"/>
      <c r="Y158" s="761"/>
      <c r="Z158" s="761"/>
      <c r="AA158" s="761"/>
      <c r="AB158" s="761"/>
      <c r="AC158" s="761"/>
      <c r="AD158" s="761"/>
      <c r="AE158" s="761"/>
      <c r="AF158" s="761"/>
      <c r="AG158" s="761"/>
      <c r="AH158" s="761"/>
      <c r="AI158" s="761"/>
      <c r="AJ158" s="761"/>
      <c r="AK158" s="761"/>
      <c r="AL158" s="761"/>
      <c r="AM158" s="761"/>
      <c r="AN158" s="761"/>
      <c r="AO158" s="761"/>
      <c r="AP158" s="761"/>
      <c r="AQ158" s="761"/>
      <c r="AR158" s="761"/>
      <c r="AS158" s="761"/>
      <c r="AT158" s="761"/>
      <c r="AU158" s="761"/>
      <c r="AV158" s="761"/>
      <c r="AW158" s="761"/>
      <c r="AX158" s="761"/>
      <c r="AY158" s="761"/>
      <c r="AZ158" s="761"/>
      <c r="BA158" s="761"/>
      <c r="BB158" s="761"/>
      <c r="BC158" s="761"/>
      <c r="BD158" s="761"/>
      <c r="BE158" s="761"/>
      <c r="BF158" s="761"/>
      <c r="BG158" s="761"/>
      <c r="BH158" s="761"/>
      <c r="BI158" s="761"/>
      <c r="BJ158" s="761"/>
      <c r="BK158" s="759"/>
      <c r="BL158" s="759"/>
      <c r="BM158" s="759"/>
      <c r="BN158" s="759"/>
      <c r="BO158" s="759"/>
      <c r="BP158" s="759"/>
      <c r="BQ158" s="759"/>
      <c r="BR158" s="759"/>
      <c r="BS158" s="759"/>
      <c r="BT158" s="759"/>
      <c r="BU158" s="759"/>
      <c r="BV158" s="759"/>
      <c r="BW158" s="779">
        <f t="shared" si="49"/>
        <v>596990838</v>
      </c>
      <c r="BX158" s="779">
        <v>596890161.70000005</v>
      </c>
      <c r="BY158" s="779">
        <v>592985606</v>
      </c>
      <c r="BZ158" s="779">
        <v>592984535</v>
      </c>
      <c r="CA158" s="759"/>
      <c r="CB158" s="759"/>
      <c r="CC158" s="759"/>
      <c r="CD158" s="759"/>
      <c r="CE158" s="759"/>
      <c r="CF158" s="759"/>
      <c r="CG158" s="759"/>
      <c r="CH158" s="759"/>
      <c r="CI158" s="759"/>
      <c r="CJ158" s="759"/>
      <c r="CK158" s="759"/>
      <c r="CL158" s="759"/>
      <c r="CM158" s="759"/>
      <c r="CN158" s="759"/>
      <c r="CO158" s="759"/>
      <c r="CP158" s="759"/>
      <c r="CQ158" s="759"/>
      <c r="CR158" s="759"/>
      <c r="CS158" s="759"/>
      <c r="CT158" s="759"/>
      <c r="CU158" s="1891">
        <f t="shared" si="44"/>
        <v>596990838</v>
      </c>
      <c r="CV158" s="1891">
        <f t="shared" si="45"/>
        <v>596890161.70000005</v>
      </c>
      <c r="CW158" s="1891">
        <f t="shared" si="46"/>
        <v>592985606</v>
      </c>
      <c r="CX158" s="1891">
        <f t="shared" si="47"/>
        <v>592984535</v>
      </c>
      <c r="CY158" s="1892">
        <v>585989766.70000005</v>
      </c>
      <c r="CZ158" s="1893">
        <v>520379901</v>
      </c>
      <c r="DA158" s="1894">
        <v>520379901</v>
      </c>
      <c r="DB158" s="816">
        <f t="shared" si="48"/>
        <v>10900395</v>
      </c>
      <c r="DC158" s="816">
        <f t="shared" si="48"/>
        <v>72605705</v>
      </c>
      <c r="DD158" s="816">
        <f t="shared" si="48"/>
        <v>72604634</v>
      </c>
    </row>
    <row r="159" spans="1:108" ht="94.5">
      <c r="A159" s="772" t="s">
        <v>1437</v>
      </c>
      <c r="B159" s="759">
        <v>600000000</v>
      </c>
      <c r="C159" s="761"/>
      <c r="D159" s="761"/>
      <c r="E159" s="761"/>
      <c r="F159" s="761"/>
      <c r="G159" s="760"/>
      <c r="H159" s="760"/>
      <c r="I159" s="760"/>
      <c r="J159" s="760"/>
      <c r="K159" s="760"/>
      <c r="L159" s="760"/>
      <c r="M159" s="760"/>
      <c r="N159" s="760"/>
      <c r="O159" s="760"/>
      <c r="P159" s="760"/>
      <c r="Q159" s="760"/>
      <c r="R159" s="760"/>
      <c r="S159" s="777"/>
      <c r="T159" s="777"/>
      <c r="U159" s="777"/>
      <c r="V159" s="777"/>
      <c r="W159" s="761"/>
      <c r="X159" s="761"/>
      <c r="Y159" s="761"/>
      <c r="Z159" s="761"/>
      <c r="AA159" s="761"/>
      <c r="AB159" s="761"/>
      <c r="AC159" s="761"/>
      <c r="AD159" s="761"/>
      <c r="AE159" s="761"/>
      <c r="AF159" s="761"/>
      <c r="AG159" s="761"/>
      <c r="AH159" s="761"/>
      <c r="AI159" s="761"/>
      <c r="AJ159" s="761"/>
      <c r="AK159" s="761"/>
      <c r="AL159" s="761"/>
      <c r="AM159" s="761"/>
      <c r="AN159" s="761"/>
      <c r="AO159" s="761"/>
      <c r="AP159" s="761"/>
      <c r="AQ159" s="761"/>
      <c r="AR159" s="761"/>
      <c r="AS159" s="761"/>
      <c r="AT159" s="761"/>
      <c r="AU159" s="761"/>
      <c r="AV159" s="761"/>
      <c r="AW159" s="761"/>
      <c r="AX159" s="761"/>
      <c r="AY159" s="761"/>
      <c r="AZ159" s="761"/>
      <c r="BA159" s="761"/>
      <c r="BB159" s="761"/>
      <c r="BC159" s="761"/>
      <c r="BD159" s="761"/>
      <c r="BE159" s="761"/>
      <c r="BF159" s="761"/>
      <c r="BG159" s="761"/>
      <c r="BH159" s="761"/>
      <c r="BI159" s="761"/>
      <c r="BJ159" s="761"/>
      <c r="BK159" s="761"/>
      <c r="BL159" s="761"/>
      <c r="BM159" s="761"/>
      <c r="BN159" s="761"/>
      <c r="BO159" s="761"/>
      <c r="BP159" s="761"/>
      <c r="BQ159" s="761"/>
      <c r="BR159" s="761"/>
      <c r="BS159" s="761"/>
      <c r="BT159" s="761"/>
      <c r="BU159" s="761"/>
      <c r="BV159" s="761"/>
      <c r="BW159" s="779">
        <f t="shared" si="49"/>
        <v>600000000</v>
      </c>
      <c r="BX159" s="779">
        <v>597169033.03999996</v>
      </c>
      <c r="BY159" s="779">
        <v>552895501.95000005</v>
      </c>
      <c r="BZ159" s="779">
        <v>537907620.95000005</v>
      </c>
      <c r="CA159" s="761"/>
      <c r="CB159" s="761"/>
      <c r="CC159" s="761"/>
      <c r="CD159" s="761"/>
      <c r="CE159" s="761"/>
      <c r="CF159" s="761"/>
      <c r="CG159" s="761"/>
      <c r="CH159" s="761"/>
      <c r="CI159" s="761"/>
      <c r="CJ159" s="761"/>
      <c r="CK159" s="761"/>
      <c r="CL159" s="761"/>
      <c r="CM159" s="761"/>
      <c r="CN159" s="761"/>
      <c r="CO159" s="761"/>
      <c r="CP159" s="761"/>
      <c r="CQ159" s="761"/>
      <c r="CR159" s="761"/>
      <c r="CS159" s="761"/>
      <c r="CT159" s="761"/>
      <c r="CU159" s="1891">
        <f t="shared" si="44"/>
        <v>600000000</v>
      </c>
      <c r="CV159" s="1891">
        <f t="shared" si="45"/>
        <v>597169033.03999996</v>
      </c>
      <c r="CW159" s="1891">
        <f t="shared" si="46"/>
        <v>552895501.95000005</v>
      </c>
      <c r="CX159" s="1891">
        <f t="shared" si="47"/>
        <v>537907620.95000005</v>
      </c>
      <c r="CY159" s="1892">
        <v>505879129.81999999</v>
      </c>
      <c r="CZ159" s="1893">
        <v>418452179</v>
      </c>
      <c r="DA159" s="1894">
        <v>412752179</v>
      </c>
      <c r="DB159" s="816">
        <f t="shared" si="48"/>
        <v>91289903.219999969</v>
      </c>
      <c r="DC159" s="816">
        <f t="shared" si="48"/>
        <v>134443322.95000005</v>
      </c>
      <c r="DD159" s="816">
        <f t="shared" si="48"/>
        <v>125155441.95000005</v>
      </c>
    </row>
    <row r="160" spans="1:108" s="765" customFormat="1" ht="23.25" customHeight="1" thickBot="1">
      <c r="A160" s="793" t="s">
        <v>1438</v>
      </c>
      <c r="B160" s="1908">
        <v>24223450000</v>
      </c>
      <c r="C160" s="794"/>
      <c r="D160" s="794"/>
      <c r="E160" s="794"/>
      <c r="F160" s="794"/>
      <c r="G160" s="795"/>
      <c r="H160" s="795"/>
      <c r="I160" s="795"/>
      <c r="J160" s="795"/>
      <c r="K160" s="795"/>
      <c r="L160" s="795"/>
      <c r="M160" s="795"/>
      <c r="N160" s="795"/>
      <c r="O160" s="795"/>
      <c r="P160" s="795"/>
      <c r="Q160" s="795"/>
      <c r="R160" s="795"/>
      <c r="S160" s="795"/>
      <c r="T160" s="795"/>
      <c r="U160" s="795"/>
      <c r="V160" s="795"/>
      <c r="W160" s="795"/>
      <c r="X160" s="795"/>
      <c r="Y160" s="795"/>
      <c r="Z160" s="795"/>
      <c r="AA160" s="795"/>
      <c r="AB160" s="795"/>
      <c r="AC160" s="795"/>
      <c r="AD160" s="795"/>
      <c r="AE160" s="795"/>
      <c r="AF160" s="795"/>
      <c r="AG160" s="795"/>
      <c r="AH160" s="795"/>
      <c r="AI160" s="795"/>
      <c r="AJ160" s="795"/>
      <c r="AK160" s="795"/>
      <c r="AL160" s="795"/>
      <c r="AM160" s="795"/>
      <c r="AN160" s="795"/>
      <c r="AO160" s="795"/>
      <c r="AP160" s="795"/>
      <c r="AQ160" s="795"/>
      <c r="AR160" s="795"/>
      <c r="AS160" s="795"/>
      <c r="AT160" s="795"/>
      <c r="AU160" s="795"/>
      <c r="AV160" s="795"/>
      <c r="AW160" s="795"/>
      <c r="AX160" s="795"/>
      <c r="AY160" s="795"/>
      <c r="AZ160" s="795"/>
      <c r="BA160" s="795"/>
      <c r="BB160" s="795"/>
      <c r="BC160" s="795"/>
      <c r="BD160" s="795"/>
      <c r="BE160" s="795"/>
      <c r="BF160" s="795"/>
      <c r="BG160" s="795"/>
      <c r="BH160" s="795"/>
      <c r="BI160" s="795"/>
      <c r="BJ160" s="795"/>
      <c r="BK160" s="795"/>
      <c r="BL160" s="795"/>
      <c r="BM160" s="795"/>
      <c r="BN160" s="795"/>
      <c r="BO160" s="795"/>
      <c r="BP160" s="795"/>
      <c r="BQ160" s="795"/>
      <c r="BR160" s="795"/>
      <c r="BS160" s="795"/>
      <c r="BT160" s="795"/>
      <c r="BU160" s="795"/>
      <c r="BV160" s="795"/>
      <c r="BW160" s="759">
        <v>19173450000</v>
      </c>
      <c r="BX160" s="796">
        <v>18796518708.380859</v>
      </c>
      <c r="BY160" s="796">
        <v>16242764331.940042</v>
      </c>
      <c r="BZ160" s="796">
        <v>16036985144.563322</v>
      </c>
      <c r="CA160" s="759">
        <v>331242317.45999998</v>
      </c>
      <c r="CB160" s="759">
        <v>324730417.17293036</v>
      </c>
      <c r="CC160" s="759">
        <v>280611517.45087332</v>
      </c>
      <c r="CD160" s="759">
        <v>277056456.94211251</v>
      </c>
      <c r="CE160" s="795"/>
      <c r="CF160" s="795"/>
      <c r="CG160" s="795"/>
      <c r="CH160" s="795"/>
      <c r="CI160" s="759">
        <v>806480426.55999994</v>
      </c>
      <c r="CJ160" s="759">
        <v>790625809.428038</v>
      </c>
      <c r="CK160" s="759">
        <v>683208890.78056145</v>
      </c>
      <c r="CL160" s="759">
        <v>674553333.91350067</v>
      </c>
      <c r="CM160" s="759">
        <v>3912277256</v>
      </c>
      <c r="CN160" s="759">
        <v>3835365708.0377784</v>
      </c>
      <c r="CO160" s="759">
        <v>3314280813.8554645</v>
      </c>
      <c r="CP160" s="759">
        <v>3272292270.6077914</v>
      </c>
      <c r="CQ160" s="795"/>
      <c r="CU160" s="1891">
        <f t="shared" si="44"/>
        <v>24223450000.02</v>
      </c>
      <c r="CV160" s="1891">
        <f t="shared" si="45"/>
        <v>23747240643.019608</v>
      </c>
      <c r="CW160" s="1891">
        <f t="shared" si="46"/>
        <v>20520865554.026943</v>
      </c>
      <c r="CX160" s="1891">
        <f t="shared" si="47"/>
        <v>20260887206.026726</v>
      </c>
      <c r="CY160" s="1892">
        <v>14004188974</v>
      </c>
      <c r="CZ160" s="1893">
        <v>13005001948.01</v>
      </c>
      <c r="DA160" s="1894">
        <v>13005001948.01</v>
      </c>
      <c r="DB160" s="816">
        <f t="shared" si="48"/>
        <v>9743051669.0196075</v>
      </c>
      <c r="DC160" s="816">
        <f t="shared" si="48"/>
        <v>7515863606.016943</v>
      </c>
      <c r="DD160" s="816">
        <f t="shared" si="48"/>
        <v>7255885258.0167255</v>
      </c>
    </row>
    <row r="161" spans="1:105" ht="16.5" thickBot="1">
      <c r="A161" s="1896"/>
      <c r="B161" s="1897">
        <f>SUM(B5:B160)</f>
        <v>155439506137.99899</v>
      </c>
      <c r="C161" s="1898">
        <f>SUM(C5:C160)</f>
        <v>10022113022.27</v>
      </c>
      <c r="D161" s="1898">
        <f t="shared" ref="D161:F161" si="50">SUM(D5:D160)</f>
        <v>10022113022.27</v>
      </c>
      <c r="E161" s="1898">
        <f t="shared" si="50"/>
        <v>10022113022.27</v>
      </c>
      <c r="F161" s="1898">
        <f t="shared" si="50"/>
        <v>10022113022.27</v>
      </c>
      <c r="G161" s="1898">
        <f>SUM(G5:G160)</f>
        <v>3813285725</v>
      </c>
      <c r="H161" s="1898">
        <f t="shared" ref="H161:J161" si="51">SUM(H5:H160)</f>
        <v>3813285725</v>
      </c>
      <c r="I161" s="1898">
        <f t="shared" si="51"/>
        <v>3813285725</v>
      </c>
      <c r="J161" s="1898">
        <f t="shared" si="51"/>
        <v>3813285725</v>
      </c>
      <c r="K161" s="1898">
        <f>SUM(K5:K160)</f>
        <v>6657467074.9700003</v>
      </c>
      <c r="L161" s="1898">
        <f t="shared" ref="L161:R161" si="52">SUM(L5:L160)</f>
        <v>6652175056.0268669</v>
      </c>
      <c r="M161" s="1898">
        <f t="shared" si="52"/>
        <v>6280556766.8706064</v>
      </c>
      <c r="N161" s="1898">
        <f t="shared" si="52"/>
        <v>6124839638.7252665</v>
      </c>
      <c r="O161" s="1898">
        <f t="shared" si="52"/>
        <v>635459624.93400002</v>
      </c>
      <c r="P161" s="1898">
        <f t="shared" si="52"/>
        <v>633778619.38506126</v>
      </c>
      <c r="Q161" s="1898">
        <f t="shared" si="52"/>
        <v>270532895.19913405</v>
      </c>
      <c r="R161" s="1898">
        <f t="shared" si="52"/>
        <v>234680607.91983265</v>
      </c>
      <c r="S161" s="1898">
        <f>SUM(S5:S160)</f>
        <v>3385331453.0000005</v>
      </c>
      <c r="T161" s="1898">
        <f t="shared" ref="T161:V161" si="53">SUM(T5:T160)</f>
        <v>3381605105.0222902</v>
      </c>
      <c r="U161" s="1898">
        <f t="shared" si="53"/>
        <v>2814855079.9674907</v>
      </c>
      <c r="V161" s="1898">
        <f t="shared" si="53"/>
        <v>2701068251.3901954</v>
      </c>
      <c r="W161" s="1898">
        <f>SUM(W5:W160)</f>
        <v>72602217.099999994</v>
      </c>
      <c r="X161" s="1898">
        <f t="shared" ref="X161:Z161" si="54">SUM(X5:X160)</f>
        <v>72515094.439479992</v>
      </c>
      <c r="Y161" s="1898">
        <f t="shared" si="54"/>
        <v>21265189.388589997</v>
      </c>
      <c r="Z161" s="1898">
        <f t="shared" si="54"/>
        <v>21207107.614909999</v>
      </c>
      <c r="AA161" s="1898">
        <f>SUM(AA5:AA160)</f>
        <v>53092908.93</v>
      </c>
      <c r="AB161" s="1898">
        <f t="shared" ref="AB161:AD161" si="55">SUM(AB5:AB160)</f>
        <v>53029197.439284004</v>
      </c>
      <c r="AC161" s="1898">
        <f t="shared" si="55"/>
        <v>15550913.025597</v>
      </c>
      <c r="AD161" s="1898">
        <f t="shared" si="55"/>
        <v>15508438.698453002</v>
      </c>
      <c r="AE161" s="1898">
        <f>SUM(AE5:AE160)</f>
        <v>19552150.484999999</v>
      </c>
      <c r="AF161" s="1898">
        <f t="shared" ref="AF161:AH161" si="56">SUM(AF5:AF160)</f>
        <v>19528687.904417999</v>
      </c>
      <c r="AG161" s="1898">
        <f t="shared" si="56"/>
        <v>5726824.8770564999</v>
      </c>
      <c r="AH161" s="1898">
        <f t="shared" si="56"/>
        <v>5711183.1566685</v>
      </c>
      <c r="AI161" s="1898">
        <f>SUM(AI5:AI160)</f>
        <v>673672072.63</v>
      </c>
      <c r="AJ161" s="1898">
        <f t="shared" ref="AJ161:AL161" si="57">SUM(AJ5:AJ160)</f>
        <v>672863666.14284396</v>
      </c>
      <c r="AK161" s="1898">
        <f t="shared" si="57"/>
        <v>197318550.073327</v>
      </c>
      <c r="AL161" s="1898">
        <f t="shared" si="57"/>
        <v>196779612.415223</v>
      </c>
      <c r="AM161" s="1898">
        <f>SUM(AM5:AM160)</f>
        <v>6295939992</v>
      </c>
      <c r="AN161" s="1898">
        <f t="shared" ref="AN161:AP161" si="58">SUM(AN5:AN160)</f>
        <v>6243825465.8479996</v>
      </c>
      <c r="AO161" s="1898">
        <f t="shared" si="58"/>
        <v>5218606997.3584003</v>
      </c>
      <c r="AP161" s="1898">
        <f t="shared" si="58"/>
        <v>4949638047.5960007</v>
      </c>
      <c r="AQ161" s="1898">
        <f>SUM(AQ5:AQ160)</f>
        <v>62959400.100000001</v>
      </c>
      <c r="AR161" s="1898">
        <f t="shared" ref="AR161:AT161" si="59">SUM(AR5:AR160)</f>
        <v>62896440.699900001</v>
      </c>
      <c r="AS161" s="1898">
        <f t="shared" si="59"/>
        <v>52268893.963020004</v>
      </c>
      <c r="AT161" s="1898">
        <f t="shared" si="59"/>
        <v>50398999.780050002</v>
      </c>
      <c r="AU161" s="1898">
        <f>SUM(AU5:AU160)</f>
        <v>4197128919.3000002</v>
      </c>
      <c r="AV161" s="1898">
        <f t="shared" ref="AV161:BJ161" si="60">SUM(AV5:AV160)</f>
        <v>4192931790.3807001</v>
      </c>
      <c r="AW161" s="1898">
        <f t="shared" si="60"/>
        <v>3484456428.8028603</v>
      </c>
      <c r="AX161" s="1898">
        <f t="shared" si="60"/>
        <v>3359801699.8996501</v>
      </c>
      <c r="AY161" s="1898">
        <f t="shared" si="60"/>
        <v>450000000</v>
      </c>
      <c r="AZ161" s="1898">
        <f t="shared" si="60"/>
        <v>449550000</v>
      </c>
      <c r="BA161" s="1898">
        <f t="shared" si="60"/>
        <v>373590000</v>
      </c>
      <c r="BB161" s="1898">
        <f t="shared" si="60"/>
        <v>360225000</v>
      </c>
      <c r="BC161" s="1899">
        <f>SUM(BC5:BC160)</f>
        <v>167552412.09</v>
      </c>
      <c r="BD161" s="1898">
        <f t="shared" si="60"/>
        <v>166689497.06144705</v>
      </c>
      <c r="BE161" s="1898">
        <f t="shared" si="60"/>
        <v>162092808.56076917</v>
      </c>
      <c r="BF161" s="1898">
        <f t="shared" si="60"/>
        <v>150637906.28142163</v>
      </c>
      <c r="BG161" s="1899">
        <f>SUM(BG5:BG160)</f>
        <v>42660880.789999999</v>
      </c>
      <c r="BH161" s="1898">
        <f t="shared" si="60"/>
        <v>42441172.1346258</v>
      </c>
      <c r="BI161" s="1898">
        <f t="shared" si="60"/>
        <v>41270799.36762052</v>
      </c>
      <c r="BJ161" s="1898">
        <f t="shared" si="60"/>
        <v>38354242.008017391</v>
      </c>
      <c r="BK161" s="1898">
        <f>SUM(BK5:BK160)</f>
        <v>43855368.969999999</v>
      </c>
      <c r="BL161" s="1898">
        <f t="shared" ref="BL161:BN161" si="61">SUM(BL5:BL160)</f>
        <v>43583546.017448246</v>
      </c>
      <c r="BM161" s="1898">
        <f t="shared" si="61"/>
        <v>42930234.180642851</v>
      </c>
      <c r="BN161" s="1898">
        <f t="shared" si="61"/>
        <v>42451811.973697394</v>
      </c>
      <c r="BO161" s="1898">
        <f>SUM(BO5:BO160)</f>
        <v>16224093.99</v>
      </c>
      <c r="BP161" s="1898">
        <f t="shared" ref="BP161:BR161" si="62">SUM(BP5:BP160)</f>
        <v>16123534.326852355</v>
      </c>
      <c r="BQ161" s="1898">
        <f t="shared" si="62"/>
        <v>15881844.588650379</v>
      </c>
      <c r="BR161" s="1898">
        <f t="shared" si="62"/>
        <v>15704854.472395834</v>
      </c>
      <c r="BS161" s="1899">
        <f>SUM(BS5:BS160)</f>
        <v>65172331569</v>
      </c>
      <c r="BT161" s="1899">
        <f t="shared" ref="BT161:BV161" si="63">SUM(BT5:BT160)</f>
        <v>64626344300.229347</v>
      </c>
      <c r="BU161" s="1899">
        <f t="shared" si="63"/>
        <v>46265670918.084671</v>
      </c>
      <c r="BV161" s="1899">
        <f t="shared" si="63"/>
        <v>43055691281.091911</v>
      </c>
      <c r="BW161" s="1898">
        <f>SUM(BW5:BW160)</f>
        <v>21776284773</v>
      </c>
      <c r="BX161" s="1898">
        <f t="shared" ref="BX161:BZ161" si="64">SUM(BX5:BX160)</f>
        <v>21370823752.81525</v>
      </c>
      <c r="BY161" s="1898">
        <f t="shared" si="64"/>
        <v>18620554213.424515</v>
      </c>
      <c r="BZ161" s="1898">
        <f t="shared" si="64"/>
        <v>18361972255.211433</v>
      </c>
      <c r="CA161" s="1898">
        <f>SUM(CA5:CA160)</f>
        <v>331242317.45999998</v>
      </c>
      <c r="CB161" s="1898">
        <f t="shared" ref="CB161:CD161" si="65">SUM(CB5:CB160)</f>
        <v>324730417.17293036</v>
      </c>
      <c r="CC161" s="1898">
        <f t="shared" si="65"/>
        <v>280611517.45087332</v>
      </c>
      <c r="CD161" s="1898">
        <f t="shared" si="65"/>
        <v>277056456.94211251</v>
      </c>
      <c r="CE161" s="1898">
        <f>SUM(CE5:CE160)</f>
        <v>14416666667</v>
      </c>
      <c r="CF161" s="1898">
        <f t="shared" ref="CF161:CP161" si="66">SUM(CF5:CF160)</f>
        <v>14402250000.333</v>
      </c>
      <c r="CG161" s="1898">
        <f t="shared" si="66"/>
        <v>11968716666.943401</v>
      </c>
      <c r="CH161" s="1898">
        <f t="shared" si="66"/>
        <v>11540541666.9335</v>
      </c>
      <c r="CI161" s="1898">
        <f t="shared" si="66"/>
        <v>8000000000</v>
      </c>
      <c r="CJ161" s="1898">
        <f t="shared" si="66"/>
        <v>7976353733.3310909</v>
      </c>
      <c r="CK161" s="1898">
        <f t="shared" si="66"/>
        <v>4854070178.4564552</v>
      </c>
      <c r="CL161" s="1898">
        <f t="shared" si="66"/>
        <v>4728804337.0186911</v>
      </c>
      <c r="CM161" s="1898">
        <f t="shared" si="66"/>
        <v>3912277256</v>
      </c>
      <c r="CN161" s="1898">
        <f t="shared" si="66"/>
        <v>3835365708.0377784</v>
      </c>
      <c r="CO161" s="1898">
        <f t="shared" si="66"/>
        <v>3314280813.8554645</v>
      </c>
      <c r="CP161" s="1898">
        <f t="shared" si="66"/>
        <v>3272292270.6077914</v>
      </c>
      <c r="CQ161" s="1898">
        <f>SUM(CQ5:CQ160)</f>
        <v>5221806239</v>
      </c>
      <c r="CR161" s="1898">
        <f t="shared" ref="CR161:CT161" si="67">SUM(CR5:CR160)</f>
        <v>5216584432.7609997</v>
      </c>
      <c r="CS161" s="1898">
        <f t="shared" si="67"/>
        <v>4335143539.6178007</v>
      </c>
      <c r="CT161" s="1898">
        <f t="shared" si="67"/>
        <v>4180055894.3195</v>
      </c>
      <c r="CU161" s="1898">
        <f t="shared" si="44"/>
        <v>155439506138.01898</v>
      </c>
      <c r="CV161" s="1898">
        <f t="shared" si="45"/>
        <v>154291387964.7796</v>
      </c>
      <c r="CW161" s="1898">
        <f t="shared" si="46"/>
        <v>122471350821.32693</v>
      </c>
      <c r="CX161" s="1898">
        <f t="shared" si="47"/>
        <v>117518820311.32672</v>
      </c>
      <c r="CY161" s="817">
        <f>SUM(CY5:CY160)</f>
        <v>101087506268.79001</v>
      </c>
      <c r="CZ161" s="817">
        <f>SUM(CZ5:CZ160)</f>
        <v>73637735971.940002</v>
      </c>
      <c r="DA161" s="817">
        <f>SUM(DA5:DA160)</f>
        <v>72945149594.940002</v>
      </c>
    </row>
    <row r="162" spans="1:105">
      <c r="B162" s="1900"/>
      <c r="CU162" s="1891">
        <f t="shared" si="44"/>
        <v>0</v>
      </c>
      <c r="CV162" s="750">
        <f t="shared" si="45"/>
        <v>0</v>
      </c>
      <c r="CW162" s="750">
        <f t="shared" si="46"/>
        <v>0</v>
      </c>
      <c r="CX162" s="750">
        <f t="shared" si="47"/>
        <v>0</v>
      </c>
    </row>
    <row r="163" spans="1:105">
      <c r="A163" s="750" t="s">
        <v>2069</v>
      </c>
      <c r="B163" s="1900">
        <f>+'Anexo 5.1 INGRESOS VF'!R7</f>
        <v>155439506138.02002</v>
      </c>
      <c r="C163" s="792">
        <f>+'Anexo 5.1 INGRESOS VF'!R14</f>
        <v>10022113022.27</v>
      </c>
      <c r="D163" s="792"/>
      <c r="E163" s="792"/>
      <c r="F163" s="792">
        <f>+'Anexo 5.1 INGRESOS VF'!AA14</f>
        <v>12297048066</v>
      </c>
      <c r="G163" s="792">
        <f>+'Anexo 5.1 INGRESOS VF'!R15</f>
        <v>3813285725</v>
      </c>
      <c r="H163" s="792"/>
      <c r="I163" s="792"/>
      <c r="J163" s="1901">
        <f>+'Anexo 5.1 INGRESOS VF'!AA15</f>
        <v>1626152131</v>
      </c>
      <c r="K163" s="1902">
        <f>+'Anexo 5.1 INGRESOS VF'!R31</f>
        <v>6657467074.9700003</v>
      </c>
      <c r="L163" s="1902"/>
      <c r="M163" s="1902"/>
      <c r="N163" s="1902">
        <f>+'Anexo 5.1 INGRESOS VF'!AA31</f>
        <v>9444746703.9099998</v>
      </c>
      <c r="O163" s="1902">
        <f>+'Anexo 5.1 INGRESOS VF'!R32</f>
        <v>635459624.92999995</v>
      </c>
      <c r="P163" s="792"/>
      <c r="Q163" s="792"/>
      <c r="R163" s="1902">
        <f>+'Anexo 5.1 INGRESOS VF'!AA32</f>
        <v>1002059516.41</v>
      </c>
      <c r="S163" s="1902">
        <f>+'Anexo 5.1 INGRESOS VF'!R35</f>
        <v>3385331453</v>
      </c>
      <c r="T163" s="1902"/>
      <c r="U163" s="1902"/>
      <c r="V163" s="1902">
        <f>+'Anexo 5.1 INGRESOS VF'!AA35</f>
        <v>1670998595</v>
      </c>
      <c r="W163" s="1902">
        <f>+'Anexo 5.1 INGRESOS VF'!R36</f>
        <v>72602217.099999994</v>
      </c>
      <c r="X163" s="1902"/>
      <c r="Y163" s="1902"/>
      <c r="Z163" s="1902">
        <f>+'Anexo 5.1 INGRESOS VF'!AA36</f>
        <v>155532733</v>
      </c>
      <c r="AA163" s="1902">
        <f>+'Anexo 5.1 INGRESOS VF'!R40</f>
        <v>53092908.93</v>
      </c>
      <c r="AB163" s="1902"/>
      <c r="AC163" s="1902"/>
      <c r="AD163" s="1902">
        <f>+'Anexo 5.1 INGRESOS VF'!AA40</f>
        <v>83639510</v>
      </c>
      <c r="AE163" s="1902">
        <f>+'Anexo 5.1 INGRESOS VF'!R41</f>
        <v>19552150.489999998</v>
      </c>
      <c r="AF163" s="1902"/>
      <c r="AG163" s="1902"/>
      <c r="AH163" s="1902">
        <f>+'Anexo 5.1 INGRESOS VF'!AA41</f>
        <v>0</v>
      </c>
      <c r="AI163" s="1902">
        <f>+'Anexo 5.1 INGRESOS VF'!R53</f>
        <v>673672072.63</v>
      </c>
      <c r="AJ163" s="1902"/>
      <c r="AK163" s="1902"/>
      <c r="AL163" s="1902">
        <f>+'Anexo 5.1 INGRESOS VF'!AA53</f>
        <v>1652449668</v>
      </c>
      <c r="AM163" s="1902">
        <f>+'Anexo 5.1 INGRESOS VF'!R61</f>
        <v>6295939992</v>
      </c>
      <c r="AN163" s="1902"/>
      <c r="AO163" s="1902"/>
      <c r="AP163" s="1902">
        <f>+'Anexo 5.1 INGRESOS VF'!AA61</f>
        <v>4125224483</v>
      </c>
      <c r="AQ163" s="1902">
        <f>+'Anexo 5.1 INGRESOS VF'!R62</f>
        <v>62959400.100000001</v>
      </c>
      <c r="AR163" s="1902"/>
      <c r="AS163" s="1902"/>
      <c r="AT163" s="1902">
        <f>+'Anexo 5.1 INGRESOS VF'!AA62</f>
        <v>113678784</v>
      </c>
      <c r="AU163" s="1902">
        <f>+'Anexo 5.1 INGRESOS VF'!R57</f>
        <v>4197128919.3000002</v>
      </c>
      <c r="AV163" s="1902"/>
      <c r="AW163" s="1902"/>
      <c r="AX163" s="1902">
        <f>+'Anexo 5.1 INGRESOS VF'!AA57</f>
        <v>2034731840</v>
      </c>
      <c r="AY163" s="1902">
        <f>+'Anexo 5.1 INGRESOS VF'!R58</f>
        <v>450000000</v>
      </c>
      <c r="AZ163" s="1902"/>
      <c r="BA163" s="1902"/>
      <c r="BB163" s="1902">
        <f>+'Anexo 5.1 INGRESOS VF'!AA58</f>
        <v>95087283</v>
      </c>
      <c r="BC163" s="1902">
        <f>+'Anexo 5.1 INGRESOS VF'!R65</f>
        <v>167552412.09</v>
      </c>
      <c r="BD163" s="1902"/>
      <c r="BE163" s="1902"/>
      <c r="BF163" s="1904">
        <f>+'Anexo 5.1 INGRESOS VF'!AA65</f>
        <v>0</v>
      </c>
      <c r="BG163" s="1902">
        <f>+'Anexo 5.1 INGRESOS VF'!R66</f>
        <v>42660880.789999999</v>
      </c>
      <c r="BH163" s="1902"/>
      <c r="BI163" s="1902"/>
      <c r="BJ163" s="1904">
        <f>+'Anexo 5.1 INGRESOS VF'!AA66</f>
        <v>0</v>
      </c>
      <c r="BK163" s="1902">
        <f>+'Anexo 5.1 INGRESOS VF'!R103</f>
        <v>43855368.969999999</v>
      </c>
      <c r="BL163" s="1902"/>
      <c r="BM163" s="1902"/>
      <c r="BN163" s="1903">
        <f>+'Anexo 5.1 INGRESOS VF'!AA103</f>
        <v>18457816</v>
      </c>
      <c r="BO163" s="1902">
        <f>+'Anexo 5.1 INGRESOS VF'!R104</f>
        <v>16224093.99</v>
      </c>
      <c r="BP163" s="1902"/>
      <c r="BQ163" s="1902"/>
      <c r="BR163" s="1902">
        <f>+'Anexo 5.1 INGRESOS VF'!AA104</f>
        <v>125065957</v>
      </c>
      <c r="BS163" s="1902">
        <f>+'Anexo 5.1 INGRESOS VF'!R197</f>
        <v>65172331569</v>
      </c>
      <c r="BT163" s="1902"/>
      <c r="BU163" s="1902"/>
      <c r="BV163" s="1902">
        <f>+'Anexo 5.1 INGRESOS VF'!AA197</f>
        <v>70742262974.100006</v>
      </c>
      <c r="BW163" s="1902">
        <f>+'Anexo 5.1 INGRESOS VF'!R198</f>
        <v>21776284773</v>
      </c>
      <c r="BX163" s="1902"/>
      <c r="BY163" s="1902"/>
      <c r="BZ163" s="1901">
        <f>+'Anexo 5.1 INGRESOS VF'!AA198</f>
        <v>9542269732</v>
      </c>
      <c r="CA163" s="1902">
        <f>+'Anexo 5.1 INGRESOS VF'!R317</f>
        <v>331242317.45999998</v>
      </c>
      <c r="CB163" s="1902"/>
      <c r="CC163" s="1902"/>
      <c r="CD163" s="1902">
        <f>+'Anexo 5.1 INGRESOS VF'!AA317</f>
        <v>236078655.81999999</v>
      </c>
      <c r="CE163" s="1902">
        <f>+'Anexo 5.1 INGRESOS VF'!R401</f>
        <v>14416666667</v>
      </c>
      <c r="CF163" s="1902"/>
      <c r="CG163" s="1902"/>
      <c r="CH163" s="1902">
        <f>+'Anexo 5.1 INGRESOS VF'!AA401</f>
        <v>14940999999</v>
      </c>
      <c r="CI163" s="1902">
        <f>+'Anexo 5.1 INGRESOS VF'!R371</f>
        <v>8000000000</v>
      </c>
      <c r="CJ163" s="1902"/>
      <c r="CK163" s="1902"/>
      <c r="CL163" s="1902">
        <f>+'Anexo 5.1 INGRESOS VF'!AA371</f>
        <v>8000000000</v>
      </c>
      <c r="CM163" s="1916">
        <f>+'Anexo 5.1 INGRESOS VF'!R402</f>
        <v>3912277256</v>
      </c>
      <c r="CN163" s="1902"/>
      <c r="CO163" s="1902"/>
      <c r="CP163" s="1902">
        <f>+'Anexo 5.1 INGRESOS VF'!AA402</f>
        <v>28000000</v>
      </c>
      <c r="CQ163" s="1902">
        <f>+'Anexo 5.1 INGRESOS VF'!R525</f>
        <v>5221806239</v>
      </c>
      <c r="CR163" s="1902"/>
      <c r="CS163" s="1902"/>
      <c r="CT163" s="1902">
        <f>+'Anexo 5.1 INGRESOS VF'!AA525</f>
        <v>5173560845</v>
      </c>
      <c r="CU163" s="1891">
        <f>+'Anexo 5.1 INGRESOS VF'!R7</f>
        <v>155439506138.02002</v>
      </c>
      <c r="CV163" s="1891">
        <f t="shared" si="45"/>
        <v>0</v>
      </c>
      <c r="CW163" s="1891">
        <f t="shared" si="46"/>
        <v>0</v>
      </c>
      <c r="CX163" s="1891"/>
      <c r="CY163" s="817"/>
    </row>
    <row r="164" spans="1:105">
      <c r="B164" s="1905">
        <f>+B163-B161</f>
        <v>2.1026611328125E-2</v>
      </c>
      <c r="C164" s="792">
        <f>+C163-C161</f>
        <v>0</v>
      </c>
      <c r="D164" s="792"/>
      <c r="E164" s="792"/>
      <c r="F164" s="792">
        <f>+F163-D161</f>
        <v>2274935043.7299995</v>
      </c>
      <c r="G164" s="792">
        <f t="shared" ref="G164:BO164" si="68">+G163-G161</f>
        <v>0</v>
      </c>
      <c r="H164" s="792"/>
      <c r="I164" s="792"/>
      <c r="J164" s="792">
        <f>+J163-H161</f>
        <v>-2187133594</v>
      </c>
      <c r="K164" s="792">
        <f t="shared" si="68"/>
        <v>0</v>
      </c>
      <c r="L164" s="792"/>
      <c r="M164" s="792"/>
      <c r="N164" s="792">
        <f>+N163-L161</f>
        <v>2792571647.8831329</v>
      </c>
      <c r="O164" s="792">
        <f t="shared" si="68"/>
        <v>-4.0000677108764648E-3</v>
      </c>
      <c r="R164" s="792">
        <f>+R163-P161</f>
        <v>368280897.0249387</v>
      </c>
      <c r="S164" s="792">
        <f t="shared" si="68"/>
        <v>0</v>
      </c>
      <c r="T164" s="792"/>
      <c r="U164" s="792"/>
      <c r="V164" s="792">
        <f>+V163-T161</f>
        <v>-1710606510.0222902</v>
      </c>
      <c r="W164" s="792">
        <f t="shared" si="68"/>
        <v>0</v>
      </c>
      <c r="X164" s="792"/>
      <c r="Y164" s="792"/>
      <c r="Z164" s="792">
        <f>+Z163-X161</f>
        <v>83017638.560520008</v>
      </c>
      <c r="AA164" s="792">
        <f t="shared" si="68"/>
        <v>0</v>
      </c>
      <c r="AB164" s="792"/>
      <c r="AC164" s="792"/>
      <c r="AD164" s="792">
        <f>+AD163-AB161</f>
        <v>30610312.560715996</v>
      </c>
      <c r="AE164" s="792">
        <f t="shared" si="68"/>
        <v>4.9999989569187164E-3</v>
      </c>
      <c r="AF164" s="792"/>
      <c r="AG164" s="792"/>
      <c r="AH164" s="792">
        <f>+AH163-AF161</f>
        <v>-19528687.904417999</v>
      </c>
      <c r="AI164" s="792">
        <f t="shared" si="68"/>
        <v>0</v>
      </c>
      <c r="AJ164" s="792"/>
      <c r="AK164" s="792"/>
      <c r="AL164" s="792">
        <f>+AL163-AJ161</f>
        <v>979586001.85715604</v>
      </c>
      <c r="AM164" s="792">
        <f t="shared" si="68"/>
        <v>0</v>
      </c>
      <c r="AN164" s="792"/>
      <c r="AO164" s="792"/>
      <c r="AP164" s="792">
        <f>+AP163-AN161</f>
        <v>-2118600982.8479996</v>
      </c>
      <c r="AQ164" s="792">
        <f t="shared" si="68"/>
        <v>0</v>
      </c>
      <c r="AR164" s="792"/>
      <c r="AS164" s="792"/>
      <c r="AT164" s="792">
        <f>+AT163-AR161</f>
        <v>50782343.300099999</v>
      </c>
      <c r="AU164" s="792">
        <f t="shared" si="68"/>
        <v>0</v>
      </c>
      <c r="AV164" s="792"/>
      <c r="AW164" s="792"/>
      <c r="AX164" s="792">
        <f>+AX163-AV161</f>
        <v>-2158199950.3807001</v>
      </c>
      <c r="AY164" s="792">
        <f t="shared" si="68"/>
        <v>0</v>
      </c>
      <c r="AZ164" s="792"/>
      <c r="BA164" s="792"/>
      <c r="BB164" s="792">
        <f>+BB163-AZ161</f>
        <v>-354462717</v>
      </c>
      <c r="BC164" s="792">
        <f>+BC163-BC161</f>
        <v>0</v>
      </c>
      <c r="BD164" s="792"/>
      <c r="BE164" s="792"/>
      <c r="BF164" s="792">
        <f t="shared" si="68"/>
        <v>-150637906.28142163</v>
      </c>
      <c r="BG164" s="792">
        <f t="shared" si="68"/>
        <v>0</v>
      </c>
      <c r="BH164" s="792"/>
      <c r="BI164" s="792"/>
      <c r="BJ164" s="792">
        <f t="shared" si="68"/>
        <v>-38354242.008017391</v>
      </c>
      <c r="BK164" s="792">
        <f t="shared" si="68"/>
        <v>0</v>
      </c>
      <c r="BL164" s="792"/>
      <c r="BM164" s="792"/>
      <c r="BN164" s="792">
        <f>+BN163-BL161</f>
        <v>-25125730.017448246</v>
      </c>
      <c r="BO164" s="792">
        <f t="shared" si="68"/>
        <v>0</v>
      </c>
      <c r="BP164" s="792">
        <f t="shared" ref="BP164:CE164" si="69">+BP163-BP161</f>
        <v>-16123534.326852355</v>
      </c>
      <c r="BQ164" s="792">
        <f t="shared" si="69"/>
        <v>-15881844.588650379</v>
      </c>
      <c r="BR164" s="792">
        <f>+BR163-BP161</f>
        <v>108942422.67314765</v>
      </c>
      <c r="BS164" s="792">
        <f t="shared" si="69"/>
        <v>0</v>
      </c>
      <c r="BT164" s="792"/>
      <c r="BU164" s="792"/>
      <c r="BV164" s="792">
        <f>+BV163-BT161</f>
        <v>6115918673.8706589</v>
      </c>
      <c r="BW164" s="792">
        <f t="shared" si="69"/>
        <v>0</v>
      </c>
      <c r="BX164" s="792"/>
      <c r="BY164" s="792"/>
      <c r="BZ164" s="792">
        <f>+BZ163-BX161</f>
        <v>-11828554020.81525</v>
      </c>
      <c r="CA164" s="792">
        <f t="shared" si="69"/>
        <v>0</v>
      </c>
      <c r="CB164" s="792"/>
      <c r="CC164" s="792"/>
      <c r="CD164" s="792">
        <f t="shared" si="69"/>
        <v>-40977801.122112513</v>
      </c>
      <c r="CE164" s="792">
        <f t="shared" si="69"/>
        <v>0</v>
      </c>
      <c r="CF164" s="792"/>
      <c r="CG164" s="792"/>
      <c r="CH164" s="792">
        <f>+CH163-CF161</f>
        <v>538749998.66699982</v>
      </c>
      <c r="CI164" s="792">
        <f>+CI163-CI161</f>
        <v>0</v>
      </c>
      <c r="CJ164" s="792">
        <f>+CJ163-CH161</f>
        <v>-11540541666.9335</v>
      </c>
      <c r="CK164" s="792">
        <f>+CK163-CI161</f>
        <v>-8000000000</v>
      </c>
      <c r="CL164" s="792">
        <f>+CL163-CJ161</f>
        <v>23646266.668909073</v>
      </c>
      <c r="CM164" s="792">
        <f>+CM163-CM161</f>
        <v>0</v>
      </c>
      <c r="CN164" s="792"/>
      <c r="CO164" s="792"/>
      <c r="CP164" s="792"/>
      <c r="CQ164" s="792">
        <f>+CQ163-CQ161</f>
        <v>0</v>
      </c>
      <c r="CR164" s="792"/>
      <c r="CS164" s="792"/>
      <c r="CT164" s="792">
        <f>+CT163-CR161</f>
        <v>-43023587.76099968</v>
      </c>
      <c r="CU164" s="792">
        <f>+CU163-CU161</f>
        <v>1.03759765625E-3</v>
      </c>
      <c r="CV164" s="792">
        <f>+CV161-CV166</f>
        <v>-0.380401611328125</v>
      </c>
      <c r="CW164" s="792">
        <f t="shared" ref="CW164:CX164" si="70">+CW161-CW166</f>
        <v>100.32693481445313</v>
      </c>
      <c r="CX164" s="792">
        <f t="shared" si="70"/>
        <v>0.32672119140625</v>
      </c>
    </row>
    <row r="165" spans="1:105" s="1911" customFormat="1">
      <c r="A165" s="1911" t="s">
        <v>2074</v>
      </c>
      <c r="C165" s="1912">
        <v>10022113022.27</v>
      </c>
      <c r="D165" s="1912">
        <v>10022113022.27</v>
      </c>
      <c r="E165" s="1912">
        <v>6553059364</v>
      </c>
      <c r="F165" s="1912">
        <v>6553059364</v>
      </c>
      <c r="G165" s="1912">
        <v>3813285725</v>
      </c>
      <c r="H165" s="1912">
        <v>3813285725</v>
      </c>
      <c r="I165" s="1912">
        <v>1688370907.2700005</v>
      </c>
      <c r="J165" s="1912">
        <v>1688370907.2700005</v>
      </c>
      <c r="K165" s="1912">
        <v>6657467074.9700003</v>
      </c>
      <c r="L165" s="1912">
        <v>6195608526</v>
      </c>
      <c r="M165" s="1912">
        <v>4283491335.1900001</v>
      </c>
      <c r="N165" s="1912">
        <v>4017625227.1900001</v>
      </c>
      <c r="O165" s="1912">
        <v>635459624.926</v>
      </c>
      <c r="P165" s="1912">
        <v>0</v>
      </c>
      <c r="Q165" s="1912">
        <v>0</v>
      </c>
      <c r="R165" s="1912">
        <v>0</v>
      </c>
      <c r="S165" s="1912">
        <v>3385331453</v>
      </c>
      <c r="T165" s="1912">
        <v>1077817376</v>
      </c>
      <c r="U165" s="1912">
        <v>1077817376</v>
      </c>
      <c r="V165" s="1911">
        <v>1077817376</v>
      </c>
      <c r="W165" s="1915">
        <v>72602217.099999994</v>
      </c>
      <c r="X165" s="1915">
        <v>72602217.099999994</v>
      </c>
      <c r="Y165" s="1915">
        <v>72602217.099999994</v>
      </c>
      <c r="Z165" s="1915">
        <v>72602217.099999994</v>
      </c>
      <c r="AA165" s="1915">
        <v>53092908.93</v>
      </c>
      <c r="AB165" s="1915">
        <v>3330153.6</v>
      </c>
      <c r="AC165" s="1915">
        <v>3330153.6</v>
      </c>
      <c r="AD165" s="1915">
        <v>3330153.6</v>
      </c>
      <c r="AE165" s="1915">
        <v>19552150.484999999</v>
      </c>
      <c r="AF165" s="1915">
        <v>0</v>
      </c>
      <c r="AG165" s="1915">
        <v>0</v>
      </c>
      <c r="AH165" s="1915">
        <v>0</v>
      </c>
      <c r="AI165" s="1915">
        <v>673672072.63</v>
      </c>
      <c r="AJ165" s="1915">
        <v>101955941.3</v>
      </c>
      <c r="AK165" s="1915">
        <v>101955941.3</v>
      </c>
      <c r="AL165" s="1915">
        <v>97067659.299999997</v>
      </c>
      <c r="AM165" s="1915">
        <v>6295939992</v>
      </c>
      <c r="AN165" s="1915">
        <v>3948546221</v>
      </c>
      <c r="AO165" s="1915">
        <v>3691888523</v>
      </c>
      <c r="AP165" s="1915">
        <v>3650175694</v>
      </c>
      <c r="AQ165" s="1915">
        <v>62959400.100000001</v>
      </c>
      <c r="AR165" s="1915">
        <v>45404852</v>
      </c>
      <c r="AS165" s="1915">
        <v>45404852</v>
      </c>
      <c r="AT165" s="1915">
        <v>45404852</v>
      </c>
      <c r="AU165" s="1915">
        <v>4197128919.3000002</v>
      </c>
      <c r="AV165" s="1915">
        <v>640496078.08000195</v>
      </c>
      <c r="AW165" s="1915">
        <v>640496078.08000195</v>
      </c>
      <c r="AX165" s="1915">
        <v>640496078.08000195</v>
      </c>
      <c r="AY165" s="1915">
        <v>450000000</v>
      </c>
      <c r="AZ165" s="1915">
        <v>82299351.599999994</v>
      </c>
      <c r="BA165" s="1915">
        <v>82299351.599999994</v>
      </c>
      <c r="BB165" s="1915">
        <v>82299351.599999994</v>
      </c>
      <c r="BC165" s="1915">
        <v>167552412.09</v>
      </c>
      <c r="BD165" s="1915">
        <v>0</v>
      </c>
      <c r="BE165" s="1915">
        <v>0</v>
      </c>
      <c r="BF165" s="1915">
        <v>0</v>
      </c>
      <c r="BG165" s="1915">
        <v>42660880.784999996</v>
      </c>
      <c r="BH165" s="1915">
        <v>0</v>
      </c>
      <c r="BI165" s="1915">
        <v>0</v>
      </c>
      <c r="BJ165" s="1915">
        <v>0</v>
      </c>
      <c r="BK165" s="1915">
        <v>43855368.965999998</v>
      </c>
      <c r="BL165" s="1915">
        <v>28629822.059999999</v>
      </c>
      <c r="BM165" s="1915">
        <v>10403496</v>
      </c>
      <c r="BN165" s="1915">
        <v>10403496</v>
      </c>
      <c r="BO165" s="1915">
        <v>16224093.99</v>
      </c>
      <c r="BP165" s="1915">
        <v>14436666.9</v>
      </c>
      <c r="BQ165" s="1915">
        <v>14436666.9</v>
      </c>
      <c r="BR165" s="1915">
        <v>14436666.9</v>
      </c>
      <c r="BS165" s="1915">
        <v>65172331568.997993</v>
      </c>
      <c r="BT165" s="1915">
        <v>43564896242.850006</v>
      </c>
      <c r="BU165" s="1915">
        <v>27935138364.889999</v>
      </c>
      <c r="BV165" s="1915">
        <v>27585101808.889999</v>
      </c>
      <c r="BW165" s="1915">
        <v>21776284773</v>
      </c>
      <c r="BX165" s="1915">
        <v>15910438337.52</v>
      </c>
      <c r="BY165" s="1915">
        <v>14309679525.01</v>
      </c>
      <c r="BZ165" s="1915">
        <v>14295685820.01</v>
      </c>
      <c r="CA165" s="1915">
        <v>331242317.45999998</v>
      </c>
      <c r="CB165" s="1915">
        <v>195822317.46000001</v>
      </c>
      <c r="CC165" s="1915">
        <v>104438257</v>
      </c>
      <c r="CD165" s="1915">
        <v>104438257</v>
      </c>
      <c r="CE165" s="1915">
        <v>14416666667</v>
      </c>
      <c r="CF165" s="1915">
        <v>14416666667</v>
      </c>
      <c r="CG165" s="1915">
        <v>14416666667</v>
      </c>
      <c r="CH165" s="1915">
        <v>14416666666</v>
      </c>
      <c r="CI165" s="1915"/>
      <c r="CJ165" s="1915"/>
      <c r="CK165" s="1915"/>
      <c r="CL165" s="1915"/>
      <c r="CQ165" s="1915">
        <v>5221806239</v>
      </c>
      <c r="CR165" s="1915">
        <v>4477736751.0500002</v>
      </c>
      <c r="CS165" s="1915">
        <v>16088896</v>
      </c>
      <c r="CT165" s="1915">
        <v>0</v>
      </c>
      <c r="CU165" s="1913">
        <f t="shared" ref="CU165" si="71">+C165+G165+K165+O165+S165+W165+AA165+AE165+AI165+AM165+AQ165+AU165+AY165+BC165+BG165+BK165+BO165+BS165+BW165+CA165+CE165+CI165+CM165+CQ165</f>
        <v>143527228882</v>
      </c>
      <c r="CV165" s="1913">
        <f t="shared" ref="CV165" si="72">+D165+H165+L165+P165+T165+X165+AB165+AF165+AJ165+AN165+AR165+AV165+AZ165+BD165+BH165+BL165+BP165+BT165+BX165+CB165+CF165+CJ165+CN165+CR165</f>
        <v>104612086268.79002</v>
      </c>
      <c r="CW165" s="1913">
        <f t="shared" ref="CW165" si="73">+E165+I165+M165+Q165+U165+Y165+AC165+AG165+AK165+AO165+AS165+AW165+BA165+BE165+BI165+BM165+BQ165+BU165+BY165+CC165+CG165+CK165+CO165+CS165</f>
        <v>75047567971.940002</v>
      </c>
      <c r="CX165" s="1913">
        <f t="shared" ref="CX165" si="74">+F165+J165+N165+R165+V165+Z165+AD165+AH165+AL165+AP165+AT165+AX165+BB165+BF165+BJ165+BN165+BR165+BV165+BZ165+CD165+CH165+CL165+CP165+CT165</f>
        <v>74354981594.940002</v>
      </c>
    </row>
    <row r="166" spans="1:105">
      <c r="A166" s="750" t="s">
        <v>2165</v>
      </c>
      <c r="CM166" s="1906">
        <f>+CM163+CI164+CA164</f>
        <v>3912277256</v>
      </c>
      <c r="CQ166" s="1906"/>
      <c r="CU166" s="1886">
        <f>+'Anexo 5.2. informe Gastos'!Y47</f>
        <v>155439506138</v>
      </c>
      <c r="CV166" s="1886">
        <f>+'Anexo 5.2. informe Gastos'!Z47</f>
        <v>154291387965.16</v>
      </c>
      <c r="CW166" s="1886">
        <f>+'Anexo 5.2. informe Gastos'!AA47</f>
        <v>122471350721</v>
      </c>
      <c r="CX166" s="1886">
        <f>+'Anexo 5.2. informe Gastos'!AB47</f>
        <v>117518820311</v>
      </c>
    </row>
    <row r="167" spans="1:105">
      <c r="N167" s="792"/>
    </row>
    <row r="176" spans="1:105">
      <c r="F176" s="750" t="s">
        <v>2068</v>
      </c>
    </row>
  </sheetData>
  <mergeCells count="3">
    <mergeCell ref="CY2:DA2"/>
    <mergeCell ref="DB2:DD2"/>
    <mergeCell ref="CU2:CX2"/>
  </mergeCells>
  <pageMargins left="0.7" right="0.7" top="0.75" bottom="0.75" header="0.3" footer="0.3"/>
  <pageSetup paperSize="12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4DF90-C01D-48B1-9686-89CFA6FE6B20}">
  <dimension ref="A1:B13"/>
  <sheetViews>
    <sheetView topLeftCell="A10" workbookViewId="0">
      <selection activeCell="A7" sqref="A7"/>
    </sheetView>
  </sheetViews>
  <sheetFormatPr baseColWidth="10" defaultColWidth="11.42578125" defaultRowHeight="15"/>
  <cols>
    <col min="1" max="1" width="50.28515625" customWidth="1"/>
    <col min="2" max="2" width="68.42578125" customWidth="1"/>
  </cols>
  <sheetData>
    <row r="1" spans="1:2" ht="15.75" thickBot="1">
      <c r="A1" s="2350"/>
      <c r="B1" s="2350"/>
    </row>
    <row r="2" spans="1:2" ht="15.75" thickBot="1">
      <c r="A2" s="2372" t="s">
        <v>280</v>
      </c>
      <c r="B2" s="2352"/>
    </row>
    <row r="3" spans="1:2" ht="15.75" thickBot="1">
      <c r="A3" s="2181" t="s">
        <v>38</v>
      </c>
      <c r="B3" s="2353"/>
    </row>
    <row r="4" spans="1:2" ht="15.75" thickBot="1">
      <c r="A4" s="72" t="s">
        <v>251</v>
      </c>
      <c r="B4" s="72" t="s">
        <v>40</v>
      </c>
    </row>
    <row r="5" spans="1:2" ht="26.25" thickBot="1">
      <c r="A5" s="73" t="s">
        <v>252</v>
      </c>
      <c r="B5" s="74" t="s">
        <v>253</v>
      </c>
    </row>
    <row r="6" spans="1:2" ht="16.5" thickTop="1" thickBot="1">
      <c r="A6" s="75" t="s">
        <v>254</v>
      </c>
      <c r="B6" s="74" t="s">
        <v>281</v>
      </c>
    </row>
    <row r="7" spans="1:2" ht="78" thickTop="1" thickBot="1">
      <c r="A7" s="82" t="s">
        <v>282</v>
      </c>
      <c r="B7" s="74" t="s">
        <v>283</v>
      </c>
    </row>
    <row r="8" spans="1:2" ht="90.75" thickTop="1" thickBot="1">
      <c r="A8" s="82" t="s">
        <v>284</v>
      </c>
      <c r="B8" s="74" t="s">
        <v>285</v>
      </c>
    </row>
    <row r="9" spans="1:2" ht="90.75" thickTop="1" thickBot="1">
      <c r="A9" s="82" t="s">
        <v>286</v>
      </c>
      <c r="B9" s="74" t="s">
        <v>287</v>
      </c>
    </row>
    <row r="10" spans="1:2" ht="90.75" thickTop="1" thickBot="1">
      <c r="A10" s="82" t="s">
        <v>288</v>
      </c>
      <c r="B10" s="74" t="s">
        <v>289</v>
      </c>
    </row>
    <row r="11" spans="1:2" ht="27" thickTop="1" thickBot="1">
      <c r="A11" s="82" t="s">
        <v>290</v>
      </c>
      <c r="B11" s="74" t="s">
        <v>291</v>
      </c>
    </row>
    <row r="12" spans="1:2" ht="27" thickTop="1" thickBot="1">
      <c r="A12" s="82" t="s">
        <v>292</v>
      </c>
      <c r="B12" s="74" t="s">
        <v>279</v>
      </c>
    </row>
    <row r="13" spans="1:2" ht="15.75" thickTop="1"/>
  </sheetData>
  <mergeCells count="3">
    <mergeCell ref="A1:B1"/>
    <mergeCell ref="A2:B2"/>
    <mergeCell ref="A3:B3"/>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46E3AF-49DC-4C38-AEF7-F1E7E71388A8}">
  <dimension ref="A1"/>
  <sheetViews>
    <sheetView workbookViewId="0"/>
  </sheetViews>
  <sheetFormatPr baseColWidth="10"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pageSetUpPr fitToPage="1"/>
  </sheetPr>
  <dimension ref="A1:AR311"/>
  <sheetViews>
    <sheetView topLeftCell="A12" zoomScale="70" zoomScaleNormal="70" zoomScaleSheetLayoutView="75" workbookViewId="0">
      <selection activeCell="F18" sqref="F18"/>
    </sheetView>
  </sheetViews>
  <sheetFormatPr baseColWidth="10" defaultColWidth="11.42578125" defaultRowHeight="12.75"/>
  <cols>
    <col min="1" max="1" width="45" style="4" customWidth="1"/>
    <col min="2" max="2" width="24.140625" style="4" customWidth="1"/>
    <col min="3" max="3" width="9.7109375" style="90" customWidth="1"/>
    <col min="4" max="4" width="18" style="90" customWidth="1"/>
    <col min="5" max="6" width="11.85546875" style="90" customWidth="1"/>
    <col min="7" max="7" width="13.7109375" style="90" customWidth="1"/>
    <col min="8" max="8" width="11.85546875" style="90" customWidth="1"/>
    <col min="9" max="9" width="11.28515625" style="90" customWidth="1"/>
    <col min="10" max="10" width="43.28515625" style="4" customWidth="1"/>
    <col min="11" max="11" width="26.140625" style="4" customWidth="1"/>
    <col min="12" max="18" width="20.85546875" style="4" customWidth="1"/>
    <col min="19" max="19" width="19.140625" style="4" customWidth="1"/>
    <col min="20" max="20" width="12.140625" style="90" customWidth="1"/>
    <col min="21" max="21" width="10.28515625" style="90" customWidth="1"/>
    <col min="22" max="22" width="18" style="90" customWidth="1"/>
    <col min="23" max="23" width="18" style="4" customWidth="1"/>
    <col min="24" max="24" width="21" style="4" customWidth="1"/>
    <col min="25" max="25" width="29" style="4" customWidth="1"/>
    <col min="26" max="26" width="25.7109375" style="4" customWidth="1"/>
    <col min="27" max="27" width="27.7109375" style="4" customWidth="1"/>
    <col min="28" max="28" width="16.28515625" style="264" customWidth="1"/>
    <col min="29" max="29" width="27.42578125" style="4" customWidth="1"/>
    <col min="30" max="30" width="16.28515625" style="4" customWidth="1"/>
    <col min="31" max="31" width="30.5703125" style="4" customWidth="1"/>
    <col min="32" max="32" width="27.85546875" style="4" customWidth="1"/>
    <col min="33" max="33" width="25.5703125" style="4" customWidth="1"/>
    <col min="34" max="34" width="13" style="4" customWidth="1"/>
    <col min="35" max="35" width="30.7109375" style="4" customWidth="1"/>
    <col min="36" max="36" width="31.85546875" style="4" customWidth="1"/>
    <col min="37" max="37" width="17.42578125" style="4" customWidth="1"/>
    <col min="38" max="38" width="25" style="4" customWidth="1"/>
    <col min="39" max="39" width="23" style="4" customWidth="1"/>
    <col min="40" max="40" width="32.42578125" style="4" customWidth="1"/>
    <col min="41" max="41" width="20.42578125" style="4" customWidth="1"/>
    <col min="42" max="43" width="11.42578125" style="4" hidden="1" customWidth="1"/>
    <col min="44" max="16384" width="11.42578125" style="4"/>
  </cols>
  <sheetData>
    <row r="1" spans="1:43" ht="81.75" customHeight="1" thickBot="1">
      <c r="A1" s="2211"/>
      <c r="B1" s="2212"/>
      <c r="C1" s="2212"/>
      <c r="D1" s="2212"/>
      <c r="E1" s="2212"/>
      <c r="F1" s="2212"/>
      <c r="G1" s="2212"/>
      <c r="H1" s="2212"/>
      <c r="I1" s="2212"/>
      <c r="J1" s="2212"/>
      <c r="K1" s="2212"/>
      <c r="L1" s="2212"/>
      <c r="M1" s="2212"/>
      <c r="N1" s="2212"/>
      <c r="O1" s="2212"/>
      <c r="P1" s="2212"/>
      <c r="Q1" s="2212"/>
      <c r="R1" s="2212"/>
      <c r="S1" s="2212"/>
      <c r="T1" s="2212"/>
      <c r="U1" s="2212"/>
      <c r="V1" s="2212"/>
      <c r="W1" s="2212"/>
      <c r="X1" s="2212"/>
      <c r="Y1" s="2212"/>
      <c r="Z1" s="2212"/>
      <c r="AA1" s="2212"/>
      <c r="AB1" s="2212"/>
      <c r="AC1" s="2212"/>
      <c r="AD1" s="2212"/>
      <c r="AE1" s="2212"/>
      <c r="AF1" s="2212"/>
      <c r="AG1" s="2212"/>
      <c r="AH1" s="2212"/>
      <c r="AI1" s="2212"/>
      <c r="AJ1" s="2212"/>
      <c r="AK1" s="2212"/>
      <c r="AL1" s="2212"/>
      <c r="AM1" s="2212"/>
      <c r="AN1" s="2212"/>
      <c r="AO1" s="2213"/>
    </row>
    <row r="2" spans="1:43" s="5" customFormat="1" ht="27.75" customHeight="1">
      <c r="A2" s="2228" t="str">
        <f>+'Datos Generales'!C5</f>
        <v>Corporación Autónoma Regional del Atlántico – CRA</v>
      </c>
      <c r="B2" s="2229"/>
      <c r="C2" s="2229"/>
      <c r="D2" s="2229"/>
      <c r="E2" s="2229"/>
      <c r="F2" s="2229"/>
      <c r="G2" s="2229"/>
      <c r="H2" s="2229"/>
      <c r="I2" s="2229"/>
      <c r="J2" s="2229"/>
      <c r="K2" s="2229"/>
      <c r="L2" s="2229"/>
      <c r="M2" s="2229"/>
      <c r="N2" s="2229"/>
      <c r="O2" s="2229"/>
      <c r="P2" s="2229"/>
      <c r="Q2" s="2229"/>
      <c r="R2" s="2229"/>
      <c r="S2" s="2229"/>
      <c r="T2" s="2229"/>
      <c r="U2" s="2229"/>
      <c r="V2" s="2229"/>
      <c r="W2" s="2229"/>
      <c r="X2" s="2229"/>
      <c r="Y2" s="2229"/>
      <c r="Z2" s="2229"/>
      <c r="AA2" s="2229"/>
      <c r="AB2" s="2229"/>
      <c r="AC2" s="2229"/>
      <c r="AD2" s="2229"/>
      <c r="AE2" s="2229"/>
      <c r="AF2" s="2229"/>
      <c r="AG2" s="2229"/>
      <c r="AH2" s="2229"/>
      <c r="AI2" s="2229"/>
      <c r="AJ2" s="2229"/>
      <c r="AK2" s="2229"/>
      <c r="AL2" s="2229"/>
      <c r="AM2" s="2229"/>
      <c r="AN2" s="2229"/>
      <c r="AO2" s="2230"/>
    </row>
    <row r="3" spans="1:43" s="5" customFormat="1" ht="33.75" customHeight="1" thickBot="1">
      <c r="A3" s="2231" t="s">
        <v>100</v>
      </c>
      <c r="B3" s="2232"/>
      <c r="C3" s="2232"/>
      <c r="D3" s="2232"/>
      <c r="E3" s="2232"/>
      <c r="F3" s="2232"/>
      <c r="G3" s="2232"/>
      <c r="H3" s="2232"/>
      <c r="I3" s="2232"/>
      <c r="J3" s="2232"/>
      <c r="K3" s="2232"/>
      <c r="L3" s="2232"/>
      <c r="M3" s="2232"/>
      <c r="N3" s="2232"/>
      <c r="O3" s="2232"/>
      <c r="P3" s="2232"/>
      <c r="Q3" s="2232"/>
      <c r="R3" s="2232"/>
      <c r="S3" s="2232"/>
      <c r="T3" s="2232"/>
      <c r="U3" s="2232"/>
      <c r="V3" s="2232"/>
      <c r="W3" s="2232"/>
      <c r="X3" s="2232"/>
      <c r="Y3" s="2232"/>
      <c r="Z3" s="2232"/>
      <c r="AA3" s="2232"/>
      <c r="AB3" s="2232"/>
      <c r="AC3" s="2232"/>
      <c r="AD3" s="2232"/>
      <c r="AE3" s="2232"/>
      <c r="AF3" s="2232"/>
      <c r="AG3" s="2232"/>
      <c r="AH3" s="2232"/>
      <c r="AI3" s="2232"/>
      <c r="AJ3" s="2232"/>
      <c r="AK3" s="2232"/>
      <c r="AL3" s="2232"/>
      <c r="AM3" s="2232"/>
      <c r="AN3" s="2232"/>
      <c r="AO3" s="2233"/>
    </row>
    <row r="4" spans="1:43" s="5" customFormat="1" ht="13.5" thickBot="1">
      <c r="A4" s="117" t="s">
        <v>101</v>
      </c>
      <c r="B4" s="118" t="str">
        <f>'Datos Generales'!C6</f>
        <v>2022-II</v>
      </c>
      <c r="C4" s="119"/>
      <c r="D4" s="119"/>
      <c r="E4" s="119"/>
      <c r="F4" s="119"/>
      <c r="G4" s="119"/>
      <c r="H4" s="119"/>
      <c r="I4" s="119"/>
      <c r="J4" s="118"/>
      <c r="K4" s="118"/>
      <c r="L4" s="118"/>
      <c r="M4" s="118"/>
      <c r="N4" s="118"/>
      <c r="O4" s="118"/>
      <c r="P4" s="118"/>
      <c r="Q4" s="118"/>
      <c r="R4" s="118"/>
      <c r="S4" s="118"/>
      <c r="T4" s="119"/>
      <c r="U4" s="119"/>
      <c r="V4" s="119"/>
      <c r="W4" s="118"/>
      <c r="X4" s="118"/>
      <c r="Y4" s="118"/>
      <c r="Z4" s="118"/>
      <c r="AA4" s="118"/>
      <c r="AB4" s="262"/>
      <c r="AC4" s="118"/>
      <c r="AD4" s="118"/>
      <c r="AE4" s="118"/>
      <c r="AF4" s="118"/>
      <c r="AG4" s="118"/>
      <c r="AH4" s="118"/>
      <c r="AI4" s="118"/>
      <c r="AJ4" s="118"/>
      <c r="AK4" s="118"/>
      <c r="AL4" s="118"/>
      <c r="AM4" s="118"/>
      <c r="AN4" s="118"/>
      <c r="AO4" s="120"/>
    </row>
    <row r="5" spans="1:43" ht="53.25" customHeight="1" thickBot="1">
      <c r="A5" s="2178" t="s">
        <v>365</v>
      </c>
      <c r="B5" s="2181" t="s">
        <v>32</v>
      </c>
      <c r="C5" s="2182"/>
      <c r="D5" s="2182"/>
      <c r="E5" s="2182"/>
      <c r="F5" s="2182"/>
      <c r="G5" s="2182"/>
      <c r="H5" s="2182"/>
      <c r="I5" s="2182"/>
      <c r="J5" s="2182"/>
      <c r="K5" s="2182"/>
      <c r="L5" s="2182"/>
      <c r="M5" s="2182"/>
      <c r="N5" s="2182"/>
      <c r="O5" s="2182"/>
      <c r="P5" s="2182"/>
      <c r="Q5" s="2182"/>
      <c r="R5" s="2182"/>
      <c r="S5" s="2182"/>
      <c r="T5" s="2182"/>
      <c r="U5" s="2183"/>
      <c r="V5" s="2183"/>
      <c r="W5" s="2183"/>
      <c r="X5" s="2183"/>
      <c r="Y5" s="2184"/>
      <c r="Z5" s="2184"/>
      <c r="AA5" s="2184"/>
      <c r="AB5" s="2184"/>
      <c r="AC5" s="2184"/>
      <c r="AD5" s="2184"/>
      <c r="AE5" s="2184"/>
      <c r="AF5" s="2184"/>
      <c r="AG5" s="2184"/>
      <c r="AH5" s="2184"/>
      <c r="AI5" s="2184"/>
      <c r="AJ5" s="2184"/>
      <c r="AK5" s="2184"/>
      <c r="AL5" s="2178" t="s">
        <v>360</v>
      </c>
      <c r="AM5" s="2219" t="s">
        <v>361</v>
      </c>
      <c r="AN5" s="2222" t="s">
        <v>362</v>
      </c>
      <c r="AO5" s="2225" t="s">
        <v>363</v>
      </c>
      <c r="AP5" s="2208" t="s">
        <v>322</v>
      </c>
      <c r="AQ5" s="2208" t="s">
        <v>329</v>
      </c>
    </row>
    <row r="6" spans="1:43" s="90" customFormat="1" ht="60.75" customHeight="1" thickBot="1">
      <c r="A6" s="2179"/>
      <c r="B6" s="2192" t="s">
        <v>331</v>
      </c>
      <c r="C6" s="2189" t="s">
        <v>330</v>
      </c>
      <c r="D6" s="2190"/>
      <c r="E6" s="2191" t="s">
        <v>318</v>
      </c>
      <c r="F6" s="2190"/>
      <c r="G6" s="121" t="s">
        <v>317</v>
      </c>
      <c r="H6" s="2191" t="s">
        <v>33</v>
      </c>
      <c r="I6" s="2190"/>
      <c r="J6" s="2192" t="s">
        <v>34</v>
      </c>
      <c r="K6" s="2172" t="s">
        <v>338</v>
      </c>
      <c r="L6" s="2172" t="s">
        <v>339</v>
      </c>
      <c r="M6" s="2172" t="s">
        <v>340</v>
      </c>
      <c r="N6" s="2172" t="s">
        <v>341</v>
      </c>
      <c r="O6" s="2172" t="s">
        <v>342</v>
      </c>
      <c r="P6" s="2172" t="s">
        <v>343</v>
      </c>
      <c r="Q6" s="2172" t="s">
        <v>344</v>
      </c>
      <c r="R6" s="2172" t="s">
        <v>345</v>
      </c>
      <c r="S6" s="2192" t="s">
        <v>346</v>
      </c>
      <c r="T6" s="2214" t="s">
        <v>347</v>
      </c>
      <c r="U6" s="2214" t="s">
        <v>348</v>
      </c>
      <c r="V6" s="2217" t="s">
        <v>408</v>
      </c>
      <c r="W6" s="2176" t="s">
        <v>1439</v>
      </c>
      <c r="X6" s="2200" t="s">
        <v>962</v>
      </c>
      <c r="Y6" s="2174" t="s">
        <v>350</v>
      </c>
      <c r="Z6" s="2202" t="s">
        <v>351</v>
      </c>
      <c r="AA6" s="2203"/>
      <c r="AB6" s="2196" t="s">
        <v>415</v>
      </c>
      <c r="AC6" s="2196" t="s">
        <v>352</v>
      </c>
      <c r="AD6" s="2196" t="s">
        <v>353</v>
      </c>
      <c r="AE6" s="2196" t="s">
        <v>354</v>
      </c>
      <c r="AF6" s="2196" t="s">
        <v>1611</v>
      </c>
      <c r="AG6" s="2196" t="s">
        <v>1612</v>
      </c>
      <c r="AH6" s="2196" t="s">
        <v>357</v>
      </c>
      <c r="AI6" s="2198" t="s">
        <v>358</v>
      </c>
      <c r="AJ6" s="2198" t="s">
        <v>399</v>
      </c>
      <c r="AK6" s="2198" t="s">
        <v>359</v>
      </c>
      <c r="AL6" s="2194"/>
      <c r="AM6" s="2220"/>
      <c r="AN6" s="2223"/>
      <c r="AO6" s="2226"/>
      <c r="AP6" s="2209"/>
      <c r="AQ6" s="2209"/>
    </row>
    <row r="7" spans="1:43" ht="17.25" customHeight="1" thickBot="1">
      <c r="A7" s="2180"/>
      <c r="B7" s="2193"/>
      <c r="C7" s="209">
        <v>2021</v>
      </c>
      <c r="D7" s="122">
        <v>2022</v>
      </c>
      <c r="E7" s="122">
        <v>2021</v>
      </c>
      <c r="F7" s="122">
        <v>2022</v>
      </c>
      <c r="G7" s="122">
        <v>2021</v>
      </c>
      <c r="H7" s="122">
        <v>2021</v>
      </c>
      <c r="I7" s="122">
        <v>2022</v>
      </c>
      <c r="J7" s="2193"/>
      <c r="K7" s="2173"/>
      <c r="L7" s="2173"/>
      <c r="M7" s="2173"/>
      <c r="N7" s="2173"/>
      <c r="O7" s="2173"/>
      <c r="P7" s="2173"/>
      <c r="Q7" s="2173"/>
      <c r="R7" s="2173"/>
      <c r="S7" s="2193"/>
      <c r="T7" s="2215"/>
      <c r="U7" s="2216"/>
      <c r="V7" s="2218"/>
      <c r="W7" s="2177"/>
      <c r="X7" s="2201"/>
      <c r="Y7" s="2175"/>
      <c r="Z7" s="292">
        <v>2020</v>
      </c>
      <c r="AA7" s="287">
        <v>2022</v>
      </c>
      <c r="AB7" s="2197"/>
      <c r="AC7" s="2197"/>
      <c r="AD7" s="2197"/>
      <c r="AE7" s="2197"/>
      <c r="AF7" s="2197"/>
      <c r="AG7" s="2197"/>
      <c r="AH7" s="2197"/>
      <c r="AI7" s="2199"/>
      <c r="AJ7" s="2199"/>
      <c r="AK7" s="2199"/>
      <c r="AL7" s="2195"/>
      <c r="AM7" s="2221"/>
      <c r="AN7" s="2224"/>
      <c r="AO7" s="2227"/>
      <c r="AP7" s="2210"/>
      <c r="AQ7" s="2210"/>
    </row>
    <row r="8" spans="1:43" ht="39" customHeight="1" thickBot="1">
      <c r="A8" s="313" t="s">
        <v>416</v>
      </c>
      <c r="B8" s="123"/>
      <c r="C8" s="463"/>
      <c r="D8" s="221"/>
      <c r="E8" s="210"/>
      <c r="F8" s="124"/>
      <c r="G8" s="124"/>
      <c r="H8" s="125">
        <f>+(H9*W9)+(H32*W32)+(H49*W49)</f>
        <v>0.91109999999999991</v>
      </c>
      <c r="I8" s="693">
        <f>+(I9*X9)+(I32*X32)+(I49*X49)</f>
        <v>0.92005625000000002</v>
      </c>
      <c r="J8" s="96"/>
      <c r="K8" s="96"/>
      <c r="L8" s="102"/>
      <c r="M8" s="100"/>
      <c r="N8" s="100"/>
      <c r="O8" s="96"/>
      <c r="P8" s="96"/>
      <c r="Q8" s="96"/>
      <c r="R8" s="106"/>
      <c r="S8" s="107"/>
      <c r="T8" s="229"/>
      <c r="U8" s="256"/>
      <c r="V8" s="464">
        <f>+(V9*W9)+(V32*W32)+(V49*W49)</f>
        <v>0.62527354450825556</v>
      </c>
      <c r="W8" s="877">
        <v>0.4</v>
      </c>
      <c r="X8" s="469">
        <v>0.4</v>
      </c>
      <c r="Y8" s="127">
        <f>+Y9+Y32+Y49</f>
        <v>100733943856</v>
      </c>
      <c r="Z8" s="127">
        <f t="shared" ref="Z8:AJ8" si="0">+Z9+Z32+Z49</f>
        <v>0</v>
      </c>
      <c r="AA8" s="607">
        <f t="shared" si="0"/>
        <v>100589592953.67999</v>
      </c>
      <c r="AB8" s="270">
        <f>+AA8/Y8</f>
        <v>0.99856700833111078</v>
      </c>
      <c r="AC8" s="607">
        <f t="shared" si="0"/>
        <v>80228876344.839996</v>
      </c>
      <c r="AD8" s="551">
        <f>+AC8/Y8</f>
        <v>0.79644331665925672</v>
      </c>
      <c r="AE8" s="560">
        <f t="shared" si="0"/>
        <v>20284922893.839996</v>
      </c>
      <c r="AF8" s="560">
        <f t="shared" si="0"/>
        <v>11637715869.460001</v>
      </c>
      <c r="AG8" s="560">
        <f t="shared" si="0"/>
        <v>2055747204.24</v>
      </c>
      <c r="AH8" s="551">
        <f>+AG8/AF8</f>
        <v>0.17664524785613178</v>
      </c>
      <c r="AI8" s="560">
        <f t="shared" si="0"/>
        <v>238763908891.20001</v>
      </c>
      <c r="AJ8" s="560">
        <f t="shared" si="0"/>
        <v>100589592953.67999</v>
      </c>
      <c r="AK8" s="126">
        <f>+AJ8/AI8</f>
        <v>0.4212931234909405</v>
      </c>
      <c r="AL8" s="561"/>
      <c r="AM8" s="568"/>
      <c r="AN8" s="599"/>
      <c r="AO8" s="560"/>
      <c r="AP8" s="555"/>
      <c r="AQ8" s="108"/>
    </row>
    <row r="9" spans="1:43" ht="57" customHeight="1" thickBot="1">
      <c r="A9" s="314" t="s">
        <v>420</v>
      </c>
      <c r="B9" s="413"/>
      <c r="C9" s="129"/>
      <c r="D9" s="222"/>
      <c r="E9" s="211"/>
      <c r="F9" s="129"/>
      <c r="G9" s="129"/>
      <c r="H9" s="254">
        <f>+(H10*W10)+(H23*W23)+(H26*W26)</f>
        <v>0.87399999999999989</v>
      </c>
      <c r="I9" s="130">
        <f>+(I10*X10)+(I23*X23)+(I26*X26)</f>
        <v>0.91999999999999993</v>
      </c>
      <c r="J9" s="132"/>
      <c r="K9" s="132"/>
      <c r="L9" s="132"/>
      <c r="M9" s="133"/>
      <c r="N9" s="133"/>
      <c r="O9" s="132"/>
      <c r="P9" s="132"/>
      <c r="Q9" s="132"/>
      <c r="R9" s="132"/>
      <c r="S9" s="134"/>
      <c r="T9" s="230"/>
      <c r="U9" s="257"/>
      <c r="V9" s="465">
        <f>+(V10*W10)+(V23*W23)+(V26*W26)</f>
        <v>0.59859761904761899</v>
      </c>
      <c r="W9" s="878">
        <v>0.65</v>
      </c>
      <c r="X9" s="470">
        <v>0.65</v>
      </c>
      <c r="Y9" s="135">
        <f>+Y10+Y23+Y26</f>
        <v>48730549782</v>
      </c>
      <c r="Z9" s="135">
        <f t="shared" ref="Z9:AJ9" si="1">+Z10+Z23+Z26</f>
        <v>0</v>
      </c>
      <c r="AA9" s="135">
        <f t="shared" si="1"/>
        <v>48628750589.679993</v>
      </c>
      <c r="AB9" s="271">
        <f t="shared" ref="AB9:AB71" si="2">+AA9/Y9</f>
        <v>0.99791097796402017</v>
      </c>
      <c r="AC9" s="603">
        <f t="shared" si="1"/>
        <v>35287727541.839996</v>
      </c>
      <c r="AD9" s="552">
        <f t="shared" ref="AD9:AD72" si="3">+AC9/Y9</f>
        <v>0.7241397377969766</v>
      </c>
      <c r="AE9" s="135">
        <f t="shared" si="1"/>
        <v>13341023047.839996</v>
      </c>
      <c r="AF9" s="135">
        <f t="shared" si="1"/>
        <v>1398786340.26</v>
      </c>
      <c r="AG9" s="135">
        <f t="shared" si="1"/>
        <v>1174273412.04</v>
      </c>
      <c r="AH9" s="612">
        <f t="shared" ref="AH9:AH72" si="4">+AG9/AF9</f>
        <v>0.83949448049494924</v>
      </c>
      <c r="AI9" s="135">
        <f t="shared" si="1"/>
        <v>61995000000</v>
      </c>
      <c r="AJ9" s="135">
        <f t="shared" si="1"/>
        <v>48628750589.679993</v>
      </c>
      <c r="AK9" s="199">
        <f t="shared" ref="AK9:AK72" si="5">+AJ9/AI9</f>
        <v>0.78439794482909897</v>
      </c>
      <c r="AL9" s="137"/>
      <c r="AM9" s="160" t="s">
        <v>295</v>
      </c>
      <c r="AN9" s="136"/>
      <c r="AO9" s="135"/>
      <c r="AP9" s="556"/>
      <c r="AQ9" s="97"/>
    </row>
    <row r="10" spans="1:43" ht="26.25" thickBot="1">
      <c r="A10" s="315" t="s">
        <v>447</v>
      </c>
      <c r="B10" s="138"/>
      <c r="C10" s="139"/>
      <c r="D10" s="223"/>
      <c r="E10" s="212"/>
      <c r="F10" s="139"/>
      <c r="G10" s="139"/>
      <c r="H10" s="161">
        <f>+SUMPRODUCT(H11:H22,W11:W22)</f>
        <v>0.37</v>
      </c>
      <c r="I10" s="161">
        <f>+SUMPRODUCT(I11:I22,X11:X22)</f>
        <v>0.60000000000000009</v>
      </c>
      <c r="J10" s="141"/>
      <c r="K10" s="141"/>
      <c r="L10" s="141"/>
      <c r="M10" s="142"/>
      <c r="N10" s="142"/>
      <c r="O10" s="141"/>
      <c r="P10" s="141"/>
      <c r="Q10" s="141"/>
      <c r="R10" s="141"/>
      <c r="S10" s="143"/>
      <c r="T10" s="231"/>
      <c r="U10" s="258"/>
      <c r="V10" s="177">
        <f>+SUMPRODUCT(V11:V22,W11:W22)</f>
        <v>0.14757142857142858</v>
      </c>
      <c r="W10" s="879">
        <v>0.2</v>
      </c>
      <c r="X10" s="471">
        <v>0.2</v>
      </c>
      <c r="Y10" s="144">
        <f>SUM(Y11:Y22)</f>
        <v>1655000000</v>
      </c>
      <c r="Z10" s="144">
        <f t="shared" ref="Z10:AJ10" si="6">SUM(Z11:Z22)</f>
        <v>0</v>
      </c>
      <c r="AA10" s="602">
        <f t="shared" si="6"/>
        <v>1621263065.8400002</v>
      </c>
      <c r="AB10" s="272">
        <f t="shared" si="2"/>
        <v>0.97961514552265871</v>
      </c>
      <c r="AC10" s="144">
        <f t="shared" si="6"/>
        <v>1302767654</v>
      </c>
      <c r="AD10" s="143">
        <f t="shared" si="3"/>
        <v>0.78717078791540784</v>
      </c>
      <c r="AE10" s="144">
        <f t="shared" si="6"/>
        <v>318495411.84000003</v>
      </c>
      <c r="AF10" s="144">
        <f t="shared" si="6"/>
        <v>208648192.19999999</v>
      </c>
      <c r="AG10" s="144">
        <f t="shared" si="6"/>
        <v>196202465.19999999</v>
      </c>
      <c r="AH10" s="613">
        <f t="shared" si="4"/>
        <v>0.94035065979354315</v>
      </c>
      <c r="AI10" s="144">
        <f t="shared" si="6"/>
        <v>10500000000</v>
      </c>
      <c r="AJ10" s="144">
        <f t="shared" si="6"/>
        <v>1621263065.8400002</v>
      </c>
      <c r="AK10" s="276">
        <f t="shared" si="5"/>
        <v>0.15440600627047621</v>
      </c>
      <c r="AL10" s="145"/>
      <c r="AM10" s="165"/>
      <c r="AN10" s="553"/>
      <c r="AO10" s="144"/>
      <c r="AP10" s="557"/>
      <c r="AQ10" s="98"/>
    </row>
    <row r="11" spans="1:43" ht="69.75" customHeight="1">
      <c r="A11" s="316" t="s">
        <v>507</v>
      </c>
      <c r="B11" s="414" t="s">
        <v>699</v>
      </c>
      <c r="C11" s="818">
        <v>0</v>
      </c>
      <c r="D11" s="383">
        <v>0</v>
      </c>
      <c r="E11" s="858">
        <v>0</v>
      </c>
      <c r="F11" s="147"/>
      <c r="G11" s="147"/>
      <c r="H11" s="180">
        <v>0</v>
      </c>
      <c r="I11" s="148">
        <v>0</v>
      </c>
      <c r="J11" s="149"/>
      <c r="K11" s="149"/>
      <c r="L11" s="101"/>
      <c r="M11" s="104"/>
      <c r="N11" s="146"/>
      <c r="O11" s="149"/>
      <c r="P11" s="149"/>
      <c r="Q11" s="149"/>
      <c r="R11" s="150"/>
      <c r="S11" s="151"/>
      <c r="T11" s="147">
        <v>1</v>
      </c>
      <c r="U11" s="242">
        <f>SUM(E11:F11)</f>
        <v>0</v>
      </c>
      <c r="V11" s="153">
        <f>IF(U11/T11&gt;=100%,100%,U11/T11)</f>
        <v>0</v>
      </c>
      <c r="W11" s="880">
        <v>0</v>
      </c>
      <c r="X11" s="472">
        <v>0</v>
      </c>
      <c r="Y11" s="513">
        <v>0</v>
      </c>
      <c r="Z11" s="359"/>
      <c r="AA11" s="154"/>
      <c r="AB11" s="273" t="e">
        <f t="shared" si="2"/>
        <v>#DIV/0!</v>
      </c>
      <c r="AC11" s="265"/>
      <c r="AD11" s="151" t="e">
        <f t="shared" si="3"/>
        <v>#DIV/0!</v>
      </c>
      <c r="AE11" s="512"/>
      <c r="AF11" s="154"/>
      <c r="AG11" s="154"/>
      <c r="AH11" s="614" t="e">
        <f t="shared" si="4"/>
        <v>#DIV/0!</v>
      </c>
      <c r="AI11" s="249">
        <v>3000000000</v>
      </c>
      <c r="AJ11" s="249">
        <f>+SUM(Z11:AA11)</f>
        <v>0</v>
      </c>
      <c r="AK11" s="277">
        <f t="shared" si="5"/>
        <v>0</v>
      </c>
      <c r="AL11" s="156"/>
      <c r="AM11" s="157"/>
      <c r="AN11" s="152" t="s">
        <v>31</v>
      </c>
      <c r="AO11" s="2204" t="s">
        <v>888</v>
      </c>
      <c r="AP11" s="558"/>
      <c r="AQ11" s="93"/>
    </row>
    <row r="12" spans="1:43" ht="38.25" customHeight="1">
      <c r="A12" s="317" t="s">
        <v>508</v>
      </c>
      <c r="B12" s="414" t="s">
        <v>705</v>
      </c>
      <c r="C12" s="383">
        <v>1</v>
      </c>
      <c r="D12" s="383">
        <v>0</v>
      </c>
      <c r="E12" s="147">
        <v>0</v>
      </c>
      <c r="F12" s="147">
        <v>0</v>
      </c>
      <c r="G12" s="147"/>
      <c r="H12" s="180">
        <f t="shared" ref="H12:H31" si="7">IF((E12+G12)/C12&gt;=100%,100%,(E12+G12)/C12)</f>
        <v>0</v>
      </c>
      <c r="I12" s="148">
        <v>0</v>
      </c>
      <c r="J12" s="149"/>
      <c r="K12" s="149"/>
      <c r="L12" s="101"/>
      <c r="M12" s="104"/>
      <c r="N12" s="146"/>
      <c r="O12" s="149"/>
      <c r="P12" s="149"/>
      <c r="Q12" s="149"/>
      <c r="R12" s="150"/>
      <c r="S12" s="155"/>
      <c r="T12" s="147">
        <v>2</v>
      </c>
      <c r="U12" s="242">
        <f t="shared" ref="U12:U14" si="8">SUM(E12:F12)</f>
        <v>0</v>
      </c>
      <c r="V12" s="153">
        <f t="shared" ref="V12:V14" si="9">IF(U12/T12&gt;=100%,100%,U12/T12)</f>
        <v>0</v>
      </c>
      <c r="W12" s="472">
        <v>0.12</v>
      </c>
      <c r="X12" s="472">
        <v>0</v>
      </c>
      <c r="Y12" s="514">
        <v>0</v>
      </c>
      <c r="Z12" s="359"/>
      <c r="AA12" s="157"/>
      <c r="AB12" s="273" t="e">
        <f t="shared" si="2"/>
        <v>#DIV/0!</v>
      </c>
      <c r="AC12" s="265"/>
      <c r="AD12" s="151" t="e">
        <f t="shared" si="3"/>
        <v>#DIV/0!</v>
      </c>
      <c r="AE12" s="156">
        <f>+AA12-AC12</f>
        <v>0</v>
      </c>
      <c r="AF12" s="157">
        <v>11252121.199999999</v>
      </c>
      <c r="AG12" s="157">
        <v>9623548.1999999993</v>
      </c>
      <c r="AH12" s="614">
        <f t="shared" si="4"/>
        <v>0.85526524545434157</v>
      </c>
      <c r="AI12" s="249">
        <v>800000000</v>
      </c>
      <c r="AJ12" s="249">
        <f t="shared" ref="AJ12:AJ21" si="10">+SUM(Z12:AA12)</f>
        <v>0</v>
      </c>
      <c r="AK12" s="277">
        <f t="shared" si="5"/>
        <v>0</v>
      </c>
      <c r="AL12" s="156"/>
      <c r="AM12" s="157"/>
      <c r="AN12" s="152" t="s">
        <v>31</v>
      </c>
      <c r="AO12" s="2205"/>
      <c r="AP12" s="558"/>
      <c r="AQ12" s="93"/>
    </row>
    <row r="13" spans="1:43" ht="51.75" customHeight="1">
      <c r="A13" s="317" t="s">
        <v>509</v>
      </c>
      <c r="B13" s="414" t="s">
        <v>706</v>
      </c>
      <c r="C13" s="180">
        <v>0.1</v>
      </c>
      <c r="D13" s="180">
        <v>0.1</v>
      </c>
      <c r="E13" s="182">
        <v>0.1</v>
      </c>
      <c r="F13" s="182">
        <v>0.1</v>
      </c>
      <c r="G13" s="147"/>
      <c r="H13" s="180">
        <f t="shared" si="7"/>
        <v>1</v>
      </c>
      <c r="I13" s="148">
        <f t="shared" ref="I13:I22" si="11">IF(F13/D13&gt;=100%,100%,F13/D13)</f>
        <v>1</v>
      </c>
      <c r="J13" s="149"/>
      <c r="K13" s="149"/>
      <c r="L13" s="101"/>
      <c r="M13" s="104"/>
      <c r="N13" s="146"/>
      <c r="O13" s="149"/>
      <c r="P13" s="149"/>
      <c r="Q13" s="149"/>
      <c r="R13" s="150"/>
      <c r="S13" s="155"/>
      <c r="T13" s="182">
        <v>0.4</v>
      </c>
      <c r="U13" s="242">
        <f t="shared" si="8"/>
        <v>0.2</v>
      </c>
      <c r="V13" s="153">
        <f t="shared" si="9"/>
        <v>0.5</v>
      </c>
      <c r="W13" s="472">
        <v>0.13</v>
      </c>
      <c r="X13" s="677">
        <v>0.2</v>
      </c>
      <c r="Y13" s="513">
        <v>120000000</v>
      </c>
      <c r="Z13" s="359"/>
      <c r="AA13" s="157">
        <v>115778932</v>
      </c>
      <c r="AB13" s="273">
        <f t="shared" si="2"/>
        <v>0.96482443333333334</v>
      </c>
      <c r="AC13" s="265">
        <v>112969093</v>
      </c>
      <c r="AD13" s="151">
        <f t="shared" si="3"/>
        <v>0.94140910833333336</v>
      </c>
      <c r="AE13" s="156">
        <f>+AA13-AC13</f>
        <v>2809839</v>
      </c>
      <c r="AF13" s="157">
        <v>14840237</v>
      </c>
      <c r="AG13" s="157">
        <v>10438002</v>
      </c>
      <c r="AH13" s="614">
        <f t="shared" si="4"/>
        <v>0.70335817413158563</v>
      </c>
      <c r="AI13" s="249">
        <v>800000000</v>
      </c>
      <c r="AJ13" s="249">
        <f t="shared" si="10"/>
        <v>115778932</v>
      </c>
      <c r="AK13" s="277">
        <f t="shared" si="5"/>
        <v>0.144723665</v>
      </c>
      <c r="AL13" s="156"/>
      <c r="AM13" s="157"/>
      <c r="AN13" s="152" t="s">
        <v>8</v>
      </c>
      <c r="AO13" s="2204" t="s">
        <v>888</v>
      </c>
      <c r="AP13" s="558"/>
      <c r="AQ13" s="93"/>
    </row>
    <row r="14" spans="1:43" ht="38.25" customHeight="1">
      <c r="A14" s="317" t="s">
        <v>510</v>
      </c>
      <c r="B14" s="414" t="s">
        <v>707</v>
      </c>
      <c r="C14" s="180">
        <v>0.1</v>
      </c>
      <c r="D14" s="180">
        <v>0.1</v>
      </c>
      <c r="E14" s="182">
        <v>0</v>
      </c>
      <c r="F14" s="147">
        <v>0</v>
      </c>
      <c r="G14" s="147"/>
      <c r="H14" s="180">
        <f t="shared" si="7"/>
        <v>0</v>
      </c>
      <c r="I14" s="148">
        <f t="shared" si="11"/>
        <v>0</v>
      </c>
      <c r="J14" s="149"/>
      <c r="K14" s="149"/>
      <c r="L14" s="101"/>
      <c r="M14" s="104"/>
      <c r="N14" s="146"/>
      <c r="O14" s="149"/>
      <c r="P14" s="149"/>
      <c r="Q14" s="149"/>
      <c r="R14" s="150"/>
      <c r="S14" s="155"/>
      <c r="T14" s="182">
        <v>0.30000000000000004</v>
      </c>
      <c r="U14" s="242">
        <f t="shared" si="8"/>
        <v>0</v>
      </c>
      <c r="V14" s="153">
        <f t="shared" si="9"/>
        <v>0</v>
      </c>
      <c r="W14" s="472">
        <v>7.0000000000000007E-2</v>
      </c>
      <c r="X14" s="677">
        <v>0.2</v>
      </c>
      <c r="Y14" s="515">
        <v>120000000</v>
      </c>
      <c r="Z14" s="360"/>
      <c r="AA14" s="157">
        <v>116938086.84</v>
      </c>
      <c r="AB14" s="273">
        <f t="shared" si="2"/>
        <v>0.97448405700000007</v>
      </c>
      <c r="AC14" s="265">
        <v>113037976</v>
      </c>
      <c r="AD14" s="151">
        <f t="shared" si="3"/>
        <v>0.94198313333333328</v>
      </c>
      <c r="AE14" s="156">
        <f>+AA14-AC14</f>
        <v>3900110.8400000036</v>
      </c>
      <c r="AF14" s="157">
        <v>43172242</v>
      </c>
      <c r="AG14" s="157">
        <v>41441633</v>
      </c>
      <c r="AH14" s="614">
        <f t="shared" si="4"/>
        <v>0.95991384927379964</v>
      </c>
      <c r="AI14" s="249">
        <v>400000000</v>
      </c>
      <c r="AJ14" s="249">
        <f t="shared" si="10"/>
        <v>116938086.84</v>
      </c>
      <c r="AK14" s="277">
        <f t="shared" si="5"/>
        <v>0.2923452171</v>
      </c>
      <c r="AL14" s="156"/>
      <c r="AM14" s="157"/>
      <c r="AN14" s="152" t="s">
        <v>8</v>
      </c>
      <c r="AO14" s="2206"/>
      <c r="AP14" s="558"/>
      <c r="AQ14" s="93"/>
    </row>
    <row r="15" spans="1:43" ht="38.25" customHeight="1">
      <c r="A15" s="317" t="s">
        <v>511</v>
      </c>
      <c r="B15" s="414" t="s">
        <v>708</v>
      </c>
      <c r="C15" s="180">
        <v>0.1</v>
      </c>
      <c r="D15" s="180">
        <v>0.1</v>
      </c>
      <c r="E15" s="182">
        <v>0</v>
      </c>
      <c r="F15" s="182">
        <v>0</v>
      </c>
      <c r="G15" s="147"/>
      <c r="H15" s="180">
        <f t="shared" si="7"/>
        <v>0</v>
      </c>
      <c r="I15" s="148">
        <f t="shared" si="11"/>
        <v>0</v>
      </c>
      <c r="J15" s="149"/>
      <c r="K15" s="149"/>
      <c r="L15" s="101"/>
      <c r="M15" s="104"/>
      <c r="N15" s="146"/>
      <c r="O15" s="149"/>
      <c r="P15" s="149"/>
      <c r="Q15" s="149"/>
      <c r="R15" s="150"/>
      <c r="S15" s="155"/>
      <c r="T15" s="182">
        <v>0.30000000000000004</v>
      </c>
      <c r="U15" s="242">
        <f>SUM(E15:F15)</f>
        <v>0</v>
      </c>
      <c r="V15" s="153">
        <f>IF(U15/T15&gt;=100%,100%,U15/T15)</f>
        <v>0</v>
      </c>
      <c r="W15" s="472">
        <v>7.0000000000000007E-2</v>
      </c>
      <c r="X15" s="677">
        <v>0.2</v>
      </c>
      <c r="Y15" s="515">
        <v>120000000</v>
      </c>
      <c r="Z15" s="360"/>
      <c r="AA15" s="157">
        <v>114367577</v>
      </c>
      <c r="AB15" s="273">
        <f t="shared" si="2"/>
        <v>0.95306314166666661</v>
      </c>
      <c r="AC15" s="265">
        <v>110411467</v>
      </c>
      <c r="AD15" s="151">
        <f t="shared" si="3"/>
        <v>0.92009555833333334</v>
      </c>
      <c r="AE15" s="156">
        <f>+AA15-AC15</f>
        <v>3956110</v>
      </c>
      <c r="AF15" s="157">
        <v>32918170</v>
      </c>
      <c r="AG15" s="157">
        <v>30718985</v>
      </c>
      <c r="AH15" s="614">
        <f t="shared" si="4"/>
        <v>0.93319236761946367</v>
      </c>
      <c r="AI15" s="249">
        <v>400000000</v>
      </c>
      <c r="AJ15" s="249">
        <f t="shared" si="10"/>
        <v>114367577</v>
      </c>
      <c r="AK15" s="277">
        <f t="shared" si="5"/>
        <v>0.2859189425</v>
      </c>
      <c r="AL15" s="156"/>
      <c r="AM15" s="157"/>
      <c r="AN15" s="152" t="s">
        <v>8</v>
      </c>
      <c r="AO15" s="2205"/>
      <c r="AP15" s="558"/>
      <c r="AQ15" s="93"/>
    </row>
    <row r="16" spans="1:43" ht="63.75">
      <c r="A16" s="317" t="s">
        <v>512</v>
      </c>
      <c r="B16" s="415" t="s">
        <v>700</v>
      </c>
      <c r="C16" s="383">
        <v>0</v>
      </c>
      <c r="D16" s="383">
        <v>0</v>
      </c>
      <c r="E16" s="147">
        <v>0</v>
      </c>
      <c r="F16" s="147"/>
      <c r="G16" s="147"/>
      <c r="H16" s="180">
        <v>0</v>
      </c>
      <c r="I16" s="148">
        <v>0</v>
      </c>
      <c r="J16" s="149"/>
      <c r="K16" s="149"/>
      <c r="L16" s="101"/>
      <c r="M16" s="104"/>
      <c r="N16" s="146"/>
      <c r="O16" s="149"/>
      <c r="P16" s="149"/>
      <c r="Q16" s="149"/>
      <c r="R16" s="150"/>
      <c r="S16" s="155"/>
      <c r="T16" s="147">
        <v>1</v>
      </c>
      <c r="U16" s="242">
        <f t="shared" ref="U16" si="12">SUM(E16:F16)</f>
        <v>0</v>
      </c>
      <c r="V16" s="153">
        <f t="shared" ref="V16" si="13">IF(U16/T16&gt;=100%,100%,U16/T16)</f>
        <v>0</v>
      </c>
      <c r="W16" s="472">
        <v>0</v>
      </c>
      <c r="X16" s="677">
        <v>0</v>
      </c>
      <c r="Y16" s="515"/>
      <c r="Z16" s="359"/>
      <c r="AA16" s="157"/>
      <c r="AB16" s="273" t="e">
        <f t="shared" si="2"/>
        <v>#DIV/0!</v>
      </c>
      <c r="AC16" s="265"/>
      <c r="AD16" s="151" t="e">
        <f t="shared" si="3"/>
        <v>#DIV/0!</v>
      </c>
      <c r="AE16" s="156"/>
      <c r="AF16" s="157"/>
      <c r="AG16" s="157"/>
      <c r="AH16" s="614" t="e">
        <f t="shared" si="4"/>
        <v>#DIV/0!</v>
      </c>
      <c r="AI16" s="249">
        <v>1400000000</v>
      </c>
      <c r="AJ16" s="249">
        <f t="shared" si="10"/>
        <v>0</v>
      </c>
      <c r="AK16" s="277">
        <f t="shared" si="5"/>
        <v>0</v>
      </c>
      <c r="AL16" s="156"/>
      <c r="AM16" s="157"/>
      <c r="AN16" s="152" t="s">
        <v>302</v>
      </c>
      <c r="AO16" s="2204" t="s">
        <v>888</v>
      </c>
      <c r="AP16" s="558"/>
      <c r="AQ16" s="93"/>
    </row>
    <row r="17" spans="1:43" ht="63.75">
      <c r="A17" s="317" t="s">
        <v>513</v>
      </c>
      <c r="B17" s="414" t="s">
        <v>709</v>
      </c>
      <c r="C17" s="383">
        <v>0</v>
      </c>
      <c r="D17" s="383">
        <v>0</v>
      </c>
      <c r="E17" s="147">
        <v>0</v>
      </c>
      <c r="F17" s="147"/>
      <c r="G17" s="147"/>
      <c r="H17" s="180">
        <v>0</v>
      </c>
      <c r="I17" s="148">
        <v>0</v>
      </c>
      <c r="J17" s="149"/>
      <c r="K17" s="149"/>
      <c r="L17" s="101"/>
      <c r="M17" s="104"/>
      <c r="N17" s="146"/>
      <c r="O17" s="149"/>
      <c r="P17" s="149"/>
      <c r="Q17" s="149"/>
      <c r="R17" s="150"/>
      <c r="S17" s="158"/>
      <c r="T17" s="147">
        <v>1</v>
      </c>
      <c r="U17" s="242">
        <f>SUM(E17:F17)</f>
        <v>0</v>
      </c>
      <c r="V17" s="153">
        <f>IF(U17/T17&gt;=100%,100%,U17/T17)</f>
        <v>0</v>
      </c>
      <c r="W17" s="472">
        <v>0</v>
      </c>
      <c r="X17" s="677">
        <v>0</v>
      </c>
      <c r="Y17" s="515" t="s">
        <v>887</v>
      </c>
      <c r="Z17" s="360"/>
      <c r="AA17" s="157"/>
      <c r="AB17" s="380" t="e">
        <f>+AA17/Y17</f>
        <v>#VALUE!</v>
      </c>
      <c r="AC17" s="265"/>
      <c r="AD17" s="151" t="e">
        <f t="shared" si="3"/>
        <v>#VALUE!</v>
      </c>
      <c r="AE17" s="156"/>
      <c r="AF17" s="157"/>
      <c r="AG17" s="157"/>
      <c r="AH17" s="614" t="e">
        <f t="shared" si="4"/>
        <v>#DIV/0!</v>
      </c>
      <c r="AI17" s="249">
        <v>800000000</v>
      </c>
      <c r="AJ17" s="249">
        <f t="shared" si="10"/>
        <v>0</v>
      </c>
      <c r="AK17" s="277">
        <f t="shared" si="5"/>
        <v>0</v>
      </c>
      <c r="AL17" s="156"/>
      <c r="AM17" s="157"/>
      <c r="AN17" s="152" t="s">
        <v>31</v>
      </c>
      <c r="AO17" s="2206"/>
      <c r="AP17" s="558"/>
      <c r="AQ17" s="93"/>
    </row>
    <row r="18" spans="1:43" ht="51">
      <c r="A18" s="317" t="s">
        <v>514</v>
      </c>
      <c r="B18" s="414" t="s">
        <v>710</v>
      </c>
      <c r="C18" s="383">
        <v>1</v>
      </c>
      <c r="D18" s="905">
        <v>0.1</v>
      </c>
      <c r="E18" s="147">
        <v>0</v>
      </c>
      <c r="F18" s="906">
        <v>0.1</v>
      </c>
      <c r="G18" s="147"/>
      <c r="H18" s="180">
        <f t="shared" si="7"/>
        <v>0</v>
      </c>
      <c r="I18" s="148">
        <f t="shared" si="11"/>
        <v>1</v>
      </c>
      <c r="J18" s="149"/>
      <c r="K18" s="149"/>
      <c r="L18" s="101"/>
      <c r="M18" s="104"/>
      <c r="N18" s="146"/>
      <c r="O18" s="149"/>
      <c r="P18" s="149"/>
      <c r="Q18" s="149"/>
      <c r="R18" s="150"/>
      <c r="S18" s="158"/>
      <c r="T18" s="147">
        <v>5</v>
      </c>
      <c r="U18" s="242">
        <f t="shared" ref="U18:U19" si="14">SUM(E18:F18)</f>
        <v>0.1</v>
      </c>
      <c r="V18" s="153">
        <f t="shared" ref="V18:V19" si="15">IF(U18/T18&gt;=100%,100%,U18/T18)</f>
        <v>0.02</v>
      </c>
      <c r="W18" s="472">
        <v>0.15</v>
      </c>
      <c r="X18" s="677">
        <v>0.1</v>
      </c>
      <c r="Y18" s="515">
        <v>550000000</v>
      </c>
      <c r="Z18" s="359"/>
      <c r="AA18" s="157">
        <v>544866789</v>
      </c>
      <c r="AB18" s="273">
        <f t="shared" si="2"/>
        <v>0.99066688909090905</v>
      </c>
      <c r="AC18" s="265">
        <v>359608367</v>
      </c>
      <c r="AD18" s="151">
        <f t="shared" si="3"/>
        <v>0.65383339454545453</v>
      </c>
      <c r="AE18" s="156">
        <f>+AA18-AC18</f>
        <v>185258422</v>
      </c>
      <c r="AF18" s="157">
        <v>811914</v>
      </c>
      <c r="AG18" s="157">
        <v>604590</v>
      </c>
      <c r="AH18" s="614">
        <f t="shared" si="4"/>
        <v>0.74464783215956365</v>
      </c>
      <c r="AI18" s="249">
        <v>700000000</v>
      </c>
      <c r="AJ18" s="249">
        <f t="shared" si="10"/>
        <v>544866789</v>
      </c>
      <c r="AK18" s="277">
        <f t="shared" si="5"/>
        <v>0.77838112714285712</v>
      </c>
      <c r="AL18" s="156"/>
      <c r="AM18" s="157"/>
      <c r="AN18" s="152" t="s">
        <v>4</v>
      </c>
      <c r="AO18" s="2205"/>
      <c r="AP18" s="558"/>
      <c r="AQ18" s="93"/>
    </row>
    <row r="19" spans="1:43" ht="76.5">
      <c r="A19" s="317" t="s">
        <v>515</v>
      </c>
      <c r="B19" s="415" t="s">
        <v>701</v>
      </c>
      <c r="C19" s="819">
        <v>0.1</v>
      </c>
      <c r="D19" s="383">
        <v>0</v>
      </c>
      <c r="E19" s="859">
        <v>0</v>
      </c>
      <c r="F19" s="147"/>
      <c r="G19" s="684">
        <v>0.1</v>
      </c>
      <c r="H19" s="180">
        <f t="shared" si="7"/>
        <v>1</v>
      </c>
      <c r="I19" s="148">
        <v>0</v>
      </c>
      <c r="J19" s="149"/>
      <c r="K19" s="149"/>
      <c r="L19" s="101"/>
      <c r="M19" s="104"/>
      <c r="N19" s="146"/>
      <c r="O19" s="149"/>
      <c r="P19" s="149"/>
      <c r="Q19" s="149"/>
      <c r="R19" s="150"/>
      <c r="S19" s="158"/>
      <c r="T19" s="147">
        <v>1</v>
      </c>
      <c r="U19" s="242">
        <f t="shared" si="14"/>
        <v>0</v>
      </c>
      <c r="V19" s="153">
        <f t="shared" si="15"/>
        <v>0</v>
      </c>
      <c r="W19" s="881">
        <v>0.12</v>
      </c>
      <c r="X19" s="677">
        <v>0</v>
      </c>
      <c r="Y19" s="631"/>
      <c r="Z19" s="630"/>
      <c r="AA19" s="157"/>
      <c r="AB19" s="273" t="e">
        <f t="shared" si="2"/>
        <v>#DIV/0!</v>
      </c>
      <c r="AC19" s="265"/>
      <c r="AD19" s="151" t="e">
        <f t="shared" si="3"/>
        <v>#DIV/0!</v>
      </c>
      <c r="AE19" s="156">
        <f>+AA19-AC19</f>
        <v>0</v>
      </c>
      <c r="AF19" s="157">
        <v>360851</v>
      </c>
      <c r="AG19" s="157">
        <v>268707</v>
      </c>
      <c r="AH19" s="614">
        <f t="shared" si="4"/>
        <v>0.74464806803916295</v>
      </c>
      <c r="AI19" s="249">
        <v>700000000</v>
      </c>
      <c r="AJ19" s="249">
        <f t="shared" si="10"/>
        <v>0</v>
      </c>
      <c r="AK19" s="277">
        <f t="shared" si="5"/>
        <v>0</v>
      </c>
      <c r="AL19" s="156"/>
      <c r="AM19" s="157"/>
      <c r="AN19" s="152" t="s">
        <v>302</v>
      </c>
      <c r="AO19" s="570" t="s">
        <v>889</v>
      </c>
      <c r="AP19" s="558"/>
      <c r="AQ19" s="93"/>
    </row>
    <row r="20" spans="1:43" ht="63.75">
      <c r="A20" s="317" t="s">
        <v>516</v>
      </c>
      <c r="B20" s="415" t="s">
        <v>702</v>
      </c>
      <c r="C20" s="383">
        <v>0</v>
      </c>
      <c r="D20" s="383">
        <v>0</v>
      </c>
      <c r="E20" s="147">
        <v>0</v>
      </c>
      <c r="F20" s="147"/>
      <c r="G20" s="147"/>
      <c r="H20" s="180">
        <v>0</v>
      </c>
      <c r="I20" s="148">
        <v>0</v>
      </c>
      <c r="J20" s="149"/>
      <c r="K20" s="149"/>
      <c r="L20" s="101"/>
      <c r="M20" s="104"/>
      <c r="N20" s="146"/>
      <c r="O20" s="149"/>
      <c r="P20" s="149"/>
      <c r="Q20" s="149"/>
      <c r="R20" s="150"/>
      <c r="S20" s="158"/>
      <c r="T20" s="147">
        <v>1</v>
      </c>
      <c r="U20" s="242">
        <f>SUM(E20:F20)</f>
        <v>0</v>
      </c>
      <c r="V20" s="153">
        <f>IF(U20/T20&gt;=100%,100%,U20/T20)</f>
        <v>0</v>
      </c>
      <c r="W20" s="472">
        <v>0</v>
      </c>
      <c r="X20" s="677">
        <v>0</v>
      </c>
      <c r="Y20" s="515"/>
      <c r="Z20" s="359"/>
      <c r="AA20" s="157"/>
      <c r="AB20" s="273" t="e">
        <f t="shared" si="2"/>
        <v>#DIV/0!</v>
      </c>
      <c r="AC20" s="265"/>
      <c r="AD20" s="151" t="e">
        <f t="shared" si="3"/>
        <v>#DIV/0!</v>
      </c>
      <c r="AE20" s="156"/>
      <c r="AF20" s="157"/>
      <c r="AG20" s="157"/>
      <c r="AH20" s="614" t="e">
        <f t="shared" si="4"/>
        <v>#DIV/0!</v>
      </c>
      <c r="AI20" s="249">
        <v>200000000</v>
      </c>
      <c r="AJ20" s="249">
        <f t="shared" si="10"/>
        <v>0</v>
      </c>
      <c r="AK20" s="277">
        <f t="shared" si="5"/>
        <v>0</v>
      </c>
      <c r="AL20" s="156"/>
      <c r="AM20" s="157"/>
      <c r="AN20" s="152" t="s">
        <v>302</v>
      </c>
      <c r="AO20" s="570" t="s">
        <v>888</v>
      </c>
      <c r="AP20" s="558"/>
      <c r="AQ20" s="93"/>
    </row>
    <row r="21" spans="1:43" ht="63.75">
      <c r="A21" s="317" t="s">
        <v>517</v>
      </c>
      <c r="B21" s="415" t="s">
        <v>703</v>
      </c>
      <c r="C21" s="383">
        <v>1</v>
      </c>
      <c r="D21" s="905">
        <v>0.1</v>
      </c>
      <c r="E21" s="147">
        <v>0</v>
      </c>
      <c r="F21" s="683">
        <v>0.1</v>
      </c>
      <c r="G21" s="147"/>
      <c r="H21" s="180">
        <f t="shared" si="7"/>
        <v>0</v>
      </c>
      <c r="I21" s="148">
        <f t="shared" si="11"/>
        <v>1</v>
      </c>
      <c r="J21" s="149"/>
      <c r="K21" s="149"/>
      <c r="L21" s="101"/>
      <c r="M21" s="104"/>
      <c r="N21" s="146"/>
      <c r="O21" s="149"/>
      <c r="P21" s="149"/>
      <c r="Q21" s="149"/>
      <c r="R21" s="150"/>
      <c r="S21" s="158"/>
      <c r="T21" s="147">
        <v>2</v>
      </c>
      <c r="U21" s="242">
        <f t="shared" ref="U21" si="16">SUM(E21:F21)</f>
        <v>0.1</v>
      </c>
      <c r="V21" s="153">
        <f t="shared" ref="V21" si="17">IF(U21/T21&gt;=100%,100%,U21/T21)</f>
        <v>0.05</v>
      </c>
      <c r="W21" s="472">
        <v>0.22</v>
      </c>
      <c r="X21" s="677">
        <v>0.1</v>
      </c>
      <c r="Y21" s="515">
        <v>570000000</v>
      </c>
      <c r="Z21" s="359"/>
      <c r="AA21" s="157">
        <v>559570543</v>
      </c>
      <c r="AB21" s="273">
        <f t="shared" si="2"/>
        <v>0.98170270701754381</v>
      </c>
      <c r="AC21" s="265">
        <v>442650348</v>
      </c>
      <c r="AD21" s="151">
        <f t="shared" si="3"/>
        <v>0.77657955789473687</v>
      </c>
      <c r="AE21" s="156">
        <f>+AA21-AC21</f>
        <v>116920195</v>
      </c>
      <c r="AF21" s="157">
        <v>360851</v>
      </c>
      <c r="AG21" s="157">
        <v>268707</v>
      </c>
      <c r="AH21" s="614">
        <f t="shared" si="4"/>
        <v>0.74464806803916295</v>
      </c>
      <c r="AI21" s="249">
        <v>700000000</v>
      </c>
      <c r="AJ21" s="249">
        <f t="shared" si="10"/>
        <v>559570543</v>
      </c>
      <c r="AK21" s="277">
        <f t="shared" si="5"/>
        <v>0.79938648999999995</v>
      </c>
      <c r="AL21" s="156"/>
      <c r="AM21" s="157"/>
      <c r="AN21" s="152" t="s">
        <v>302</v>
      </c>
      <c r="AO21" s="570" t="s">
        <v>888</v>
      </c>
      <c r="AP21" s="558"/>
      <c r="AQ21" s="93"/>
    </row>
    <row r="22" spans="1:43" ht="64.5" thickBot="1">
      <c r="A22" s="317" t="s">
        <v>518</v>
      </c>
      <c r="B22" s="415" t="s">
        <v>704</v>
      </c>
      <c r="C22" s="820">
        <v>2</v>
      </c>
      <c r="D22" s="383">
        <v>2</v>
      </c>
      <c r="E22" s="860">
        <v>2</v>
      </c>
      <c r="F22" s="147">
        <v>2</v>
      </c>
      <c r="G22" s="147"/>
      <c r="H22" s="180">
        <f t="shared" si="7"/>
        <v>1</v>
      </c>
      <c r="I22" s="148">
        <f t="shared" si="11"/>
        <v>1</v>
      </c>
      <c r="J22" s="149"/>
      <c r="K22" s="149"/>
      <c r="L22" s="101"/>
      <c r="M22" s="104"/>
      <c r="N22" s="146"/>
      <c r="O22" s="149"/>
      <c r="P22" s="149"/>
      <c r="Q22" s="149"/>
      <c r="R22" s="150"/>
      <c r="S22" s="158"/>
      <c r="T22" s="147">
        <v>7</v>
      </c>
      <c r="U22" s="242">
        <f>SUM(E22:F22)</f>
        <v>4</v>
      </c>
      <c r="V22" s="153">
        <f>IF(U22/T22&gt;=100%,100%,U22/T22)</f>
        <v>0.5714285714285714</v>
      </c>
      <c r="W22" s="477">
        <v>0.12</v>
      </c>
      <c r="X22" s="677">
        <v>0.2</v>
      </c>
      <c r="Y22" s="515">
        <v>175000000</v>
      </c>
      <c r="Z22" s="359"/>
      <c r="AA22" s="156">
        <v>169741138</v>
      </c>
      <c r="AB22" s="273">
        <f t="shared" si="2"/>
        <v>0.96994935999999998</v>
      </c>
      <c r="AC22" s="265">
        <v>164090403</v>
      </c>
      <c r="AD22" s="151">
        <f t="shared" si="3"/>
        <v>0.93765944571428572</v>
      </c>
      <c r="AE22" s="156">
        <f>+AA22-AC22</f>
        <v>5650735</v>
      </c>
      <c r="AF22" s="156">
        <v>104931806</v>
      </c>
      <c r="AG22" s="156">
        <v>102838293</v>
      </c>
      <c r="AH22" s="614">
        <f t="shared" si="4"/>
        <v>0.98004882332817178</v>
      </c>
      <c r="AI22" s="290">
        <v>600000000</v>
      </c>
      <c r="AJ22" s="249">
        <f>+SUM(Z22:AA22)</f>
        <v>169741138</v>
      </c>
      <c r="AK22" s="277">
        <f t="shared" si="5"/>
        <v>0.28290189666666665</v>
      </c>
      <c r="AL22" s="156"/>
      <c r="AM22" s="157"/>
      <c r="AN22" s="152" t="s">
        <v>302</v>
      </c>
      <c r="AO22" s="570" t="s">
        <v>888</v>
      </c>
      <c r="AP22" s="558"/>
      <c r="AQ22" s="93"/>
    </row>
    <row r="23" spans="1:43" ht="50.25" customHeight="1" thickBot="1">
      <c r="A23" s="315" t="s">
        <v>448</v>
      </c>
      <c r="B23" s="138"/>
      <c r="C23" s="139"/>
      <c r="D23" s="223"/>
      <c r="E23" s="861"/>
      <c r="F23" s="139"/>
      <c r="G23" s="139"/>
      <c r="H23" s="140">
        <f>+SUMPRODUCT(H24:H25,W24:W25)</f>
        <v>1</v>
      </c>
      <c r="I23" s="161">
        <f>+SUMPRODUCT(I24:I25,X24:X25)</f>
        <v>1</v>
      </c>
      <c r="J23" s="141"/>
      <c r="K23" s="141"/>
      <c r="L23" s="141"/>
      <c r="M23" s="142"/>
      <c r="N23" s="142"/>
      <c r="O23" s="141"/>
      <c r="P23" s="141"/>
      <c r="Q23" s="141"/>
      <c r="R23" s="141"/>
      <c r="S23" s="143"/>
      <c r="T23" s="231"/>
      <c r="U23" s="258"/>
      <c r="V23" s="177">
        <f>+SUMPRODUCT(V24:V25,W24:W25)</f>
        <v>0.75</v>
      </c>
      <c r="W23" s="879">
        <v>0.1</v>
      </c>
      <c r="X23" s="471">
        <v>0.1</v>
      </c>
      <c r="Y23" s="144">
        <f>SUM(Y24:Y25)</f>
        <v>550000000</v>
      </c>
      <c r="Z23" s="144">
        <f>SUM(Z24:Z25)</f>
        <v>0</v>
      </c>
      <c r="AA23" s="144">
        <f>SUM(AA24:AA25)</f>
        <v>549542227</v>
      </c>
      <c r="AB23" s="272">
        <f t="shared" si="2"/>
        <v>0.99916768545454548</v>
      </c>
      <c r="AC23" s="144">
        <f>SUM(AC24:AC25)</f>
        <v>500440377</v>
      </c>
      <c r="AD23" s="143">
        <f t="shared" si="3"/>
        <v>0.90989159454545454</v>
      </c>
      <c r="AE23" s="144">
        <f>SUM(AE24:AE25)</f>
        <v>49101850</v>
      </c>
      <c r="AF23" s="144">
        <f>SUM(AF24:AF25)</f>
        <v>44300675</v>
      </c>
      <c r="AG23" s="144">
        <f>SUM(AG24:AG25)</f>
        <v>40318115</v>
      </c>
      <c r="AH23" s="613">
        <f t="shared" si="4"/>
        <v>0.91010159551744974</v>
      </c>
      <c r="AI23" s="144">
        <f>SUM(AI24:AI25)</f>
        <v>1800000000</v>
      </c>
      <c r="AJ23" s="144">
        <f>SUM(AJ24:AJ25)</f>
        <v>549542227</v>
      </c>
      <c r="AK23" s="276">
        <f t="shared" si="5"/>
        <v>0.30530123722222224</v>
      </c>
      <c r="AL23" s="145"/>
      <c r="AM23" s="165"/>
      <c r="AN23" s="553"/>
      <c r="AO23" s="144"/>
      <c r="AP23" s="557"/>
      <c r="AQ23" s="98"/>
    </row>
    <row r="24" spans="1:43" ht="51" customHeight="1">
      <c r="A24" s="318" t="s">
        <v>519</v>
      </c>
      <c r="B24" s="291" t="s">
        <v>711</v>
      </c>
      <c r="C24" s="818">
        <v>1</v>
      </c>
      <c r="D24" s="383">
        <v>1</v>
      </c>
      <c r="E24" s="858">
        <v>1</v>
      </c>
      <c r="F24" s="147">
        <v>1</v>
      </c>
      <c r="G24" s="147"/>
      <c r="H24" s="180">
        <f t="shared" si="7"/>
        <v>1</v>
      </c>
      <c r="I24" s="148">
        <f>IF(F24/D24&gt;=100%,100%,F24/D24)</f>
        <v>1</v>
      </c>
      <c r="J24" s="149"/>
      <c r="K24" s="149"/>
      <c r="L24" s="101"/>
      <c r="M24" s="104"/>
      <c r="N24" s="146"/>
      <c r="O24" s="149"/>
      <c r="P24" s="149"/>
      <c r="Q24" s="149"/>
      <c r="R24" s="150"/>
      <c r="S24" s="151"/>
      <c r="T24" s="147">
        <v>4</v>
      </c>
      <c r="U24" s="242">
        <f>SUM(E24:F24)</f>
        <v>2</v>
      </c>
      <c r="V24" s="153">
        <f>IF(U24/T24&gt;=100%,100%,U24/T24)</f>
        <v>0.5</v>
      </c>
      <c r="W24" s="473">
        <v>0.5</v>
      </c>
      <c r="X24" s="473">
        <v>0.5</v>
      </c>
      <c r="Y24" s="516">
        <v>489400000</v>
      </c>
      <c r="Z24" s="359"/>
      <c r="AA24" s="154">
        <v>489109181</v>
      </c>
      <c r="AB24" s="273">
        <f t="shared" si="2"/>
        <v>0.99940576420106253</v>
      </c>
      <c r="AC24" s="265">
        <v>476709597</v>
      </c>
      <c r="AD24" s="151">
        <f t="shared" si="3"/>
        <v>0.97406946669391092</v>
      </c>
      <c r="AE24" s="156">
        <f>+AA24-AC24</f>
        <v>12399584</v>
      </c>
      <c r="AF24" s="154">
        <v>2000000</v>
      </c>
      <c r="AG24" s="154">
        <v>2000000</v>
      </c>
      <c r="AH24" s="614">
        <f t="shared" si="4"/>
        <v>1</v>
      </c>
      <c r="AI24" s="250">
        <v>1200000000</v>
      </c>
      <c r="AJ24" s="250">
        <f t="shared" ref="AJ24:AJ75" si="18">+SUM(Z24:AA24)</f>
        <v>489109181</v>
      </c>
      <c r="AK24" s="277">
        <f t="shared" si="5"/>
        <v>0.40759098416666667</v>
      </c>
      <c r="AL24" s="156"/>
      <c r="AM24" s="157"/>
      <c r="AN24" s="152" t="s">
        <v>302</v>
      </c>
      <c r="AO24" s="2207" t="s">
        <v>890</v>
      </c>
      <c r="AP24" s="558"/>
      <c r="AQ24" s="93"/>
    </row>
    <row r="25" spans="1:43" ht="51" customHeight="1" thickBot="1">
      <c r="A25" s="318" t="s">
        <v>520</v>
      </c>
      <c r="B25" s="414" t="s">
        <v>712</v>
      </c>
      <c r="C25" s="820">
        <v>3</v>
      </c>
      <c r="D25" s="383">
        <v>3</v>
      </c>
      <c r="E25" s="860">
        <v>3</v>
      </c>
      <c r="F25" s="147">
        <v>3</v>
      </c>
      <c r="G25" s="147"/>
      <c r="H25" s="180">
        <f t="shared" si="7"/>
        <v>1</v>
      </c>
      <c r="I25" s="148">
        <f>IF(F25/D25&gt;=100%,100%,F25/D25)</f>
        <v>1</v>
      </c>
      <c r="J25" s="149"/>
      <c r="K25" s="149"/>
      <c r="L25" s="101"/>
      <c r="M25" s="104"/>
      <c r="N25" s="146"/>
      <c r="O25" s="149"/>
      <c r="P25" s="149"/>
      <c r="Q25" s="149"/>
      <c r="R25" s="150"/>
      <c r="S25" s="155"/>
      <c r="T25" s="147">
        <v>4</v>
      </c>
      <c r="U25" s="242">
        <f>SUM(E25:F25)</f>
        <v>6</v>
      </c>
      <c r="V25" s="153">
        <f>IF(U25/T25&gt;=100%,100%,U25/T25)</f>
        <v>1</v>
      </c>
      <c r="W25" s="882">
        <v>0.5</v>
      </c>
      <c r="X25" s="473">
        <v>0.5</v>
      </c>
      <c r="Y25" s="516">
        <v>60600000</v>
      </c>
      <c r="Z25" s="359"/>
      <c r="AA25" s="157">
        <v>60433046</v>
      </c>
      <c r="AB25" s="273">
        <f t="shared" si="2"/>
        <v>0.99724498349834978</v>
      </c>
      <c r="AC25" s="265">
        <v>23730780</v>
      </c>
      <c r="AD25" s="151">
        <f t="shared" si="3"/>
        <v>0.39159702970297028</v>
      </c>
      <c r="AE25" s="156">
        <f>+AA25-AC25</f>
        <v>36702266</v>
      </c>
      <c r="AF25" s="157">
        <v>42300675</v>
      </c>
      <c r="AG25" s="157">
        <v>38318115</v>
      </c>
      <c r="AH25" s="614">
        <f t="shared" si="4"/>
        <v>0.90585114776537257</v>
      </c>
      <c r="AI25" s="250">
        <v>600000000</v>
      </c>
      <c r="AJ25" s="250">
        <f t="shared" si="18"/>
        <v>60433046</v>
      </c>
      <c r="AK25" s="277">
        <f t="shared" si="5"/>
        <v>0.10072174333333334</v>
      </c>
      <c r="AL25" s="156"/>
      <c r="AM25" s="157"/>
      <c r="AN25" s="152" t="s">
        <v>8</v>
      </c>
      <c r="AO25" s="2205"/>
      <c r="AP25" s="558"/>
      <c r="AQ25" s="93"/>
    </row>
    <row r="26" spans="1:43" ht="45" customHeight="1" thickBot="1">
      <c r="A26" s="315" t="s">
        <v>449</v>
      </c>
      <c r="B26" s="138"/>
      <c r="C26" s="139"/>
      <c r="D26" s="223"/>
      <c r="E26" s="861"/>
      <c r="F26" s="139"/>
      <c r="G26" s="139"/>
      <c r="H26" s="140">
        <f>+SUMPRODUCT(H27:H31,W27:W31)</f>
        <v>0.99999999999999989</v>
      </c>
      <c r="I26" s="161">
        <f>+SUMPRODUCT(I27:I31,X27:X31)</f>
        <v>0.99999999999999989</v>
      </c>
      <c r="J26" s="141"/>
      <c r="K26" s="141"/>
      <c r="L26" s="141"/>
      <c r="M26" s="142"/>
      <c r="N26" s="142"/>
      <c r="O26" s="141"/>
      <c r="P26" s="141"/>
      <c r="Q26" s="141"/>
      <c r="R26" s="141"/>
      <c r="S26" s="143"/>
      <c r="T26" s="231"/>
      <c r="U26" s="258"/>
      <c r="V26" s="177">
        <f>+SUMPRODUCT(V27:V32,W27:W32)</f>
        <v>0.70583333333333331</v>
      </c>
      <c r="W26" s="879">
        <v>0.7</v>
      </c>
      <c r="X26" s="471">
        <v>0.7</v>
      </c>
      <c r="Y26" s="144">
        <f>SUM(Y27:Y31)</f>
        <v>46525549782</v>
      </c>
      <c r="Z26" s="144">
        <f>SUM(Z27:Z31)</f>
        <v>0</v>
      </c>
      <c r="AA26" s="602">
        <f>SUM(AA27:AA31)</f>
        <v>46457945296.839996</v>
      </c>
      <c r="AB26" s="272">
        <f t="shared" si="2"/>
        <v>0.99854693849988296</v>
      </c>
      <c r="AC26" s="602">
        <f>SUM(AC27:AC31)</f>
        <v>33484519510.84</v>
      </c>
      <c r="AD26" s="143">
        <f t="shared" si="3"/>
        <v>0.71970174813054288</v>
      </c>
      <c r="AE26" s="144">
        <f>SUM(AE27:AE31)</f>
        <v>12973425785.999996</v>
      </c>
      <c r="AF26" s="144">
        <f>SUM(AF27:AF31)</f>
        <v>1145837473.0599999</v>
      </c>
      <c r="AG26" s="144">
        <f>SUM(AG27:AG31)</f>
        <v>937752831.84000003</v>
      </c>
      <c r="AH26" s="613">
        <f t="shared" si="4"/>
        <v>0.81839951466737915</v>
      </c>
      <c r="AI26" s="144">
        <f>SUM(AI27:AI31)</f>
        <v>49695000000</v>
      </c>
      <c r="AJ26" s="144">
        <f>SUM(AJ27:AJ31)</f>
        <v>46457945296.839996</v>
      </c>
      <c r="AK26" s="276">
        <f t="shared" si="5"/>
        <v>0.93486156146171639</v>
      </c>
      <c r="AL26" s="145"/>
      <c r="AM26" s="165"/>
      <c r="AN26" s="553"/>
      <c r="AO26" s="144"/>
      <c r="AP26" s="557"/>
      <c r="AQ26" s="98"/>
    </row>
    <row r="27" spans="1:43" ht="64.5" customHeight="1">
      <c r="A27" s="325" t="s">
        <v>521</v>
      </c>
      <c r="B27" s="907" t="s">
        <v>713</v>
      </c>
      <c r="C27" s="818">
        <v>1</v>
      </c>
      <c r="D27" s="383">
        <v>1</v>
      </c>
      <c r="E27" s="858">
        <v>0</v>
      </c>
      <c r="F27" s="147">
        <v>1</v>
      </c>
      <c r="G27" s="147">
        <v>1</v>
      </c>
      <c r="H27" s="180">
        <f t="shared" si="7"/>
        <v>1</v>
      </c>
      <c r="I27" s="148">
        <f t="shared" ref="I27:I31" si="19">IF(F27/D27&gt;=100%,100%,F27/D27)</f>
        <v>1</v>
      </c>
      <c r="J27" s="149"/>
      <c r="K27" s="149"/>
      <c r="L27" s="101"/>
      <c r="M27" s="104"/>
      <c r="N27" s="146"/>
      <c r="O27" s="149"/>
      <c r="P27" s="149"/>
      <c r="Q27" s="149"/>
      <c r="R27" s="150"/>
      <c r="S27" s="151"/>
      <c r="T27" s="147">
        <v>4</v>
      </c>
      <c r="U27" s="242">
        <f>SUM(E27:F27)</f>
        <v>1</v>
      </c>
      <c r="V27" s="153">
        <f t="shared" ref="V27:V34" si="20">IF(U27/T27&gt;=100%,100%,U27/T27)</f>
        <v>0.25</v>
      </c>
      <c r="W27" s="473">
        <v>0.1</v>
      </c>
      <c r="X27" s="473">
        <v>0.1</v>
      </c>
      <c r="Y27" s="515">
        <v>375000000</v>
      </c>
      <c r="Z27" s="379"/>
      <c r="AA27" s="154">
        <v>360796121</v>
      </c>
      <c r="AB27" s="273">
        <f t="shared" si="2"/>
        <v>0.96212298933333329</v>
      </c>
      <c r="AC27" s="265">
        <v>330425585</v>
      </c>
      <c r="AD27" s="151">
        <f t="shared" si="3"/>
        <v>0.88113489333333328</v>
      </c>
      <c r="AE27" s="156">
        <f>+AA27-AC27</f>
        <v>30370536</v>
      </c>
      <c r="AF27" s="156">
        <v>187008716.25999999</v>
      </c>
      <c r="AG27" s="154">
        <v>133453604.84</v>
      </c>
      <c r="AH27" s="614">
        <f t="shared" si="4"/>
        <v>0.71362237819149665</v>
      </c>
      <c r="AI27" s="250">
        <v>2000000000</v>
      </c>
      <c r="AJ27" s="250">
        <f t="shared" si="18"/>
        <v>360796121</v>
      </c>
      <c r="AK27" s="277">
        <f t="shared" si="5"/>
        <v>0.18039806050000001</v>
      </c>
      <c r="AL27" s="156"/>
      <c r="AM27" s="157"/>
      <c r="AN27" s="152" t="s">
        <v>302</v>
      </c>
      <c r="AO27" s="2236" t="s">
        <v>891</v>
      </c>
      <c r="AP27" s="558"/>
      <c r="AQ27" s="93"/>
    </row>
    <row r="28" spans="1:43" ht="45" customHeight="1">
      <c r="A28" s="317" t="s">
        <v>522</v>
      </c>
      <c r="B28" s="415" t="s">
        <v>714</v>
      </c>
      <c r="C28" s="383">
        <v>1</v>
      </c>
      <c r="D28" s="383">
        <v>1</v>
      </c>
      <c r="E28" s="147">
        <v>1</v>
      </c>
      <c r="F28" s="679">
        <v>1</v>
      </c>
      <c r="G28" s="147"/>
      <c r="H28" s="180">
        <f t="shared" si="7"/>
        <v>1</v>
      </c>
      <c r="I28" s="148">
        <f t="shared" si="19"/>
        <v>1</v>
      </c>
      <c r="J28" s="149"/>
      <c r="K28" s="149"/>
      <c r="L28" s="101"/>
      <c r="M28" s="104"/>
      <c r="N28" s="146"/>
      <c r="O28" s="149"/>
      <c r="P28" s="149"/>
      <c r="Q28" s="149"/>
      <c r="R28" s="150"/>
      <c r="S28" s="155"/>
      <c r="T28" s="147">
        <v>4</v>
      </c>
      <c r="U28" s="242">
        <f t="shared" ref="U28:U31" si="21">SUM(E28:F28)</f>
        <v>2</v>
      </c>
      <c r="V28" s="153">
        <f t="shared" ref="V28:V31" si="22">IF(U28/T28&gt;=100%,100%,U28/T28)</f>
        <v>0.5</v>
      </c>
      <c r="W28" s="473">
        <v>0.4</v>
      </c>
      <c r="X28" s="473">
        <v>0.4</v>
      </c>
      <c r="Y28" s="515">
        <v>35231275472</v>
      </c>
      <c r="Z28" s="379"/>
      <c r="AA28" s="157">
        <v>35196179335.839996</v>
      </c>
      <c r="AB28" s="273">
        <f t="shared" si="2"/>
        <v>0.99900383577688245</v>
      </c>
      <c r="AC28" s="265">
        <v>29249454735.84</v>
      </c>
      <c r="AD28" s="151">
        <f t="shared" si="3"/>
        <v>0.83021276817201684</v>
      </c>
      <c r="AE28" s="156">
        <f>+AA28-AC28</f>
        <v>5946724599.9999962</v>
      </c>
      <c r="AF28" s="156">
        <v>231166931.25</v>
      </c>
      <c r="AG28" s="157">
        <v>230358446</v>
      </c>
      <c r="AH28" s="614">
        <f t="shared" si="4"/>
        <v>0.99650259124162688</v>
      </c>
      <c r="AI28" s="250">
        <v>28800000000</v>
      </c>
      <c r="AJ28" s="250">
        <f t="shared" si="18"/>
        <v>35196179335.839996</v>
      </c>
      <c r="AK28" s="277">
        <f t="shared" si="5"/>
        <v>1.2220895602722222</v>
      </c>
      <c r="AL28" s="156"/>
      <c r="AM28" s="157"/>
      <c r="AN28" s="152" t="s">
        <v>302</v>
      </c>
      <c r="AO28" s="2206"/>
      <c r="AP28" s="558"/>
      <c r="AQ28" s="93"/>
    </row>
    <row r="29" spans="1:43" ht="45" customHeight="1">
      <c r="A29" s="317" t="s">
        <v>523</v>
      </c>
      <c r="B29" s="415" t="s">
        <v>715</v>
      </c>
      <c r="C29" s="383">
        <v>1</v>
      </c>
      <c r="D29" s="383">
        <v>1</v>
      </c>
      <c r="E29" s="859">
        <v>1</v>
      </c>
      <c r="F29" s="679">
        <v>1</v>
      </c>
      <c r="G29" s="147"/>
      <c r="H29" s="180">
        <f t="shared" si="7"/>
        <v>1</v>
      </c>
      <c r="I29" s="148">
        <f t="shared" si="19"/>
        <v>1</v>
      </c>
      <c r="J29" s="149"/>
      <c r="K29" s="149"/>
      <c r="L29" s="101"/>
      <c r="M29" s="104"/>
      <c r="N29" s="146"/>
      <c r="O29" s="149"/>
      <c r="P29" s="149"/>
      <c r="Q29" s="149"/>
      <c r="R29" s="150"/>
      <c r="S29" s="155"/>
      <c r="T29" s="147">
        <v>4</v>
      </c>
      <c r="U29" s="242">
        <f t="shared" si="21"/>
        <v>2</v>
      </c>
      <c r="V29" s="153">
        <f t="shared" si="22"/>
        <v>0.5</v>
      </c>
      <c r="W29" s="473">
        <v>0.2</v>
      </c>
      <c r="X29" s="473">
        <v>0.2</v>
      </c>
      <c r="Y29" s="515">
        <v>807500000</v>
      </c>
      <c r="Z29" s="379"/>
      <c r="AA29" s="157">
        <v>801196031</v>
      </c>
      <c r="AB29" s="273">
        <f t="shared" si="2"/>
        <v>0.99219322724458203</v>
      </c>
      <c r="AC29" s="265">
        <v>726805330</v>
      </c>
      <c r="AD29" s="151">
        <f t="shared" si="3"/>
        <v>0.90006852012383898</v>
      </c>
      <c r="AE29" s="156">
        <f>+AA29-AC29</f>
        <v>74390701</v>
      </c>
      <c r="AF29" s="156">
        <v>448104787.99000001</v>
      </c>
      <c r="AG29" s="157">
        <v>447482815</v>
      </c>
      <c r="AH29" s="614">
        <f t="shared" si="4"/>
        <v>0.99861199209053331</v>
      </c>
      <c r="AI29" s="250">
        <v>6800000000</v>
      </c>
      <c r="AJ29" s="250">
        <f t="shared" si="18"/>
        <v>801196031</v>
      </c>
      <c r="AK29" s="277">
        <f t="shared" si="5"/>
        <v>0.11782294573529412</v>
      </c>
      <c r="AL29" s="156"/>
      <c r="AM29" s="157"/>
      <c r="AN29" s="152" t="s">
        <v>302</v>
      </c>
      <c r="AO29" s="2206"/>
      <c r="AP29" s="558"/>
      <c r="AQ29" s="93"/>
    </row>
    <row r="30" spans="1:43" ht="51">
      <c r="A30" s="317" t="s">
        <v>524</v>
      </c>
      <c r="B30" s="415" t="s">
        <v>716</v>
      </c>
      <c r="C30" s="383">
        <v>1</v>
      </c>
      <c r="D30" s="383">
        <v>1</v>
      </c>
      <c r="E30" s="147">
        <v>1</v>
      </c>
      <c r="F30" s="679">
        <v>1</v>
      </c>
      <c r="G30" s="147"/>
      <c r="H30" s="180">
        <f t="shared" si="7"/>
        <v>1</v>
      </c>
      <c r="I30" s="148">
        <f t="shared" si="19"/>
        <v>1</v>
      </c>
      <c r="J30" s="149"/>
      <c r="K30" s="149"/>
      <c r="L30" s="101"/>
      <c r="M30" s="104"/>
      <c r="N30" s="146"/>
      <c r="O30" s="149"/>
      <c r="P30" s="149"/>
      <c r="Q30" s="149"/>
      <c r="R30" s="150"/>
      <c r="S30" s="155"/>
      <c r="T30" s="147">
        <v>4</v>
      </c>
      <c r="U30" s="242">
        <f t="shared" si="21"/>
        <v>2</v>
      </c>
      <c r="V30" s="153">
        <f t="shared" si="22"/>
        <v>0.5</v>
      </c>
      <c r="W30" s="473">
        <v>0.2</v>
      </c>
      <c r="X30" s="473">
        <v>0.2</v>
      </c>
      <c r="Y30" s="515">
        <v>9789274310</v>
      </c>
      <c r="Z30" s="359"/>
      <c r="AA30" s="157">
        <v>9777717102</v>
      </c>
      <c r="AB30" s="273">
        <f t="shared" si="2"/>
        <v>0.99881940094495114</v>
      </c>
      <c r="AC30" s="265">
        <v>2866821057</v>
      </c>
      <c r="AD30" s="151">
        <f t="shared" si="3"/>
        <v>0.29285327657755666</v>
      </c>
      <c r="AE30" s="156">
        <f>+AA30-AC30</f>
        <v>6910896045</v>
      </c>
      <c r="AF30" s="156">
        <v>279015761.56</v>
      </c>
      <c r="AG30" s="157">
        <v>126054906</v>
      </c>
      <c r="AH30" s="614">
        <f t="shared" si="4"/>
        <v>0.45178417626021083</v>
      </c>
      <c r="AI30" s="250">
        <v>9395000000</v>
      </c>
      <c r="AJ30" s="250">
        <f t="shared" si="18"/>
        <v>9777717102</v>
      </c>
      <c r="AK30" s="277">
        <f t="shared" si="5"/>
        <v>1.0407362535391165</v>
      </c>
      <c r="AL30" s="156"/>
      <c r="AM30" s="157"/>
      <c r="AN30" s="152" t="s">
        <v>302</v>
      </c>
      <c r="AO30" s="2206"/>
      <c r="AP30" s="558"/>
      <c r="AQ30" s="93"/>
    </row>
    <row r="31" spans="1:43" ht="45" customHeight="1" thickBot="1">
      <c r="A31" s="317" t="s">
        <v>525</v>
      </c>
      <c r="B31" s="415" t="s">
        <v>717</v>
      </c>
      <c r="C31" s="820">
        <v>1</v>
      </c>
      <c r="D31" s="383">
        <v>1</v>
      </c>
      <c r="E31" s="860">
        <v>2</v>
      </c>
      <c r="F31" s="147">
        <v>2</v>
      </c>
      <c r="G31" s="147"/>
      <c r="H31" s="180">
        <f t="shared" si="7"/>
        <v>1</v>
      </c>
      <c r="I31" s="148">
        <f t="shared" si="19"/>
        <v>1</v>
      </c>
      <c r="J31" s="149"/>
      <c r="K31" s="149"/>
      <c r="L31" s="101"/>
      <c r="M31" s="104"/>
      <c r="N31" s="146"/>
      <c r="O31" s="149"/>
      <c r="P31" s="149"/>
      <c r="Q31" s="149"/>
      <c r="R31" s="150"/>
      <c r="S31" s="155"/>
      <c r="T31" s="147">
        <v>4</v>
      </c>
      <c r="U31" s="242">
        <f t="shared" si="21"/>
        <v>4</v>
      </c>
      <c r="V31" s="153">
        <f t="shared" si="22"/>
        <v>1</v>
      </c>
      <c r="W31" s="882">
        <v>0.1</v>
      </c>
      <c r="X31" s="473">
        <v>0.1</v>
      </c>
      <c r="Y31" s="515">
        <v>322500000</v>
      </c>
      <c r="Z31" s="359"/>
      <c r="AA31" s="157">
        <v>322056707</v>
      </c>
      <c r="AB31" s="273">
        <f t="shared" si="2"/>
        <v>0.99862544806201547</v>
      </c>
      <c r="AC31" s="265">
        <v>311012803</v>
      </c>
      <c r="AD31" s="151">
        <f t="shared" si="3"/>
        <v>0.96438078449612408</v>
      </c>
      <c r="AE31" s="156">
        <f>+AA31-AC31</f>
        <v>11043904</v>
      </c>
      <c r="AF31" s="156">
        <v>541276</v>
      </c>
      <c r="AG31" s="157">
        <v>403060</v>
      </c>
      <c r="AH31" s="614">
        <f t="shared" si="4"/>
        <v>0.74464783215956365</v>
      </c>
      <c r="AI31" s="250">
        <v>2700000000</v>
      </c>
      <c r="AJ31" s="250">
        <f t="shared" si="18"/>
        <v>322056707</v>
      </c>
      <c r="AK31" s="277">
        <f t="shared" si="5"/>
        <v>0.11928026185185185</v>
      </c>
      <c r="AL31" s="156"/>
      <c r="AM31" s="157"/>
      <c r="AN31" s="152" t="s">
        <v>302</v>
      </c>
      <c r="AO31" s="570" t="s">
        <v>892</v>
      </c>
      <c r="AP31" s="558"/>
      <c r="AQ31" s="93"/>
    </row>
    <row r="32" spans="1:43" ht="73.5" customHeight="1" thickBot="1">
      <c r="A32" s="314" t="s">
        <v>421</v>
      </c>
      <c r="B32" s="137"/>
      <c r="C32" s="200"/>
      <c r="D32" s="224"/>
      <c r="E32" s="862"/>
      <c r="F32" s="200"/>
      <c r="G32" s="200"/>
      <c r="H32" s="130">
        <f>+(H33*W33)+(H37*W37)+(H45*W45)</f>
        <v>0.97199999999999998</v>
      </c>
      <c r="I32" s="130">
        <f>+(I33*X33)+(I37*X37)+(I45*X45)</f>
        <v>0.968225</v>
      </c>
      <c r="J32" s="160"/>
      <c r="K32" s="160"/>
      <c r="L32" s="201"/>
      <c r="M32" s="201"/>
      <c r="N32" s="201"/>
      <c r="O32" s="160"/>
      <c r="P32" s="160"/>
      <c r="Q32" s="160"/>
      <c r="R32" s="202"/>
      <c r="S32" s="203"/>
      <c r="T32" s="232"/>
      <c r="U32" s="259"/>
      <c r="V32" s="466">
        <f>+(V33*W33)+(V37*W37)+(V45*W45)</f>
        <v>0.72333333333333338</v>
      </c>
      <c r="W32" s="883">
        <v>0.25</v>
      </c>
      <c r="X32" s="470">
        <v>0.25</v>
      </c>
      <c r="Y32" s="135">
        <f>+Y33+Y37+Y45</f>
        <v>14739126021</v>
      </c>
      <c r="Z32" s="135">
        <f>+Z33+Z37+Z45</f>
        <v>0</v>
      </c>
      <c r="AA32" s="135">
        <f>+AA33+AA37+AA45</f>
        <v>14721169038</v>
      </c>
      <c r="AB32" s="271">
        <f t="shared" si="2"/>
        <v>0.99878167925463046</v>
      </c>
      <c r="AC32" s="135">
        <f>+AC33+AC37+AC45</f>
        <v>7735525918</v>
      </c>
      <c r="AD32" s="552">
        <f t="shared" si="3"/>
        <v>0.52482934924218594</v>
      </c>
      <c r="AE32" s="135">
        <f>+AE33+AE37+AE45</f>
        <v>6943899846</v>
      </c>
      <c r="AF32" s="135">
        <f>+AF33+AF37+AF45</f>
        <v>10238929529.200001</v>
      </c>
      <c r="AG32" s="135">
        <f>+AG33+AG37+AG45</f>
        <v>881473792.20000005</v>
      </c>
      <c r="AH32" s="612">
        <f t="shared" si="4"/>
        <v>8.6090424754478437E-2</v>
      </c>
      <c r="AI32" s="135">
        <f>+AI33+AI37+AI45</f>
        <v>29550000000</v>
      </c>
      <c r="AJ32" s="135">
        <f>+AJ33+AJ37+AJ45</f>
        <v>14721169038</v>
      </c>
      <c r="AK32" s="199">
        <f t="shared" si="5"/>
        <v>0.4981783092385787</v>
      </c>
      <c r="AL32" s="137"/>
      <c r="AM32" s="160" t="s">
        <v>295</v>
      </c>
      <c r="AN32" s="136"/>
      <c r="AO32" s="135"/>
      <c r="AP32" s="556"/>
      <c r="AQ32" s="97"/>
    </row>
    <row r="33" spans="1:43" ht="45" customHeight="1" thickBot="1">
      <c r="A33" s="315" t="s">
        <v>450</v>
      </c>
      <c r="B33" s="138"/>
      <c r="C33" s="139"/>
      <c r="D33" s="223"/>
      <c r="E33" s="861"/>
      <c r="F33" s="139"/>
      <c r="G33" s="139"/>
      <c r="H33" s="161">
        <f>+SUMPRODUCT(H34:H36,W34:W36)</f>
        <v>0.72</v>
      </c>
      <c r="I33" s="161">
        <f>+SUMPRODUCT(I34:I36,X34:X36)</f>
        <v>0.68225000000000002</v>
      </c>
      <c r="J33" s="141"/>
      <c r="K33" s="141"/>
      <c r="L33" s="141"/>
      <c r="M33" s="142"/>
      <c r="N33" s="142"/>
      <c r="O33" s="141"/>
      <c r="P33" s="141"/>
      <c r="Q33" s="141"/>
      <c r="R33" s="141"/>
      <c r="S33" s="143"/>
      <c r="T33" s="231"/>
      <c r="U33" s="258"/>
      <c r="V33" s="177">
        <f>+SUMPRODUCT(V34:V36,W34:W36)</f>
        <v>0.7</v>
      </c>
      <c r="W33" s="879">
        <v>0.1</v>
      </c>
      <c r="X33" s="471">
        <v>0.1</v>
      </c>
      <c r="Y33" s="144">
        <f>SUM(Y34:Y36)</f>
        <v>545400000</v>
      </c>
      <c r="Z33" s="144">
        <f>SUM(Z34:Z36)</f>
        <v>0</v>
      </c>
      <c r="AA33" s="144">
        <f>SUM(AA34:AA36)</f>
        <v>538263960</v>
      </c>
      <c r="AB33" s="272">
        <f t="shared" si="2"/>
        <v>0.98691595159515955</v>
      </c>
      <c r="AC33" s="144">
        <f>SUM(AC34:AC36)</f>
        <v>517582917</v>
      </c>
      <c r="AD33" s="143">
        <f t="shared" si="3"/>
        <v>0.94899691419141918</v>
      </c>
      <c r="AE33" s="144">
        <f>SUM(AE34:AE36)</f>
        <v>20681043</v>
      </c>
      <c r="AF33" s="144">
        <f>SUM(AF34:AF36)</f>
        <v>29901276</v>
      </c>
      <c r="AG33" s="144">
        <f>SUM(AG34:AG36)</f>
        <v>27003060</v>
      </c>
      <c r="AH33" s="613">
        <f t="shared" si="4"/>
        <v>0.90307383537746011</v>
      </c>
      <c r="AI33" s="144">
        <f>SUM(AI34:AI36)</f>
        <v>1500000000</v>
      </c>
      <c r="AJ33" s="144">
        <f>SUM(AJ34:AJ36)</f>
        <v>538263960</v>
      </c>
      <c r="AK33" s="276">
        <f t="shared" si="5"/>
        <v>0.35884263999999999</v>
      </c>
      <c r="AL33" s="145"/>
      <c r="AM33" s="165"/>
      <c r="AN33" s="553"/>
      <c r="AO33" s="144"/>
      <c r="AP33" s="557"/>
      <c r="AQ33" s="98"/>
    </row>
    <row r="34" spans="1:43" ht="45" customHeight="1">
      <c r="A34" s="318" t="s">
        <v>526</v>
      </c>
      <c r="B34" s="416" t="s">
        <v>718</v>
      </c>
      <c r="C34" s="821">
        <v>0.6</v>
      </c>
      <c r="D34" s="180">
        <v>0.8</v>
      </c>
      <c r="E34" s="864">
        <v>0.52</v>
      </c>
      <c r="F34" s="182">
        <v>0.3916</v>
      </c>
      <c r="G34" s="182">
        <v>0.15</v>
      </c>
      <c r="H34" s="180">
        <f t="shared" ref="H34:H36" si="23">IF((E34+G34)/C34&gt;=100%,100%,(E34+G34)/C34)</f>
        <v>1</v>
      </c>
      <c r="I34" s="148">
        <f t="shared" ref="I34:I35" si="24">IF(F34/D34&gt;=100%,100%,F34/D34)</f>
        <v>0.48949999999999999</v>
      </c>
      <c r="J34" s="149"/>
      <c r="K34" s="149"/>
      <c r="L34" s="101"/>
      <c r="M34" s="104"/>
      <c r="N34" s="146"/>
      <c r="O34" s="149"/>
      <c r="P34" s="149"/>
      <c r="Q34" s="149"/>
      <c r="R34" s="150"/>
      <c r="S34" s="151"/>
      <c r="T34" s="182">
        <v>0.9</v>
      </c>
      <c r="U34" s="242">
        <f t="shared" ref="U34" si="25">SUM(E34:F34)</f>
        <v>0.91159999999999997</v>
      </c>
      <c r="V34" s="153">
        <f t="shared" si="20"/>
        <v>1</v>
      </c>
      <c r="W34" s="473">
        <v>0.35</v>
      </c>
      <c r="X34" s="473">
        <v>0.5</v>
      </c>
      <c r="Y34" s="516">
        <v>295700000</v>
      </c>
      <c r="Z34" s="359"/>
      <c r="AA34" s="154">
        <v>293075474</v>
      </c>
      <c r="AB34" s="273">
        <f t="shared" si="2"/>
        <v>0.9911243625295908</v>
      </c>
      <c r="AC34" s="265">
        <v>278874807</v>
      </c>
      <c r="AD34" s="151">
        <f t="shared" si="3"/>
        <v>0.94310046330740616</v>
      </c>
      <c r="AE34" s="156">
        <f>+AA34-AC34</f>
        <v>14200667</v>
      </c>
      <c r="AF34" s="154">
        <v>12000000</v>
      </c>
      <c r="AG34" s="154">
        <v>12000000</v>
      </c>
      <c r="AH34" s="614">
        <f t="shared" si="4"/>
        <v>1</v>
      </c>
      <c r="AI34" s="250">
        <v>600000000</v>
      </c>
      <c r="AJ34" s="250">
        <f t="shared" si="18"/>
        <v>293075474</v>
      </c>
      <c r="AK34" s="277">
        <f t="shared" si="5"/>
        <v>0.48845912333333336</v>
      </c>
      <c r="AL34" s="156"/>
      <c r="AM34" s="157"/>
      <c r="AN34" s="152" t="s">
        <v>302</v>
      </c>
      <c r="AO34" s="2237" t="s">
        <v>893</v>
      </c>
      <c r="AP34" s="558"/>
      <c r="AQ34" s="93"/>
    </row>
    <row r="35" spans="1:43" ht="45" customHeight="1">
      <c r="A35" s="318" t="s">
        <v>527</v>
      </c>
      <c r="B35" s="417" t="s">
        <v>720</v>
      </c>
      <c r="C35" s="180">
        <v>1</v>
      </c>
      <c r="D35" s="180">
        <v>1</v>
      </c>
      <c r="E35" s="182">
        <v>0.2</v>
      </c>
      <c r="F35" s="182">
        <v>0.875</v>
      </c>
      <c r="G35" s="147"/>
      <c r="H35" s="180">
        <f t="shared" si="23"/>
        <v>0.2</v>
      </c>
      <c r="I35" s="148">
        <f t="shared" si="24"/>
        <v>0.875</v>
      </c>
      <c r="J35" s="149"/>
      <c r="K35" s="149"/>
      <c r="L35" s="101"/>
      <c r="M35" s="104"/>
      <c r="N35" s="146"/>
      <c r="O35" s="149"/>
      <c r="P35" s="149"/>
      <c r="Q35" s="149"/>
      <c r="R35" s="150"/>
      <c r="S35" s="155"/>
      <c r="T35" s="182">
        <v>1</v>
      </c>
      <c r="U35" s="242">
        <f t="shared" ref="U35:U36" si="26">SUM(E35:F35)</f>
        <v>1.075</v>
      </c>
      <c r="V35" s="153">
        <f t="shared" ref="V35:V36" si="27">IF(U35/T35&gt;=100%,100%,U35/T35)</f>
        <v>1</v>
      </c>
      <c r="W35" s="473">
        <v>0.35</v>
      </c>
      <c r="X35" s="473">
        <v>0.5</v>
      </c>
      <c r="Y35" s="516">
        <v>249700000</v>
      </c>
      <c r="Z35" s="359"/>
      <c r="AA35" s="154">
        <v>245188486</v>
      </c>
      <c r="AB35" s="273">
        <f t="shared" si="2"/>
        <v>0.98193226271525835</v>
      </c>
      <c r="AC35" s="265">
        <v>238708110</v>
      </c>
      <c r="AD35" s="151">
        <f t="shared" si="3"/>
        <v>0.95597961553864641</v>
      </c>
      <c r="AE35" s="156">
        <f>+AA35-AC35</f>
        <v>6480376</v>
      </c>
      <c r="AF35" s="157">
        <v>17360000</v>
      </c>
      <c r="AG35" s="157">
        <v>14600000</v>
      </c>
      <c r="AH35" s="614">
        <f t="shared" si="4"/>
        <v>0.84101382488479259</v>
      </c>
      <c r="AI35" s="250">
        <v>600000000</v>
      </c>
      <c r="AJ35" s="250">
        <f t="shared" si="18"/>
        <v>245188486</v>
      </c>
      <c r="AK35" s="277">
        <f t="shared" si="5"/>
        <v>0.40864747666666668</v>
      </c>
      <c r="AL35" s="156"/>
      <c r="AM35" s="157"/>
      <c r="AN35" s="152" t="s">
        <v>7</v>
      </c>
      <c r="AO35" s="2206"/>
      <c r="AP35" s="558"/>
      <c r="AQ35" s="93"/>
    </row>
    <row r="36" spans="1:43" ht="45" customHeight="1" thickBot="1">
      <c r="A36" s="318" t="s">
        <v>528</v>
      </c>
      <c r="B36" s="416" t="s">
        <v>719</v>
      </c>
      <c r="C36" s="820">
        <v>1</v>
      </c>
      <c r="D36" s="383">
        <v>0</v>
      </c>
      <c r="E36" s="860">
        <v>0</v>
      </c>
      <c r="F36" s="147">
        <v>0</v>
      </c>
      <c r="G36" s="147">
        <v>1</v>
      </c>
      <c r="H36" s="180">
        <f t="shared" si="23"/>
        <v>1</v>
      </c>
      <c r="I36" s="148">
        <v>0</v>
      </c>
      <c r="J36" s="149"/>
      <c r="K36" s="149"/>
      <c r="L36" s="101"/>
      <c r="M36" s="104"/>
      <c r="N36" s="146"/>
      <c r="O36" s="149"/>
      <c r="P36" s="149"/>
      <c r="Q36" s="149"/>
      <c r="R36" s="150"/>
      <c r="S36" s="155"/>
      <c r="T36" s="147">
        <v>2</v>
      </c>
      <c r="U36" s="242">
        <f t="shared" si="26"/>
        <v>0</v>
      </c>
      <c r="V36" s="153">
        <f t="shared" si="27"/>
        <v>0</v>
      </c>
      <c r="W36" s="882">
        <v>0.3</v>
      </c>
      <c r="X36" s="473">
        <v>0</v>
      </c>
      <c r="Y36" s="516">
        <v>0</v>
      </c>
      <c r="Z36" s="361" t="s">
        <v>887</v>
      </c>
      <c r="AA36" s="157">
        <v>0</v>
      </c>
      <c r="AB36" s="273" t="e">
        <f t="shared" si="2"/>
        <v>#DIV/0!</v>
      </c>
      <c r="AC36" s="265"/>
      <c r="AD36" s="151" t="e">
        <f t="shared" si="3"/>
        <v>#DIV/0!</v>
      </c>
      <c r="AE36" s="156">
        <f>+AA36-AC36</f>
        <v>0</v>
      </c>
      <c r="AF36" s="157">
        <v>541276</v>
      </c>
      <c r="AG36" s="157">
        <v>403060</v>
      </c>
      <c r="AH36" s="614">
        <f t="shared" si="4"/>
        <v>0.74464783215956365</v>
      </c>
      <c r="AI36" s="251">
        <v>300000000</v>
      </c>
      <c r="AJ36" s="250">
        <f t="shared" si="18"/>
        <v>0</v>
      </c>
      <c r="AK36" s="277">
        <f t="shared" si="5"/>
        <v>0</v>
      </c>
      <c r="AL36" s="156"/>
      <c r="AM36" s="157"/>
      <c r="AN36" s="152" t="s">
        <v>302</v>
      </c>
      <c r="AO36" s="571" t="s">
        <v>891</v>
      </c>
      <c r="AP36" s="558"/>
      <c r="AQ36" s="93"/>
    </row>
    <row r="37" spans="1:43" ht="45" customHeight="1" thickBot="1">
      <c r="A37" s="315" t="s">
        <v>451</v>
      </c>
      <c r="B37" s="138"/>
      <c r="C37" s="139"/>
      <c r="D37" s="223"/>
      <c r="E37" s="861"/>
      <c r="F37" s="139"/>
      <c r="G37" s="139"/>
      <c r="H37" s="161">
        <f>+SUMPRODUCT(H38:H44,W38:W44)</f>
        <v>0.99999999999999989</v>
      </c>
      <c r="I37" s="161">
        <f>+SUMPRODUCT(I38:I44,X38:X44)</f>
        <v>1</v>
      </c>
      <c r="J37" s="141"/>
      <c r="K37" s="141"/>
      <c r="L37" s="162"/>
      <c r="M37" s="162"/>
      <c r="N37" s="162"/>
      <c r="O37" s="141"/>
      <c r="P37" s="141"/>
      <c r="Q37" s="141"/>
      <c r="R37" s="163"/>
      <c r="S37" s="164"/>
      <c r="T37" s="231"/>
      <c r="U37" s="258"/>
      <c r="V37" s="177">
        <f>+SUMPRODUCT(V38:V44,W38:W44)</f>
        <v>0.6333333333333333</v>
      </c>
      <c r="W37" s="879">
        <v>0.4</v>
      </c>
      <c r="X37" s="471">
        <v>0.4</v>
      </c>
      <c r="Y37" s="144">
        <f>SUM(Y38:Y44)</f>
        <v>1549700000</v>
      </c>
      <c r="Z37" s="144">
        <f>SUM(Z38:Z44)</f>
        <v>0</v>
      </c>
      <c r="AA37" s="144">
        <f>SUM(AA38:AA44)</f>
        <v>1543714533</v>
      </c>
      <c r="AB37" s="272">
        <f t="shared" si="2"/>
        <v>0.99613766083758148</v>
      </c>
      <c r="AC37" s="144">
        <f>SUM(AC38:AC44)</f>
        <v>1157568651</v>
      </c>
      <c r="AD37" s="143">
        <f t="shared" si="3"/>
        <v>0.74696305801122798</v>
      </c>
      <c r="AE37" s="144">
        <f>SUM(AE38:AE44)</f>
        <v>386145882</v>
      </c>
      <c r="AF37" s="144">
        <f>SUM(AF38:AF44)</f>
        <v>583768592.20000005</v>
      </c>
      <c r="AG37" s="144">
        <f>SUM(AG38:AG44)</f>
        <v>581417756.20000005</v>
      </c>
      <c r="AH37" s="613">
        <f t="shared" si="4"/>
        <v>0.99597300020691315</v>
      </c>
      <c r="AI37" s="144">
        <f>SUM(AI38:AI44)</f>
        <v>6370000000</v>
      </c>
      <c r="AJ37" s="144">
        <f>SUM(AJ38:AJ44)</f>
        <v>1543714533</v>
      </c>
      <c r="AK37" s="278">
        <f t="shared" si="5"/>
        <v>0.24234137095761382</v>
      </c>
      <c r="AL37" s="145"/>
      <c r="AM37" s="165"/>
      <c r="AN37" s="553"/>
      <c r="AO37" s="144"/>
      <c r="AP37" s="557"/>
      <c r="AQ37" s="98"/>
    </row>
    <row r="38" spans="1:43" ht="45" customHeight="1">
      <c r="A38" s="319" t="s">
        <v>529</v>
      </c>
      <c r="B38" s="418" t="s">
        <v>726</v>
      </c>
      <c r="C38" s="821">
        <v>1</v>
      </c>
      <c r="D38" s="180">
        <v>1</v>
      </c>
      <c r="E38" s="864">
        <v>1</v>
      </c>
      <c r="F38" s="182">
        <v>1</v>
      </c>
      <c r="G38" s="182"/>
      <c r="H38" s="180">
        <f>IF((E38+G38)/C38&gt;=100%,100%,(E38+G38)/C38)</f>
        <v>1</v>
      </c>
      <c r="I38" s="148">
        <f>IF(F38/D38&gt;=100%,100%,F38/D38)</f>
        <v>1</v>
      </c>
      <c r="J38" s="149"/>
      <c r="K38" s="149"/>
      <c r="L38" s="101"/>
      <c r="M38" s="104"/>
      <c r="N38" s="146"/>
      <c r="O38" s="149"/>
      <c r="P38" s="149"/>
      <c r="Q38" s="149"/>
      <c r="R38" s="150"/>
      <c r="S38" s="158"/>
      <c r="T38" s="182">
        <v>1</v>
      </c>
      <c r="U38" s="242">
        <f t="shared" ref="U38" si="28">SUM(E38:F38)</f>
        <v>2</v>
      </c>
      <c r="V38" s="153">
        <f t="shared" ref="V38" si="29">IF(U38/T38&gt;=100%,100%,U38/T38)</f>
        <v>1</v>
      </c>
      <c r="W38" s="884">
        <v>0.2</v>
      </c>
      <c r="X38" s="472">
        <v>0.3</v>
      </c>
      <c r="Y38" s="517">
        <v>189700000</v>
      </c>
      <c r="Z38" s="359"/>
      <c r="AA38" s="157">
        <v>189510018</v>
      </c>
      <c r="AB38" s="273">
        <f t="shared" si="2"/>
        <v>0.9989985134422773</v>
      </c>
      <c r="AC38" s="265">
        <v>188663299</v>
      </c>
      <c r="AD38" s="151">
        <f t="shared" si="3"/>
        <v>0.99453505007907217</v>
      </c>
      <c r="AE38" s="156">
        <f>+AA38-AC38</f>
        <v>846719</v>
      </c>
      <c r="AF38" s="157">
        <v>3500000</v>
      </c>
      <c r="AG38" s="157">
        <v>3500000</v>
      </c>
      <c r="AH38" s="614">
        <f t="shared" si="4"/>
        <v>1</v>
      </c>
      <c r="AI38" s="250">
        <v>550000000</v>
      </c>
      <c r="AJ38" s="250">
        <f t="shared" si="18"/>
        <v>189510018</v>
      </c>
      <c r="AK38" s="279">
        <f t="shared" si="5"/>
        <v>0.34456366909090907</v>
      </c>
      <c r="AL38" s="156"/>
      <c r="AM38" s="157"/>
      <c r="AN38" s="152" t="s">
        <v>29</v>
      </c>
      <c r="AO38" s="572" t="s">
        <v>889</v>
      </c>
      <c r="AP38" s="558"/>
      <c r="AQ38" s="93"/>
    </row>
    <row r="39" spans="1:43" ht="45" customHeight="1">
      <c r="A39" s="325" t="s">
        <v>530</v>
      </c>
      <c r="B39" s="907" t="s">
        <v>721</v>
      </c>
      <c r="C39" s="908">
        <v>1</v>
      </c>
      <c r="D39" s="908">
        <v>1</v>
      </c>
      <c r="E39" s="147">
        <v>1</v>
      </c>
      <c r="F39" s="147">
        <v>1</v>
      </c>
      <c r="G39" s="147"/>
      <c r="H39" s="180">
        <f t="shared" ref="H39:H48" si="30">IF((E39+G39)/C39&gt;=100%,100%,(E39+G39)/C39)</f>
        <v>1</v>
      </c>
      <c r="I39" s="148">
        <f t="shared" ref="I39:I44" si="31">IF(F39/D39&gt;=100%,100%,F39/D39)</f>
        <v>1</v>
      </c>
      <c r="J39" s="149"/>
      <c r="K39" s="149"/>
      <c r="L39" s="101"/>
      <c r="M39" s="104"/>
      <c r="N39" s="146"/>
      <c r="O39" s="149"/>
      <c r="P39" s="149"/>
      <c r="Q39" s="149"/>
      <c r="R39" s="150"/>
      <c r="S39" s="158"/>
      <c r="T39" s="147">
        <v>4</v>
      </c>
      <c r="U39" s="242">
        <f t="shared" ref="U39:U42" si="32">SUM(E39:F39)</f>
        <v>2</v>
      </c>
      <c r="V39" s="153">
        <f t="shared" ref="V39:V42" si="33">IF(U39/T39&gt;=100%,100%,U39/T39)</f>
        <v>0.5</v>
      </c>
      <c r="W39" s="881">
        <v>0.3</v>
      </c>
      <c r="X39" s="472">
        <v>0.3</v>
      </c>
      <c r="Y39" s="517">
        <v>961700000</v>
      </c>
      <c r="Z39" s="359"/>
      <c r="AA39" s="157">
        <v>960976437</v>
      </c>
      <c r="AB39" s="273">
        <f t="shared" si="2"/>
        <v>0.99924762087969221</v>
      </c>
      <c r="AC39" s="265">
        <v>699614855</v>
      </c>
      <c r="AD39" s="151">
        <f t="shared" si="3"/>
        <v>0.72747723302485179</v>
      </c>
      <c r="AE39" s="156">
        <f>+AA39-AC39</f>
        <v>261361582</v>
      </c>
      <c r="AF39" s="157">
        <v>420257873</v>
      </c>
      <c r="AG39" s="157">
        <v>419797153</v>
      </c>
      <c r="AH39" s="614">
        <f t="shared" si="4"/>
        <v>0.99890372071625655</v>
      </c>
      <c r="AI39" s="250">
        <v>3600000000</v>
      </c>
      <c r="AJ39" s="250">
        <f t="shared" si="18"/>
        <v>960976437</v>
      </c>
      <c r="AK39" s="279">
        <f t="shared" si="5"/>
        <v>0.26693789916666666</v>
      </c>
      <c r="AL39" s="156"/>
      <c r="AM39" s="157"/>
      <c r="AN39" s="152" t="s">
        <v>302</v>
      </c>
      <c r="AO39" s="2238" t="s">
        <v>894</v>
      </c>
      <c r="AP39" s="558"/>
      <c r="AQ39" s="93"/>
    </row>
    <row r="40" spans="1:43" ht="45" customHeight="1">
      <c r="A40" s="325" t="s">
        <v>531</v>
      </c>
      <c r="B40" s="907" t="s">
        <v>722</v>
      </c>
      <c r="C40" s="908">
        <v>1</v>
      </c>
      <c r="D40" s="908">
        <v>1</v>
      </c>
      <c r="E40" s="147">
        <v>0</v>
      </c>
      <c r="F40" s="147">
        <v>1</v>
      </c>
      <c r="G40" s="147">
        <v>1</v>
      </c>
      <c r="H40" s="180">
        <f t="shared" si="30"/>
        <v>1</v>
      </c>
      <c r="I40" s="148">
        <f t="shared" si="31"/>
        <v>1</v>
      </c>
      <c r="J40" s="149"/>
      <c r="K40" s="149"/>
      <c r="L40" s="101"/>
      <c r="M40" s="104"/>
      <c r="N40" s="146"/>
      <c r="O40" s="149"/>
      <c r="P40" s="149"/>
      <c r="Q40" s="149"/>
      <c r="R40" s="150"/>
      <c r="S40" s="158"/>
      <c r="T40" s="147">
        <v>4</v>
      </c>
      <c r="U40" s="242">
        <f t="shared" si="32"/>
        <v>1</v>
      </c>
      <c r="V40" s="153">
        <f t="shared" si="33"/>
        <v>0.25</v>
      </c>
      <c r="W40" s="881">
        <v>0.2</v>
      </c>
      <c r="X40" s="472">
        <v>0.2</v>
      </c>
      <c r="Y40" s="517">
        <v>238300000</v>
      </c>
      <c r="Z40" s="508" t="s">
        <v>887</v>
      </c>
      <c r="AA40" s="157">
        <v>233567242</v>
      </c>
      <c r="AB40" s="273">
        <f t="shared" si="2"/>
        <v>0.98013949643306753</v>
      </c>
      <c r="AC40" s="265">
        <v>112257536</v>
      </c>
      <c r="AD40" s="152">
        <f t="shared" si="3"/>
        <v>0.47107652538816619</v>
      </c>
      <c r="AE40" s="156">
        <f>+AA40-AC40</f>
        <v>121309706</v>
      </c>
      <c r="AF40" s="157">
        <v>125521063</v>
      </c>
      <c r="AG40" s="157">
        <v>124949833</v>
      </c>
      <c r="AH40" s="614">
        <f t="shared" si="4"/>
        <v>0.99544913031847093</v>
      </c>
      <c r="AI40" s="250">
        <v>1200000000</v>
      </c>
      <c r="AJ40" s="250">
        <f t="shared" si="18"/>
        <v>233567242</v>
      </c>
      <c r="AK40" s="279">
        <f t="shared" si="5"/>
        <v>0.19463936833333334</v>
      </c>
      <c r="AL40" s="156"/>
      <c r="AM40" s="157"/>
      <c r="AN40" s="152" t="s">
        <v>302</v>
      </c>
      <c r="AO40" s="2205"/>
      <c r="AP40" s="558"/>
      <c r="AQ40" s="93"/>
    </row>
    <row r="41" spans="1:43" ht="45" customHeight="1">
      <c r="A41" s="319" t="s">
        <v>532</v>
      </c>
      <c r="B41" s="419" t="s">
        <v>727</v>
      </c>
      <c r="C41" s="384">
        <v>1</v>
      </c>
      <c r="D41" s="384">
        <v>0</v>
      </c>
      <c r="E41" s="147">
        <v>1</v>
      </c>
      <c r="F41" s="147">
        <v>0</v>
      </c>
      <c r="G41" s="147"/>
      <c r="H41" s="180">
        <f t="shared" si="30"/>
        <v>1</v>
      </c>
      <c r="I41" s="148">
        <v>0</v>
      </c>
      <c r="J41" s="149"/>
      <c r="K41" s="149"/>
      <c r="L41" s="101"/>
      <c r="M41" s="104"/>
      <c r="N41" s="146"/>
      <c r="O41" s="149"/>
      <c r="P41" s="149"/>
      <c r="Q41" s="149"/>
      <c r="R41" s="150"/>
      <c r="S41" s="158"/>
      <c r="T41" s="228">
        <v>1</v>
      </c>
      <c r="U41" s="242">
        <f t="shared" si="32"/>
        <v>1</v>
      </c>
      <c r="V41" s="153">
        <f t="shared" si="33"/>
        <v>1</v>
      </c>
      <c r="W41" s="881">
        <v>0.1</v>
      </c>
      <c r="X41" s="472">
        <v>0</v>
      </c>
      <c r="Y41" s="518">
        <v>0</v>
      </c>
      <c r="Z41" s="509" t="s">
        <v>887</v>
      </c>
      <c r="AA41" s="157">
        <v>0</v>
      </c>
      <c r="AB41" s="273" t="e">
        <f t="shared" si="2"/>
        <v>#DIV/0!</v>
      </c>
      <c r="AC41" s="265"/>
      <c r="AD41" s="151" t="e">
        <f t="shared" si="3"/>
        <v>#DIV/0!</v>
      </c>
      <c r="AE41" s="156">
        <f>+AA41-AC41</f>
        <v>0</v>
      </c>
      <c r="AF41" s="157">
        <v>16563455</v>
      </c>
      <c r="AG41" s="157">
        <v>16425239</v>
      </c>
      <c r="AH41" s="614">
        <f t="shared" si="4"/>
        <v>0.99165536417371858</v>
      </c>
      <c r="AI41" s="250">
        <v>0</v>
      </c>
      <c r="AJ41" s="250">
        <f t="shared" si="18"/>
        <v>0</v>
      </c>
      <c r="AK41" s="279" t="e">
        <f t="shared" si="5"/>
        <v>#DIV/0!</v>
      </c>
      <c r="AL41" s="156"/>
      <c r="AM41" s="157"/>
      <c r="AN41" s="152" t="s">
        <v>22</v>
      </c>
      <c r="AO41" s="2239" t="s">
        <v>894</v>
      </c>
      <c r="AP41" s="558"/>
      <c r="AQ41" s="93"/>
    </row>
    <row r="42" spans="1:43" ht="45" customHeight="1">
      <c r="A42" s="319" t="s">
        <v>533</v>
      </c>
      <c r="B42" s="420" t="s">
        <v>723</v>
      </c>
      <c r="C42" s="384">
        <v>1</v>
      </c>
      <c r="D42" s="384">
        <v>1</v>
      </c>
      <c r="E42" s="147">
        <v>1</v>
      </c>
      <c r="F42" s="147">
        <v>1</v>
      </c>
      <c r="G42" s="147"/>
      <c r="H42" s="180">
        <f t="shared" si="30"/>
        <v>1</v>
      </c>
      <c r="I42" s="148">
        <f t="shared" si="31"/>
        <v>1</v>
      </c>
      <c r="J42" s="149"/>
      <c r="K42" s="149"/>
      <c r="L42" s="101"/>
      <c r="M42" s="104"/>
      <c r="N42" s="146"/>
      <c r="O42" s="149"/>
      <c r="P42" s="149"/>
      <c r="Q42" s="149"/>
      <c r="R42" s="150"/>
      <c r="S42" s="158"/>
      <c r="T42" s="228">
        <v>3</v>
      </c>
      <c r="U42" s="242">
        <f t="shared" si="32"/>
        <v>2</v>
      </c>
      <c r="V42" s="153">
        <f t="shared" si="33"/>
        <v>0.66666666666666663</v>
      </c>
      <c r="W42" s="881">
        <v>0.1</v>
      </c>
      <c r="X42" s="472">
        <v>0.1</v>
      </c>
      <c r="Y42" s="632">
        <v>100000000</v>
      </c>
      <c r="Z42" s="363" t="s">
        <v>887</v>
      </c>
      <c r="AA42" s="157">
        <v>99692062</v>
      </c>
      <c r="AB42" s="273">
        <f t="shared" si="2"/>
        <v>0.99692062000000004</v>
      </c>
      <c r="AC42" s="265">
        <v>97634559</v>
      </c>
      <c r="AD42" s="151">
        <f t="shared" si="3"/>
        <v>0.97634558999999999</v>
      </c>
      <c r="AE42" s="156">
        <f>+AA42-AC42</f>
        <v>2057503</v>
      </c>
      <c r="AF42" s="157">
        <v>17169307</v>
      </c>
      <c r="AG42" s="157">
        <v>16016280</v>
      </c>
      <c r="AH42" s="614">
        <f t="shared" si="4"/>
        <v>0.93284370766973879</v>
      </c>
      <c r="AI42" s="250">
        <v>200000000</v>
      </c>
      <c r="AJ42" s="250">
        <f t="shared" si="18"/>
        <v>99692062</v>
      </c>
      <c r="AK42" s="279">
        <f t="shared" si="5"/>
        <v>0.49846031000000002</v>
      </c>
      <c r="AL42" s="156"/>
      <c r="AM42" s="157"/>
      <c r="AN42" s="152" t="s">
        <v>302</v>
      </c>
      <c r="AO42" s="2206"/>
      <c r="AP42" s="558"/>
      <c r="AQ42" s="93"/>
    </row>
    <row r="43" spans="1:43" ht="45" customHeight="1">
      <c r="A43" s="319" t="s">
        <v>534</v>
      </c>
      <c r="B43" s="420" t="s">
        <v>724</v>
      </c>
      <c r="C43" s="384">
        <v>0</v>
      </c>
      <c r="D43" s="384">
        <v>0</v>
      </c>
      <c r="E43" s="147">
        <v>0</v>
      </c>
      <c r="F43" s="147"/>
      <c r="G43" s="147">
        <v>1</v>
      </c>
      <c r="H43" s="180">
        <v>0</v>
      </c>
      <c r="I43" s="148">
        <v>0</v>
      </c>
      <c r="J43" s="149"/>
      <c r="K43" s="149"/>
      <c r="L43" s="101"/>
      <c r="M43" s="104"/>
      <c r="N43" s="146"/>
      <c r="O43" s="149"/>
      <c r="P43" s="149"/>
      <c r="Q43" s="149"/>
      <c r="R43" s="150"/>
      <c r="S43" s="149"/>
      <c r="T43" s="228">
        <v>1</v>
      </c>
      <c r="U43" s="242">
        <f t="shared" ref="U43:U44" si="34">SUM(E43:F43)</f>
        <v>0</v>
      </c>
      <c r="V43" s="153">
        <f t="shared" ref="V43:V44" si="35">IF(U43/T43&gt;=100%,100%,U43/T43)</f>
        <v>0</v>
      </c>
      <c r="W43" s="881">
        <v>0</v>
      </c>
      <c r="X43" s="472">
        <v>0</v>
      </c>
      <c r="Y43" s="517">
        <v>0</v>
      </c>
      <c r="Z43" s="359"/>
      <c r="AA43" s="157">
        <v>0</v>
      </c>
      <c r="AB43" s="273" t="e">
        <f t="shared" si="2"/>
        <v>#DIV/0!</v>
      </c>
      <c r="AC43" s="265"/>
      <c r="AD43" s="152" t="e">
        <f t="shared" si="3"/>
        <v>#DIV/0!</v>
      </c>
      <c r="AE43" s="156"/>
      <c r="AF43" s="157"/>
      <c r="AG43" s="157"/>
      <c r="AH43" s="614" t="e">
        <f t="shared" si="4"/>
        <v>#DIV/0!</v>
      </c>
      <c r="AI43" s="250">
        <v>700000000</v>
      </c>
      <c r="AJ43" s="250">
        <f t="shared" si="18"/>
        <v>0</v>
      </c>
      <c r="AK43" s="279">
        <f t="shared" si="5"/>
        <v>0</v>
      </c>
      <c r="AL43" s="156"/>
      <c r="AM43" s="157"/>
      <c r="AN43" s="152" t="s">
        <v>302</v>
      </c>
      <c r="AO43" s="2205"/>
      <c r="AP43" s="558"/>
      <c r="AQ43" s="93"/>
    </row>
    <row r="44" spans="1:43" ht="45" customHeight="1" thickBot="1">
      <c r="A44" s="319" t="s">
        <v>535</v>
      </c>
      <c r="B44" s="421" t="s">
        <v>725</v>
      </c>
      <c r="C44" s="822">
        <v>1</v>
      </c>
      <c r="D44" s="908">
        <v>1</v>
      </c>
      <c r="E44" s="860">
        <v>1</v>
      </c>
      <c r="F44" s="147">
        <v>1</v>
      </c>
      <c r="G44" s="147"/>
      <c r="H44" s="180">
        <f t="shared" si="30"/>
        <v>1</v>
      </c>
      <c r="I44" s="148">
        <f t="shared" si="31"/>
        <v>1</v>
      </c>
      <c r="J44" s="149"/>
      <c r="K44" s="149"/>
      <c r="L44" s="101"/>
      <c r="M44" s="197"/>
      <c r="N44" s="146"/>
      <c r="O44" s="149"/>
      <c r="P44" s="149"/>
      <c r="Q44" s="149"/>
      <c r="R44" s="150"/>
      <c r="S44" s="149"/>
      <c r="T44" s="228">
        <v>3</v>
      </c>
      <c r="U44" s="242">
        <f t="shared" si="34"/>
        <v>2</v>
      </c>
      <c r="V44" s="153">
        <f t="shared" si="35"/>
        <v>0.66666666666666663</v>
      </c>
      <c r="W44" s="885">
        <v>0.1</v>
      </c>
      <c r="X44" s="472">
        <v>0.1</v>
      </c>
      <c r="Y44" s="517">
        <v>60000000</v>
      </c>
      <c r="Z44" s="362" t="s">
        <v>887</v>
      </c>
      <c r="AA44" s="157">
        <v>59968774</v>
      </c>
      <c r="AB44" s="273">
        <f t="shared" si="2"/>
        <v>0.99947956666666671</v>
      </c>
      <c r="AC44" s="265">
        <v>59398402</v>
      </c>
      <c r="AD44" s="151">
        <f t="shared" si="3"/>
        <v>0.98997336666666669</v>
      </c>
      <c r="AE44" s="156">
        <f>+AA44-AC44</f>
        <v>570372</v>
      </c>
      <c r="AF44" s="157">
        <v>756894.2</v>
      </c>
      <c r="AG44" s="157">
        <v>729251.2</v>
      </c>
      <c r="AH44" s="614">
        <f t="shared" si="4"/>
        <v>0.96347838310823364</v>
      </c>
      <c r="AI44" s="250">
        <v>120000000</v>
      </c>
      <c r="AJ44" s="250">
        <f t="shared" si="18"/>
        <v>59968774</v>
      </c>
      <c r="AK44" s="279">
        <f t="shared" si="5"/>
        <v>0.49973978333333335</v>
      </c>
      <c r="AL44" s="156"/>
      <c r="AM44" s="157"/>
      <c r="AN44" s="152" t="s">
        <v>302</v>
      </c>
      <c r="AO44" s="572" t="s">
        <v>894</v>
      </c>
      <c r="AP44" s="558"/>
      <c r="AQ44" s="93"/>
    </row>
    <row r="45" spans="1:43" ht="45" customHeight="1" thickBot="1">
      <c r="A45" s="315" t="s">
        <v>452</v>
      </c>
      <c r="B45" s="138"/>
      <c r="C45" s="139"/>
      <c r="D45" s="223"/>
      <c r="E45" s="861"/>
      <c r="F45" s="139"/>
      <c r="G45" s="139"/>
      <c r="H45" s="161">
        <f>+SUMPRODUCT(H46:H48,W46:W48)</f>
        <v>1</v>
      </c>
      <c r="I45" s="161">
        <f>+SUMPRODUCT(I46:I48,X46:X48)</f>
        <v>1</v>
      </c>
      <c r="J45" s="141"/>
      <c r="K45" s="141"/>
      <c r="L45" s="162"/>
      <c r="M45" s="162"/>
      <c r="N45" s="162"/>
      <c r="O45" s="141"/>
      <c r="P45" s="141"/>
      <c r="Q45" s="141"/>
      <c r="R45" s="163"/>
      <c r="S45" s="164"/>
      <c r="T45" s="231"/>
      <c r="U45" s="258"/>
      <c r="V45" s="177">
        <f>+SUMPRODUCT(V46:V48,W46:W48)</f>
        <v>0.8</v>
      </c>
      <c r="W45" s="886">
        <v>0.5</v>
      </c>
      <c r="X45" s="471">
        <v>0.5</v>
      </c>
      <c r="Y45" s="144">
        <f>SUM(Y46:Y48)</f>
        <v>12644026021</v>
      </c>
      <c r="Z45" s="144">
        <f>SUM(Z46:Z48)</f>
        <v>0</v>
      </c>
      <c r="AA45" s="144">
        <f>SUM(AA46:AA48)</f>
        <v>12639190545</v>
      </c>
      <c r="AB45" s="272">
        <f t="shared" si="2"/>
        <v>0.99961756832895088</v>
      </c>
      <c r="AC45" s="144">
        <f t="shared" ref="AC45:AJ45" si="36">SUM(AC46:AC48)</f>
        <v>6060374350</v>
      </c>
      <c r="AD45" s="553">
        <f t="shared" si="3"/>
        <v>0.47930732979626473</v>
      </c>
      <c r="AE45" s="144">
        <f t="shared" si="36"/>
        <v>6537072921</v>
      </c>
      <c r="AF45" s="144">
        <f t="shared" si="36"/>
        <v>9625259661</v>
      </c>
      <c r="AG45" s="144">
        <f t="shared" si="36"/>
        <v>273052976</v>
      </c>
      <c r="AH45" s="615" t="e">
        <f t="shared" si="36"/>
        <v>#DIV/0!</v>
      </c>
      <c r="AI45" s="144">
        <f t="shared" si="36"/>
        <v>21680000000</v>
      </c>
      <c r="AJ45" s="144">
        <f t="shared" si="36"/>
        <v>12639190545</v>
      </c>
      <c r="AK45" s="639">
        <f t="shared" si="5"/>
        <v>0.58298849377306272</v>
      </c>
      <c r="AL45" s="145"/>
      <c r="AM45" s="165"/>
      <c r="AN45" s="553"/>
      <c r="AO45" s="144"/>
      <c r="AP45" s="557"/>
      <c r="AQ45" s="98"/>
    </row>
    <row r="46" spans="1:43" ht="59.25" customHeight="1">
      <c r="A46" s="318" t="s">
        <v>536</v>
      </c>
      <c r="B46" s="414" t="s">
        <v>728</v>
      </c>
      <c r="C46" s="823">
        <v>1</v>
      </c>
      <c r="D46" s="214">
        <v>1</v>
      </c>
      <c r="E46" s="858">
        <v>1</v>
      </c>
      <c r="F46" s="678">
        <v>1</v>
      </c>
      <c r="G46" s="147"/>
      <c r="H46" s="180">
        <f t="shared" si="30"/>
        <v>1</v>
      </c>
      <c r="I46" s="148">
        <f t="shared" ref="I46:I48" si="37">IF(F46/D46&gt;=100%,100%,F46/D46)</f>
        <v>1</v>
      </c>
      <c r="J46" s="149"/>
      <c r="K46" s="149"/>
      <c r="L46" s="101"/>
      <c r="M46" s="104"/>
      <c r="N46" s="146"/>
      <c r="O46" s="149"/>
      <c r="P46" s="149"/>
      <c r="Q46" s="149"/>
      <c r="R46" s="150"/>
      <c r="S46" s="158"/>
      <c r="T46" s="228">
        <v>4</v>
      </c>
      <c r="U46" s="242">
        <f t="shared" ref="U46:U51" si="38">SUM(E46:F46)</f>
        <v>2</v>
      </c>
      <c r="V46" s="153">
        <f>IF(U46/T46&gt;=100%,100%,U46/T46)</f>
        <v>0.5</v>
      </c>
      <c r="W46" s="884">
        <v>0.2</v>
      </c>
      <c r="X46" s="472">
        <v>0.2</v>
      </c>
      <c r="Y46" s="631">
        <v>255000000</v>
      </c>
      <c r="Z46" s="359"/>
      <c r="AA46" s="157">
        <v>251567304</v>
      </c>
      <c r="AB46" s="273">
        <f t="shared" si="2"/>
        <v>0.98653844705882354</v>
      </c>
      <c r="AC46" s="265">
        <v>209824030</v>
      </c>
      <c r="AD46" s="151">
        <f t="shared" si="3"/>
        <v>0.82283933333333337</v>
      </c>
      <c r="AE46" s="156"/>
      <c r="AF46" s="157"/>
      <c r="AG46" s="157"/>
      <c r="AH46" s="614" t="e">
        <f t="shared" si="4"/>
        <v>#DIV/0!</v>
      </c>
      <c r="AI46" s="251">
        <v>480000000</v>
      </c>
      <c r="AJ46" s="251">
        <f t="shared" si="18"/>
        <v>251567304</v>
      </c>
      <c r="AK46" s="279">
        <f t="shared" si="5"/>
        <v>0.52409855000000005</v>
      </c>
      <c r="AL46" s="156"/>
      <c r="AM46" s="157"/>
      <c r="AN46" s="152" t="s">
        <v>5</v>
      </c>
      <c r="AO46" s="573" t="s">
        <v>894</v>
      </c>
      <c r="AP46" s="558"/>
      <c r="AQ46" s="93"/>
    </row>
    <row r="47" spans="1:43" ht="45" customHeight="1">
      <c r="A47" s="320" t="s">
        <v>537</v>
      </c>
      <c r="B47" s="414" t="s">
        <v>729</v>
      </c>
      <c r="C47" s="214">
        <v>2</v>
      </c>
      <c r="D47" s="214">
        <v>1</v>
      </c>
      <c r="E47" s="147">
        <v>2</v>
      </c>
      <c r="F47" s="678">
        <v>1</v>
      </c>
      <c r="G47" s="147">
        <v>1</v>
      </c>
      <c r="H47" s="180">
        <f t="shared" si="30"/>
        <v>1</v>
      </c>
      <c r="I47" s="148">
        <f t="shared" si="37"/>
        <v>1</v>
      </c>
      <c r="J47" s="149"/>
      <c r="K47" s="149"/>
      <c r="L47" s="101"/>
      <c r="M47" s="104"/>
      <c r="N47" s="146"/>
      <c r="O47" s="149"/>
      <c r="P47" s="149"/>
      <c r="Q47" s="149"/>
      <c r="R47" s="150"/>
      <c r="S47" s="158"/>
      <c r="T47" s="228">
        <v>4</v>
      </c>
      <c r="U47" s="242">
        <f t="shared" ref="U47:U48" si="39">SUM(E47:F47)</f>
        <v>3</v>
      </c>
      <c r="V47" s="153">
        <f t="shared" ref="V47:V48" si="40">IF(U47/T47&gt;=100%,100%,U47/T47)</f>
        <v>0.75</v>
      </c>
      <c r="W47" s="881">
        <v>0.4</v>
      </c>
      <c r="X47" s="472">
        <v>0.4</v>
      </c>
      <c r="Y47" s="686">
        <v>0</v>
      </c>
      <c r="Z47" s="510"/>
      <c r="AA47" s="157">
        <v>0</v>
      </c>
      <c r="AB47" s="273" t="e">
        <f t="shared" si="2"/>
        <v>#DIV/0!</v>
      </c>
      <c r="AC47" s="157"/>
      <c r="AD47" s="601" t="e">
        <f t="shared" si="3"/>
        <v>#DIV/0!</v>
      </c>
      <c r="AE47" s="156">
        <f>+AA47-AC47</f>
        <v>0</v>
      </c>
      <c r="AF47" s="157"/>
      <c r="AG47" s="157">
        <v>0</v>
      </c>
      <c r="AH47" s="614" t="e">
        <f t="shared" si="4"/>
        <v>#DIV/0!</v>
      </c>
      <c r="AI47" s="250">
        <v>21200000000</v>
      </c>
      <c r="AJ47" s="251">
        <f t="shared" si="18"/>
        <v>0</v>
      </c>
      <c r="AK47" s="279">
        <f t="shared" si="5"/>
        <v>0</v>
      </c>
      <c r="AL47" s="156"/>
      <c r="AM47" s="157"/>
      <c r="AN47" s="152" t="s">
        <v>5</v>
      </c>
      <c r="AO47" s="2207" t="s">
        <v>895</v>
      </c>
      <c r="AP47" s="558"/>
      <c r="AQ47" s="93"/>
    </row>
    <row r="48" spans="1:43" ht="45" customHeight="1" thickBot="1">
      <c r="A48" s="692" t="s">
        <v>538</v>
      </c>
      <c r="B48" s="414" t="s">
        <v>730</v>
      </c>
      <c r="C48" s="824">
        <v>2</v>
      </c>
      <c r="D48" s="214">
        <v>2</v>
      </c>
      <c r="E48" s="860">
        <v>2</v>
      </c>
      <c r="F48" s="678">
        <v>2</v>
      </c>
      <c r="G48" s="147"/>
      <c r="H48" s="180">
        <f t="shared" si="30"/>
        <v>1</v>
      </c>
      <c r="I48" s="148">
        <f t="shared" si="37"/>
        <v>1</v>
      </c>
      <c r="J48" s="149"/>
      <c r="K48" s="149"/>
      <c r="L48" s="101"/>
      <c r="M48" s="104"/>
      <c r="N48" s="146"/>
      <c r="O48" s="149"/>
      <c r="P48" s="149"/>
      <c r="Q48" s="149"/>
      <c r="R48" s="150"/>
      <c r="S48" s="149"/>
      <c r="T48" s="228">
        <v>4</v>
      </c>
      <c r="U48" s="242">
        <f t="shared" si="39"/>
        <v>4</v>
      </c>
      <c r="V48" s="153">
        <f t="shared" si="40"/>
        <v>1</v>
      </c>
      <c r="W48" s="477">
        <v>0.4</v>
      </c>
      <c r="X48" s="472">
        <v>0.4</v>
      </c>
      <c r="Y48" s="686">
        <v>12389026021</v>
      </c>
      <c r="Z48" s="511"/>
      <c r="AA48" s="157">
        <v>12387623241</v>
      </c>
      <c r="AB48" s="273">
        <f t="shared" si="2"/>
        <v>0.99988677237438828</v>
      </c>
      <c r="AC48" s="157">
        <v>5850550320</v>
      </c>
      <c r="AD48" s="601">
        <f t="shared" si="3"/>
        <v>0.47223650269868134</v>
      </c>
      <c r="AE48" s="156">
        <f>+AA48-AC48</f>
        <v>6537072921</v>
      </c>
      <c r="AF48" s="157">
        <v>9625259661</v>
      </c>
      <c r="AG48" s="157">
        <v>273052976</v>
      </c>
      <c r="AH48" s="614">
        <f t="shared" si="4"/>
        <v>2.8368375048245881E-2</v>
      </c>
      <c r="AI48" s="250">
        <v>0</v>
      </c>
      <c r="AJ48" s="251">
        <f t="shared" si="18"/>
        <v>12387623241</v>
      </c>
      <c r="AK48" s="279" t="e">
        <f t="shared" si="5"/>
        <v>#DIV/0!</v>
      </c>
      <c r="AL48" s="156"/>
      <c r="AM48" s="157"/>
      <c r="AN48" s="152" t="s">
        <v>22</v>
      </c>
      <c r="AO48" s="2205"/>
      <c r="AP48" s="558"/>
      <c r="AQ48" s="93"/>
    </row>
    <row r="49" spans="1:43" ht="39.75" customHeight="1" thickBot="1">
      <c r="A49" s="314" t="s">
        <v>422</v>
      </c>
      <c r="B49" s="137"/>
      <c r="C49" s="200"/>
      <c r="D49" s="224"/>
      <c r="E49" s="862"/>
      <c r="F49" s="200"/>
      <c r="G49" s="200"/>
      <c r="H49" s="130">
        <f>+(H50*W50)</f>
        <v>1</v>
      </c>
      <c r="I49" s="130">
        <f>+(I50*X50)</f>
        <v>0.8</v>
      </c>
      <c r="J49" s="160"/>
      <c r="K49" s="160"/>
      <c r="L49" s="201"/>
      <c r="M49" s="201"/>
      <c r="N49" s="201"/>
      <c r="O49" s="160"/>
      <c r="P49" s="160"/>
      <c r="Q49" s="160"/>
      <c r="R49" s="202"/>
      <c r="S49" s="203"/>
      <c r="T49" s="232"/>
      <c r="U49" s="259"/>
      <c r="V49" s="466">
        <f>+(V50*W50)</f>
        <v>0.55351758793969841</v>
      </c>
      <c r="W49" s="883">
        <v>0.1</v>
      </c>
      <c r="X49" s="470">
        <v>0.1</v>
      </c>
      <c r="Y49" s="135">
        <f>+Y50</f>
        <v>37264268053</v>
      </c>
      <c r="Z49" s="135">
        <f>+Z50</f>
        <v>0</v>
      </c>
      <c r="AA49" s="135">
        <f>+AA50</f>
        <v>37239673326</v>
      </c>
      <c r="AB49" s="271">
        <f t="shared" si="2"/>
        <v>0.99933999167875731</v>
      </c>
      <c r="AC49" s="135">
        <f>+AC50</f>
        <v>37205622885</v>
      </c>
      <c r="AD49" s="552">
        <f t="shared" si="3"/>
        <v>0.99842623588053336</v>
      </c>
      <c r="AE49" s="135">
        <f>+AE50</f>
        <v>0</v>
      </c>
      <c r="AF49" s="135">
        <f>+AF50</f>
        <v>0</v>
      </c>
      <c r="AG49" s="135">
        <f>+AG50</f>
        <v>0</v>
      </c>
      <c r="AH49" s="612" t="e">
        <f t="shared" si="4"/>
        <v>#DIV/0!</v>
      </c>
      <c r="AI49" s="135">
        <f t="shared" ref="AI49:AJ49" si="41">+AI50</f>
        <v>147218908891.20001</v>
      </c>
      <c r="AJ49" s="135">
        <f t="shared" si="41"/>
        <v>37239673326</v>
      </c>
      <c r="AK49" s="199">
        <f t="shared" si="5"/>
        <v>0.25295441738072816</v>
      </c>
      <c r="AL49" s="137"/>
      <c r="AM49" s="160" t="s">
        <v>297</v>
      </c>
      <c r="AN49" s="136"/>
      <c r="AO49" s="135"/>
      <c r="AP49" s="556"/>
      <c r="AQ49" s="97"/>
    </row>
    <row r="50" spans="1:43" ht="40.5" customHeight="1" thickBot="1">
      <c r="A50" s="315" t="s">
        <v>453</v>
      </c>
      <c r="B50" s="138"/>
      <c r="C50" s="139"/>
      <c r="D50" s="223"/>
      <c r="E50" s="861"/>
      <c r="F50" s="139"/>
      <c r="G50" s="139"/>
      <c r="H50" s="140">
        <f>+SUMPRODUCT(H51:H55,W51:W55)</f>
        <v>1</v>
      </c>
      <c r="I50" s="140">
        <f>+SUMPRODUCT(I51:I55,X51:X55)</f>
        <v>0.8</v>
      </c>
      <c r="J50" s="141"/>
      <c r="K50" s="141"/>
      <c r="L50" s="162"/>
      <c r="M50" s="162"/>
      <c r="N50" s="162"/>
      <c r="O50" s="141"/>
      <c r="P50" s="141"/>
      <c r="Q50" s="141"/>
      <c r="R50" s="163"/>
      <c r="S50" s="164"/>
      <c r="T50" s="231"/>
      <c r="U50" s="258"/>
      <c r="V50" s="177">
        <f>+SUMPRODUCT(V51:V55,W51:W55)</f>
        <v>0.55351758793969841</v>
      </c>
      <c r="W50" s="886">
        <v>1</v>
      </c>
      <c r="X50" s="471">
        <v>1</v>
      </c>
      <c r="Y50" s="144">
        <f>SUM(Y51:Y55)</f>
        <v>37264268053</v>
      </c>
      <c r="Z50" s="144">
        <f>SUM(Z51:Z55)</f>
        <v>0</v>
      </c>
      <c r="AA50" s="144">
        <f>SUM(AA51:AA55)</f>
        <v>37239673326</v>
      </c>
      <c r="AB50" s="272">
        <f t="shared" si="2"/>
        <v>0.99933999167875731</v>
      </c>
      <c r="AC50" s="144">
        <f>SUM(AC51:AC55)</f>
        <v>37205622885</v>
      </c>
      <c r="AD50" s="143">
        <f t="shared" si="3"/>
        <v>0.99842623588053336</v>
      </c>
      <c r="AE50" s="144">
        <f>SUM(AE51:AE55)</f>
        <v>0</v>
      </c>
      <c r="AF50" s="144">
        <f>SUM(AF51:AF55)</f>
        <v>0</v>
      </c>
      <c r="AG50" s="144">
        <f>SUM(AG51:AG55)</f>
        <v>0</v>
      </c>
      <c r="AH50" s="613" t="e">
        <f t="shared" si="4"/>
        <v>#DIV/0!</v>
      </c>
      <c r="AI50" s="144">
        <f t="shared" ref="AI50:AJ50" si="42">SUM(AI51:AI55)</f>
        <v>147218908891.20001</v>
      </c>
      <c r="AJ50" s="144">
        <f t="shared" si="42"/>
        <v>37239673326</v>
      </c>
      <c r="AK50" s="278">
        <f t="shared" si="5"/>
        <v>0.25295441738072816</v>
      </c>
      <c r="AL50" s="145"/>
      <c r="AM50" s="165"/>
      <c r="AN50" s="553"/>
      <c r="AO50" s="144"/>
      <c r="AP50" s="557"/>
      <c r="AQ50" s="98"/>
    </row>
    <row r="51" spans="1:43" ht="45" customHeight="1">
      <c r="A51" s="317" t="s">
        <v>539</v>
      </c>
      <c r="B51" s="414" t="s">
        <v>731</v>
      </c>
      <c r="C51" s="386">
        <v>0</v>
      </c>
      <c r="D51" s="385">
        <v>1</v>
      </c>
      <c r="E51" s="858">
        <v>0</v>
      </c>
      <c r="F51" s="147">
        <v>0</v>
      </c>
      <c r="G51" s="147"/>
      <c r="H51" s="180">
        <v>0</v>
      </c>
      <c r="I51" s="148">
        <v>0</v>
      </c>
      <c r="K51" s="149"/>
      <c r="L51" s="101"/>
      <c r="M51" s="104"/>
      <c r="N51" s="146"/>
      <c r="O51" s="149"/>
      <c r="P51" s="149"/>
      <c r="Q51" s="149"/>
      <c r="R51" s="150"/>
      <c r="S51" s="149"/>
      <c r="T51" s="228">
        <v>1</v>
      </c>
      <c r="U51" s="242">
        <f t="shared" si="38"/>
        <v>0</v>
      </c>
      <c r="V51" s="153">
        <f t="shared" ref="V51" si="43">IF(U51/T51&gt;=100%,100%,U51/T51)</f>
        <v>0</v>
      </c>
      <c r="W51" s="884">
        <v>0</v>
      </c>
      <c r="X51" s="673">
        <v>0.2</v>
      </c>
      <c r="Y51" s="631">
        <v>500000000</v>
      </c>
      <c r="Z51" s="359">
        <v>0</v>
      </c>
      <c r="AA51" s="157">
        <v>475405273</v>
      </c>
      <c r="AB51" s="273">
        <f t="shared" si="2"/>
        <v>0.95081054600000003</v>
      </c>
      <c r="AC51" s="265">
        <v>441354832</v>
      </c>
      <c r="AD51" s="152">
        <f t="shared" si="3"/>
        <v>0.88270966399999995</v>
      </c>
      <c r="AE51" s="156"/>
      <c r="AF51" s="157"/>
      <c r="AG51" s="157"/>
      <c r="AH51" s="614" t="e">
        <f t="shared" si="4"/>
        <v>#DIV/0!</v>
      </c>
      <c r="AI51" s="250">
        <v>600000000</v>
      </c>
      <c r="AJ51" s="250">
        <f t="shared" si="18"/>
        <v>475405273</v>
      </c>
      <c r="AK51" s="279">
        <f t="shared" si="5"/>
        <v>0.79234212166666662</v>
      </c>
      <c r="AL51" s="156"/>
      <c r="AM51" s="157"/>
      <c r="AN51" s="152" t="s">
        <v>22</v>
      </c>
      <c r="AO51" s="574" t="s">
        <v>896</v>
      </c>
      <c r="AP51" s="558"/>
      <c r="AQ51" s="93"/>
    </row>
    <row r="52" spans="1:43" ht="45" customHeight="1">
      <c r="A52" s="317" t="s">
        <v>540</v>
      </c>
      <c r="B52" s="414" t="s">
        <v>732</v>
      </c>
      <c r="C52" s="386">
        <v>0</v>
      </c>
      <c r="D52" s="386">
        <v>0</v>
      </c>
      <c r="E52" s="147">
        <v>0</v>
      </c>
      <c r="F52" s="147"/>
      <c r="G52" s="147"/>
      <c r="H52" s="180">
        <v>0</v>
      </c>
      <c r="I52" s="148">
        <v>0</v>
      </c>
      <c r="J52" s="149"/>
      <c r="K52" s="149"/>
      <c r="L52" s="101"/>
      <c r="M52" s="104"/>
      <c r="N52" s="146"/>
      <c r="O52" s="149"/>
      <c r="P52" s="149"/>
      <c r="Q52" s="149"/>
      <c r="R52" s="150"/>
      <c r="S52" s="149"/>
      <c r="T52" s="228">
        <v>4</v>
      </c>
      <c r="U52" s="242">
        <f t="shared" ref="U52:U54" si="44">SUM(E52:F52)</f>
        <v>0</v>
      </c>
      <c r="V52" s="153">
        <f t="shared" ref="V52:V54" si="45">IF(U52/T52&gt;=100%,100%,U52/T52)</f>
        <v>0</v>
      </c>
      <c r="W52" s="881">
        <v>0</v>
      </c>
      <c r="X52" s="472">
        <v>0</v>
      </c>
      <c r="Y52" s="515">
        <v>0</v>
      </c>
      <c r="Z52" s="359"/>
      <c r="AA52" s="157">
        <v>0</v>
      </c>
      <c r="AB52" s="273" t="e">
        <f t="shared" si="2"/>
        <v>#DIV/0!</v>
      </c>
      <c r="AC52" s="265"/>
      <c r="AD52" s="152" t="e">
        <f t="shared" si="3"/>
        <v>#DIV/0!</v>
      </c>
      <c r="AE52" s="156"/>
      <c r="AF52" s="157"/>
      <c r="AG52" s="157"/>
      <c r="AH52" s="614" t="e">
        <f t="shared" si="4"/>
        <v>#DIV/0!</v>
      </c>
      <c r="AI52" s="250">
        <v>7200000000</v>
      </c>
      <c r="AJ52" s="250">
        <f t="shared" si="18"/>
        <v>0</v>
      </c>
      <c r="AK52" s="279">
        <f t="shared" si="5"/>
        <v>0</v>
      </c>
      <c r="AL52" s="156"/>
      <c r="AM52" s="157"/>
      <c r="AN52" s="152" t="s">
        <v>22</v>
      </c>
      <c r="AO52" s="574" t="s">
        <v>897</v>
      </c>
      <c r="AP52" s="558"/>
      <c r="AQ52" s="93"/>
    </row>
    <row r="53" spans="1:43" ht="45" customHeight="1">
      <c r="A53" s="317" t="s">
        <v>541</v>
      </c>
      <c r="B53" s="414" t="s">
        <v>733</v>
      </c>
      <c r="C53" s="385">
        <v>300</v>
      </c>
      <c r="D53" s="385">
        <v>196</v>
      </c>
      <c r="E53" s="147">
        <v>273</v>
      </c>
      <c r="F53" s="147">
        <v>196</v>
      </c>
      <c r="G53" s="147">
        <v>27</v>
      </c>
      <c r="H53" s="180">
        <f t="shared" ref="H53:H55" si="46">IF((E53+G53)/C53&gt;=100%,100%,(E53+G53)/C53)</f>
        <v>1</v>
      </c>
      <c r="I53" s="148">
        <f t="shared" ref="I53:I55" si="47">IF(F53/D53&gt;=100%,100%,F53/D53)</f>
        <v>1</v>
      </c>
      <c r="J53" s="149"/>
      <c r="K53" s="149"/>
      <c r="L53" s="101"/>
      <c r="M53" s="104"/>
      <c r="N53" s="146"/>
      <c r="O53" s="149"/>
      <c r="P53" s="149"/>
      <c r="Q53" s="149"/>
      <c r="R53" s="150"/>
      <c r="S53" s="149"/>
      <c r="T53" s="228">
        <v>796</v>
      </c>
      <c r="U53" s="242">
        <f t="shared" si="44"/>
        <v>469</v>
      </c>
      <c r="V53" s="153">
        <f t="shared" si="45"/>
        <v>0.58919597989949746</v>
      </c>
      <c r="W53" s="881">
        <v>0.6</v>
      </c>
      <c r="X53" s="472">
        <v>0.4</v>
      </c>
      <c r="Y53" s="515">
        <v>5601321786</v>
      </c>
      <c r="Z53" s="359"/>
      <c r="AA53" s="157">
        <v>5601321786</v>
      </c>
      <c r="AB53" s="273">
        <f t="shared" si="2"/>
        <v>1</v>
      </c>
      <c r="AC53" s="265">
        <v>5601321786</v>
      </c>
      <c r="AD53" s="151">
        <f t="shared" si="3"/>
        <v>1</v>
      </c>
      <c r="AE53" s="156">
        <f>+AA53-AC53</f>
        <v>0</v>
      </c>
      <c r="AF53" s="157"/>
      <c r="AG53" s="157"/>
      <c r="AH53" s="614" t="e">
        <f t="shared" si="4"/>
        <v>#DIV/0!</v>
      </c>
      <c r="AI53" s="250">
        <v>20419852480</v>
      </c>
      <c r="AJ53" s="250">
        <f t="shared" si="18"/>
        <v>5601321786</v>
      </c>
      <c r="AK53" s="640">
        <f t="shared" si="5"/>
        <v>0.27430765190327172</v>
      </c>
      <c r="AL53" s="156"/>
      <c r="AM53" s="157"/>
      <c r="AN53" s="152" t="s">
        <v>22</v>
      </c>
      <c r="AO53" s="574" t="s">
        <v>897</v>
      </c>
      <c r="AP53" s="558"/>
      <c r="AQ53" s="93"/>
    </row>
    <row r="54" spans="1:43" ht="45" customHeight="1">
      <c r="A54" s="317" t="s">
        <v>542</v>
      </c>
      <c r="B54" s="414" t="s">
        <v>734</v>
      </c>
      <c r="C54" s="385">
        <v>1</v>
      </c>
      <c r="D54" s="385">
        <v>1</v>
      </c>
      <c r="E54" s="147">
        <v>1</v>
      </c>
      <c r="F54" s="147">
        <v>1</v>
      </c>
      <c r="G54" s="147"/>
      <c r="H54" s="180">
        <f t="shared" si="46"/>
        <v>1</v>
      </c>
      <c r="I54" s="148">
        <f t="shared" si="47"/>
        <v>1</v>
      </c>
      <c r="J54" s="149"/>
      <c r="K54" s="149"/>
      <c r="L54" s="101"/>
      <c r="M54" s="197"/>
      <c r="N54" s="146"/>
      <c r="O54" s="149"/>
      <c r="P54" s="149"/>
      <c r="Q54" s="149"/>
      <c r="R54" s="150"/>
      <c r="S54" s="158"/>
      <c r="T54" s="228">
        <v>4</v>
      </c>
      <c r="U54" s="242">
        <f t="shared" si="44"/>
        <v>2</v>
      </c>
      <c r="V54" s="153">
        <f t="shared" si="45"/>
        <v>0.5</v>
      </c>
      <c r="W54" s="881">
        <v>0.2</v>
      </c>
      <c r="X54" s="472">
        <v>0.2</v>
      </c>
      <c r="Y54" s="519">
        <v>0</v>
      </c>
      <c r="Z54" s="359">
        <v>0</v>
      </c>
      <c r="AA54" s="157"/>
      <c r="AB54" s="273" t="e">
        <f t="shared" si="2"/>
        <v>#DIV/0!</v>
      </c>
      <c r="AC54" s="265"/>
      <c r="AD54" s="151" t="e">
        <f t="shared" si="3"/>
        <v>#DIV/0!</v>
      </c>
      <c r="AE54" s="156"/>
      <c r="AF54" s="157"/>
      <c r="AG54" s="157"/>
      <c r="AH54" s="614" t="e">
        <f t="shared" si="4"/>
        <v>#DIV/0!</v>
      </c>
      <c r="AI54" s="250">
        <v>53909327.199996941</v>
      </c>
      <c r="AJ54" s="250">
        <f t="shared" si="18"/>
        <v>0</v>
      </c>
      <c r="AK54" s="277">
        <f t="shared" si="5"/>
        <v>0</v>
      </c>
      <c r="AL54" s="156"/>
      <c r="AM54" s="157"/>
      <c r="AN54" s="152" t="s">
        <v>22</v>
      </c>
      <c r="AO54" s="2236" t="s">
        <v>897</v>
      </c>
      <c r="AP54" s="558"/>
      <c r="AQ54" s="93"/>
    </row>
    <row r="55" spans="1:43" ht="40.5" customHeight="1" thickBot="1">
      <c r="A55" s="321" t="s">
        <v>543</v>
      </c>
      <c r="B55" s="422" t="s">
        <v>735</v>
      </c>
      <c r="C55" s="825">
        <v>1</v>
      </c>
      <c r="D55" s="385">
        <v>1</v>
      </c>
      <c r="E55" s="860">
        <v>1</v>
      </c>
      <c r="F55" s="147">
        <v>1</v>
      </c>
      <c r="G55" s="147"/>
      <c r="H55" s="180">
        <f t="shared" si="46"/>
        <v>1</v>
      </c>
      <c r="I55" s="148">
        <f t="shared" si="47"/>
        <v>1</v>
      </c>
      <c r="J55" s="149"/>
      <c r="K55" s="149"/>
      <c r="L55" s="101"/>
      <c r="M55" s="104"/>
      <c r="N55" s="146"/>
      <c r="O55" s="149"/>
      <c r="P55" s="149"/>
      <c r="Q55" s="149"/>
      <c r="R55" s="150"/>
      <c r="S55" s="158"/>
      <c r="T55" s="228">
        <v>4</v>
      </c>
      <c r="U55" s="242">
        <f t="shared" ref="U55" si="48">SUM(E55:F55)</f>
        <v>2</v>
      </c>
      <c r="V55" s="153">
        <f t="shared" ref="V55" si="49">IF(U55/T55&gt;=100%,100%,U55/T55)</f>
        <v>0.5</v>
      </c>
      <c r="W55" s="885">
        <v>0.2</v>
      </c>
      <c r="X55" s="472">
        <v>0.2</v>
      </c>
      <c r="Y55" s="520">
        <v>31162946267</v>
      </c>
      <c r="Z55" s="359"/>
      <c r="AA55" s="157">
        <v>31162946267</v>
      </c>
      <c r="AB55" s="273">
        <f t="shared" si="2"/>
        <v>1</v>
      </c>
      <c r="AC55" s="265">
        <v>31162946267</v>
      </c>
      <c r="AD55" s="151">
        <f t="shared" si="3"/>
        <v>1</v>
      </c>
      <c r="AE55" s="156">
        <f>+AA55-AC55</f>
        <v>0</v>
      </c>
      <c r="AF55" s="157"/>
      <c r="AG55" s="157"/>
      <c r="AH55" s="614" t="e">
        <f t="shared" si="4"/>
        <v>#DIV/0!</v>
      </c>
      <c r="AI55" s="250">
        <v>118945147084</v>
      </c>
      <c r="AJ55" s="250">
        <f t="shared" si="18"/>
        <v>31162946267</v>
      </c>
      <c r="AK55" s="279">
        <f t="shared" si="5"/>
        <v>0.26199426400299025</v>
      </c>
      <c r="AL55" s="156"/>
      <c r="AM55" s="157"/>
      <c r="AN55" s="152" t="s">
        <v>22</v>
      </c>
      <c r="AO55" s="2205"/>
      <c r="AP55" s="558"/>
      <c r="AQ55" s="93"/>
    </row>
    <row r="56" spans="1:43" ht="40.5" customHeight="1" thickBot="1">
      <c r="A56" s="313" t="s">
        <v>417</v>
      </c>
      <c r="B56" s="423"/>
      <c r="C56" s="166"/>
      <c r="D56" s="225"/>
      <c r="E56" s="166"/>
      <c r="F56" s="166"/>
      <c r="G56" s="166"/>
      <c r="H56" s="125">
        <f>+(H57*W57)+(H70*W70)+(H79*W79)</f>
        <v>0.73399999999999999</v>
      </c>
      <c r="I56" s="693">
        <f>+(I57*X57)+(I70*X70)+(I79*X79)</f>
        <v>0.70176363636363659</v>
      </c>
      <c r="J56" s="167"/>
      <c r="K56" s="167"/>
      <c r="L56" s="102"/>
      <c r="M56" s="100"/>
      <c r="N56" s="100"/>
      <c r="O56" s="167"/>
      <c r="P56" s="167"/>
      <c r="Q56" s="167"/>
      <c r="R56" s="167"/>
      <c r="S56" s="167"/>
      <c r="T56" s="233"/>
      <c r="U56" s="260"/>
      <c r="V56" s="464">
        <f>+(V57*W57)+(V70*W70)+(V79*W79)</f>
        <v>0.62176993933612701</v>
      </c>
      <c r="W56" s="887">
        <v>0.15</v>
      </c>
      <c r="X56" s="474">
        <v>0.15</v>
      </c>
      <c r="Y56" s="127">
        <f>+Y57+Y70+Y79</f>
        <v>7065300000</v>
      </c>
      <c r="Z56" s="127">
        <f>+Z57+Z70+Z79</f>
        <v>0</v>
      </c>
      <c r="AA56" s="607">
        <f>+AA57+AA70+AA79</f>
        <v>7036396547</v>
      </c>
      <c r="AB56" s="274">
        <f t="shared" si="2"/>
        <v>0.99590909756132084</v>
      </c>
      <c r="AC56" s="127">
        <f>+AC57+AC70+AC79</f>
        <v>5840107139</v>
      </c>
      <c r="AD56" s="633">
        <f t="shared" si="3"/>
        <v>0.82659011492788703</v>
      </c>
      <c r="AE56" s="127">
        <f>+AE57+AE70+AE79</f>
        <v>595943151</v>
      </c>
      <c r="AF56" s="127">
        <f>+AF57+AF70+AF79</f>
        <v>1119681146.2</v>
      </c>
      <c r="AG56" s="127">
        <f>+AG57+AG70+AG79</f>
        <v>896397351</v>
      </c>
      <c r="AH56" s="616">
        <f t="shared" si="4"/>
        <v>0.80058269628118162</v>
      </c>
      <c r="AI56" s="127">
        <f>+AI57+AI70+AI79</f>
        <v>26050000000</v>
      </c>
      <c r="AJ56" s="127">
        <f>+AJ57+AJ70+AJ79</f>
        <v>7036396547</v>
      </c>
      <c r="AK56" s="205">
        <f t="shared" si="5"/>
        <v>0.27011119182341653</v>
      </c>
      <c r="AL56" s="168"/>
      <c r="AM56" s="169"/>
      <c r="AN56" s="600"/>
      <c r="AO56" s="575"/>
      <c r="AP56" s="559"/>
      <c r="AQ56" s="99"/>
    </row>
    <row r="57" spans="1:43" ht="54" customHeight="1" thickBot="1">
      <c r="A57" s="314" t="s">
        <v>423</v>
      </c>
      <c r="B57" s="413"/>
      <c r="C57" s="129"/>
      <c r="D57" s="222"/>
      <c r="E57" s="862"/>
      <c r="F57" s="129"/>
      <c r="G57" s="129"/>
      <c r="H57" s="130">
        <f>+(H58*W58)+(H64*W64)</f>
        <v>1</v>
      </c>
      <c r="I57" s="130">
        <f>+(I58*X58)+(I64*X64)</f>
        <v>0.93</v>
      </c>
      <c r="J57" s="170"/>
      <c r="K57" s="170"/>
      <c r="L57" s="132"/>
      <c r="M57" s="133"/>
      <c r="N57" s="133"/>
      <c r="O57" s="170"/>
      <c r="P57" s="170"/>
      <c r="Q57" s="170"/>
      <c r="R57" s="159"/>
      <c r="S57" s="170"/>
      <c r="T57" s="234"/>
      <c r="U57" s="257"/>
      <c r="V57" s="467">
        <f>+(V58*W58)+(V64*W64)</f>
        <v>0.97962110926250001</v>
      </c>
      <c r="W57" s="883">
        <v>0.3</v>
      </c>
      <c r="X57" s="470">
        <v>0.3</v>
      </c>
      <c r="Y57" s="135">
        <f>+Y58+Y64</f>
        <v>2620000000</v>
      </c>
      <c r="Z57" s="135">
        <f>+Z58+Z64</f>
        <v>0</v>
      </c>
      <c r="AA57" s="135">
        <f>+AA58+AA64</f>
        <v>2615234468</v>
      </c>
      <c r="AB57" s="271">
        <f t="shared" si="2"/>
        <v>0.99818109465648852</v>
      </c>
      <c r="AC57" s="135">
        <f>+AC58+AC64</f>
        <v>1547677444</v>
      </c>
      <c r="AD57" s="634">
        <f t="shared" si="3"/>
        <v>0.59071658167938934</v>
      </c>
      <c r="AE57" s="135">
        <f>+AE58+AE64</f>
        <v>481865247</v>
      </c>
      <c r="AF57" s="135">
        <f>+AF58+AF64</f>
        <v>217638262</v>
      </c>
      <c r="AG57" s="135">
        <f>+AG58+AG64</f>
        <v>217190769</v>
      </c>
      <c r="AH57" s="612">
        <f t="shared" si="4"/>
        <v>0.99794386797667034</v>
      </c>
      <c r="AI57" s="135">
        <f>+AI58+AI64</f>
        <v>9080000000</v>
      </c>
      <c r="AJ57" s="135">
        <f>+AJ58+AJ64</f>
        <v>2615234468</v>
      </c>
      <c r="AK57" s="280">
        <f t="shared" si="5"/>
        <v>0.28802141718061675</v>
      </c>
      <c r="AL57" s="171"/>
      <c r="AM57" s="160" t="s">
        <v>294</v>
      </c>
      <c r="AN57" s="136"/>
      <c r="AO57" s="135"/>
      <c r="AP57" s="556"/>
      <c r="AQ57" s="97"/>
    </row>
    <row r="58" spans="1:43" ht="40.5" customHeight="1" thickBot="1">
      <c r="A58" s="315" t="s">
        <v>454</v>
      </c>
      <c r="B58" s="138"/>
      <c r="C58" s="139"/>
      <c r="D58" s="223"/>
      <c r="E58" s="861"/>
      <c r="F58" s="139"/>
      <c r="G58" s="139"/>
      <c r="H58" s="161">
        <f>+SUMPRODUCT(H59:H63,W59:W63)</f>
        <v>1</v>
      </c>
      <c r="I58" s="161">
        <f>+SUMPRODUCT(I59:I63,X59:X63)</f>
        <v>0.8600000000000001</v>
      </c>
      <c r="J58" s="141"/>
      <c r="K58" s="141"/>
      <c r="L58" s="162"/>
      <c r="M58" s="162"/>
      <c r="N58" s="162"/>
      <c r="O58" s="141"/>
      <c r="P58" s="141"/>
      <c r="Q58" s="141"/>
      <c r="R58" s="163"/>
      <c r="S58" s="164"/>
      <c r="T58" s="231"/>
      <c r="U58" s="258"/>
      <c r="V58" s="177">
        <f>+SUMPRODUCT(V59:V63,AK59:AK63)</f>
        <v>1.2509088851916668</v>
      </c>
      <c r="W58" s="879">
        <v>0.5</v>
      </c>
      <c r="X58" s="471">
        <v>0.5</v>
      </c>
      <c r="Y58" s="144">
        <f>SUM(Y59:Y63)</f>
        <v>1700000000</v>
      </c>
      <c r="Z58" s="144">
        <f>SUM(Z59:Z63)</f>
        <v>0</v>
      </c>
      <c r="AA58" s="144">
        <f>SUM(AA59:AA63)</f>
        <v>1696254619</v>
      </c>
      <c r="AB58" s="272">
        <f t="shared" si="2"/>
        <v>0.99779683470588232</v>
      </c>
      <c r="AC58" s="144">
        <f>SUM(AC59:AC63)</f>
        <v>634050886</v>
      </c>
      <c r="AD58" s="143">
        <f t="shared" si="3"/>
        <v>0.3729711094117647</v>
      </c>
      <c r="AE58" s="144">
        <f>SUM(AE59:AE63)</f>
        <v>479054299</v>
      </c>
      <c r="AF58" s="144">
        <f>SUM(AF59:AF63)</f>
        <v>211157963</v>
      </c>
      <c r="AG58" s="144">
        <f>SUM(AG59:AG63)</f>
        <v>210940830</v>
      </c>
      <c r="AH58" s="613">
        <f t="shared" si="4"/>
        <v>0.99897170347300612</v>
      </c>
      <c r="AI58" s="144">
        <f>SUM(AI59:AI63)</f>
        <v>4350000000</v>
      </c>
      <c r="AJ58" s="144">
        <f>SUM(AJ59:AJ63)</f>
        <v>1696254619</v>
      </c>
      <c r="AK58" s="278">
        <f t="shared" si="5"/>
        <v>0.38994359057471262</v>
      </c>
      <c r="AL58" s="145"/>
      <c r="AM58" s="165"/>
      <c r="AN58" s="553"/>
      <c r="AO58" s="144"/>
      <c r="AP58" s="557"/>
      <c r="AQ58" s="98"/>
    </row>
    <row r="59" spans="1:43" ht="76.5" customHeight="1">
      <c r="A59" s="322" t="s">
        <v>544</v>
      </c>
      <c r="B59" s="424" t="s">
        <v>738</v>
      </c>
      <c r="C59" s="388">
        <v>0</v>
      </c>
      <c r="D59" s="387">
        <v>50</v>
      </c>
      <c r="E59" s="865">
        <v>0</v>
      </c>
      <c r="F59" s="147">
        <v>50</v>
      </c>
      <c r="G59" s="147"/>
      <c r="H59" s="180">
        <v>0</v>
      </c>
      <c r="I59" s="148">
        <f t="shared" ref="I59:I60" si="50">IF(F59/D59&gt;=100%,100%,F59/D59)</f>
        <v>1</v>
      </c>
      <c r="J59" s="149"/>
      <c r="K59" s="149"/>
      <c r="L59" s="101"/>
      <c r="M59" s="104"/>
      <c r="N59" s="146"/>
      <c r="O59" s="149"/>
      <c r="P59" s="149"/>
      <c r="Q59" s="149"/>
      <c r="R59" s="150"/>
      <c r="S59" s="158"/>
      <c r="T59" s="228">
        <v>150</v>
      </c>
      <c r="U59" s="242">
        <f t="shared" ref="U59" si="51">SUM(E59:F59)</f>
        <v>50</v>
      </c>
      <c r="V59" s="153">
        <f t="shared" ref="V59" si="52">IF(U59/T59&gt;=100%,100%,U59/T59)</f>
        <v>0.33333333333333331</v>
      </c>
      <c r="W59" s="884">
        <v>0</v>
      </c>
      <c r="X59" s="673">
        <v>0.25</v>
      </c>
      <c r="Y59" s="632">
        <v>400000000</v>
      </c>
      <c r="Z59" s="364" t="s">
        <v>887</v>
      </c>
      <c r="AA59" s="157">
        <v>398607608</v>
      </c>
      <c r="AB59" s="273">
        <f t="shared" si="2"/>
        <v>0.99651902000000003</v>
      </c>
      <c r="AC59" s="265">
        <v>54267918</v>
      </c>
      <c r="AD59" s="152">
        <f t="shared" si="3"/>
        <v>0.13566979500000001</v>
      </c>
      <c r="AE59" s="156">
        <f>+AA59-AC59</f>
        <v>344339690</v>
      </c>
      <c r="AF59" s="157"/>
      <c r="AG59" s="157"/>
      <c r="AH59" s="614" t="e">
        <f t="shared" si="4"/>
        <v>#DIV/0!</v>
      </c>
      <c r="AI59" s="250">
        <v>1500000000</v>
      </c>
      <c r="AJ59" s="250">
        <f t="shared" si="18"/>
        <v>398607608</v>
      </c>
      <c r="AK59" s="279">
        <f t="shared" si="5"/>
        <v>0.26573840533333332</v>
      </c>
      <c r="AL59" s="156"/>
      <c r="AM59" s="157"/>
      <c r="AN59" s="152" t="s">
        <v>10</v>
      </c>
      <c r="AO59" s="576" t="s">
        <v>898</v>
      </c>
      <c r="AP59" s="558"/>
      <c r="AQ59" s="93"/>
    </row>
    <row r="60" spans="1:43" ht="76.5" customHeight="1">
      <c r="A60" s="323" t="s">
        <v>545</v>
      </c>
      <c r="B60" s="425" t="s">
        <v>736</v>
      </c>
      <c r="C60" s="388">
        <v>50000</v>
      </c>
      <c r="D60" s="666">
        <v>50000</v>
      </c>
      <c r="E60" s="859">
        <v>0</v>
      </c>
      <c r="F60" s="147">
        <v>50000</v>
      </c>
      <c r="G60" s="147">
        <v>50000</v>
      </c>
      <c r="H60" s="180">
        <f t="shared" ref="H60:H67" si="53">IF((E60+G60)/C60&gt;=100%,100%,(E60+G60)/C60)</f>
        <v>1</v>
      </c>
      <c r="I60" s="148">
        <f t="shared" si="50"/>
        <v>1</v>
      </c>
      <c r="J60" s="149"/>
      <c r="K60" s="149"/>
      <c r="L60" s="101"/>
      <c r="M60" s="104"/>
      <c r="N60" s="146"/>
      <c r="O60" s="149"/>
      <c r="P60" s="149"/>
      <c r="Q60" s="149"/>
      <c r="R60" s="150"/>
      <c r="S60" s="158"/>
      <c r="T60" s="228">
        <v>150000</v>
      </c>
      <c r="U60" s="242">
        <f t="shared" ref="U60:U61" si="54">SUM(E60:F60)</f>
        <v>50000</v>
      </c>
      <c r="V60" s="153">
        <f t="shared" ref="V60:V61" si="55">IF(U60/T60&gt;=100%,100%,U60/T60)</f>
        <v>0.33333333333333331</v>
      </c>
      <c r="W60" s="881">
        <v>0.5</v>
      </c>
      <c r="X60" s="472">
        <v>0.2</v>
      </c>
      <c r="Y60" s="521">
        <v>250000000</v>
      </c>
      <c r="Z60" s="365"/>
      <c r="AA60" s="157">
        <v>248712470</v>
      </c>
      <c r="AB60" s="273">
        <f t="shared" si="2"/>
        <v>0.99484987999999996</v>
      </c>
      <c r="AC60" s="265">
        <v>241853887</v>
      </c>
      <c r="AD60" s="152">
        <f t="shared" si="3"/>
        <v>0.96741554799999996</v>
      </c>
      <c r="AE60" s="156">
        <f>+AA60-AC60</f>
        <v>6858583</v>
      </c>
      <c r="AF60" s="157">
        <v>3460660</v>
      </c>
      <c r="AG60" s="157">
        <v>3335671</v>
      </c>
      <c r="AH60" s="614">
        <f t="shared" si="4"/>
        <v>0.96388290094952989</v>
      </c>
      <c r="AI60" s="250">
        <v>600000000</v>
      </c>
      <c r="AJ60" s="250">
        <f t="shared" si="18"/>
        <v>248712470</v>
      </c>
      <c r="AK60" s="279">
        <f t="shared" si="5"/>
        <v>0.41452078333333331</v>
      </c>
      <c r="AL60" s="156"/>
      <c r="AM60" s="157"/>
      <c r="AN60" s="152" t="s">
        <v>302</v>
      </c>
      <c r="AO60" s="576" t="s">
        <v>898</v>
      </c>
      <c r="AP60" s="558"/>
      <c r="AQ60" s="93"/>
    </row>
    <row r="61" spans="1:43" ht="76.5" customHeight="1">
      <c r="A61" s="323" t="s">
        <v>546</v>
      </c>
      <c r="B61" s="426" t="s">
        <v>737</v>
      </c>
      <c r="C61" s="389">
        <v>0</v>
      </c>
      <c r="D61" s="389">
        <v>2</v>
      </c>
      <c r="E61" s="859">
        <v>0</v>
      </c>
      <c r="F61" s="147">
        <v>2</v>
      </c>
      <c r="G61" s="147"/>
      <c r="H61" s="180">
        <v>0</v>
      </c>
      <c r="I61" s="148">
        <f t="shared" ref="I61:I63" si="56">IF(F61/D61&gt;=100%,100%,F61/D61)</f>
        <v>1</v>
      </c>
      <c r="J61" s="149"/>
      <c r="K61" s="149"/>
      <c r="L61" s="101"/>
      <c r="M61" s="104"/>
      <c r="N61" s="146"/>
      <c r="O61" s="149"/>
      <c r="P61" s="149"/>
      <c r="Q61" s="149"/>
      <c r="R61" s="150"/>
      <c r="S61" s="158"/>
      <c r="T61" s="228">
        <v>4</v>
      </c>
      <c r="U61" s="242">
        <f t="shared" si="54"/>
        <v>2</v>
      </c>
      <c r="V61" s="153">
        <f t="shared" si="55"/>
        <v>0.5</v>
      </c>
      <c r="W61" s="881">
        <v>0</v>
      </c>
      <c r="X61" s="673">
        <v>0.15</v>
      </c>
      <c r="Y61" s="521">
        <v>300000000</v>
      </c>
      <c r="Z61" s="365" t="s">
        <v>887</v>
      </c>
      <c r="AA61" s="157">
        <v>299667241</v>
      </c>
      <c r="AB61" s="273">
        <f t="shared" si="2"/>
        <v>0.99889080333333335</v>
      </c>
      <c r="AC61" s="265">
        <v>37257534</v>
      </c>
      <c r="AD61" s="152">
        <f t="shared" si="3"/>
        <v>0.12419178</v>
      </c>
      <c r="AE61" s="156"/>
      <c r="AF61" s="157"/>
      <c r="AG61" s="157"/>
      <c r="AH61" s="614" t="e">
        <f t="shared" si="4"/>
        <v>#DIV/0!</v>
      </c>
      <c r="AI61" s="250">
        <v>800000000</v>
      </c>
      <c r="AJ61" s="250">
        <f t="shared" si="18"/>
        <v>299667241</v>
      </c>
      <c r="AK61" s="279">
        <f t="shared" si="5"/>
        <v>0.37458405124999999</v>
      </c>
      <c r="AL61" s="156"/>
      <c r="AM61" s="157"/>
      <c r="AN61" s="152" t="s">
        <v>302</v>
      </c>
      <c r="AO61" s="576" t="s">
        <v>898</v>
      </c>
      <c r="AP61" s="558"/>
      <c r="AQ61" s="93"/>
    </row>
    <row r="62" spans="1:43" ht="33" customHeight="1">
      <c r="A62" s="323" t="s">
        <v>547</v>
      </c>
      <c r="B62" s="424" t="s">
        <v>739</v>
      </c>
      <c r="C62" s="387">
        <v>1</v>
      </c>
      <c r="D62" s="908">
        <v>1</v>
      </c>
      <c r="E62" s="147">
        <v>1</v>
      </c>
      <c r="F62" s="679">
        <v>1</v>
      </c>
      <c r="G62" s="147"/>
      <c r="H62" s="180">
        <f t="shared" si="53"/>
        <v>1</v>
      </c>
      <c r="I62" s="148">
        <f t="shared" si="56"/>
        <v>1</v>
      </c>
      <c r="J62" s="149"/>
      <c r="K62" s="149"/>
      <c r="L62" s="101"/>
      <c r="M62" s="104"/>
      <c r="N62" s="146"/>
      <c r="O62" s="149"/>
      <c r="P62" s="149"/>
      <c r="Q62" s="149"/>
      <c r="R62" s="150"/>
      <c r="S62" s="158"/>
      <c r="T62" s="228">
        <v>2</v>
      </c>
      <c r="U62" s="242">
        <f t="shared" ref="U62:U63" si="57">SUM(E62:F62)</f>
        <v>2</v>
      </c>
      <c r="V62" s="153">
        <f t="shared" ref="V62:V63" si="58">IF(U62/T62&gt;=100%,100%,U62/T62)</f>
        <v>1</v>
      </c>
      <c r="W62" s="881">
        <v>0.5</v>
      </c>
      <c r="X62" s="472">
        <v>0.2</v>
      </c>
      <c r="Y62" s="521">
        <v>350000000</v>
      </c>
      <c r="Z62" s="359"/>
      <c r="AA62" s="157">
        <v>349611974</v>
      </c>
      <c r="AB62" s="273">
        <f t="shared" si="2"/>
        <v>0.99889135428571429</v>
      </c>
      <c r="AC62" s="265">
        <v>221755948</v>
      </c>
      <c r="AD62" s="152">
        <f t="shared" si="3"/>
        <v>0.6335884228571429</v>
      </c>
      <c r="AE62" s="156">
        <f>+AA62-AC62</f>
        <v>127856026</v>
      </c>
      <c r="AF62" s="157">
        <v>207697303</v>
      </c>
      <c r="AG62" s="157">
        <v>207605159</v>
      </c>
      <c r="AH62" s="614">
        <f t="shared" si="4"/>
        <v>0.99955635437403823</v>
      </c>
      <c r="AI62" s="250">
        <v>450000000</v>
      </c>
      <c r="AJ62" s="250">
        <f t="shared" si="18"/>
        <v>349611974</v>
      </c>
      <c r="AK62" s="640">
        <f t="shared" si="5"/>
        <v>0.7769154977777778</v>
      </c>
      <c r="AL62" s="156"/>
      <c r="AM62" s="157"/>
      <c r="AN62" s="152" t="s">
        <v>21</v>
      </c>
      <c r="AO62" s="576" t="s">
        <v>890</v>
      </c>
      <c r="AP62" s="558"/>
      <c r="AQ62" s="93"/>
    </row>
    <row r="63" spans="1:43" ht="75" customHeight="1" thickBot="1">
      <c r="A63" s="323" t="s">
        <v>548</v>
      </c>
      <c r="B63" s="427" t="s">
        <v>740</v>
      </c>
      <c r="C63" s="389">
        <v>0</v>
      </c>
      <c r="D63" s="388">
        <v>50</v>
      </c>
      <c r="E63" s="866">
        <v>0</v>
      </c>
      <c r="F63" s="147">
        <v>15</v>
      </c>
      <c r="G63" s="147"/>
      <c r="H63" s="180">
        <v>0</v>
      </c>
      <c r="I63" s="148">
        <f t="shared" si="56"/>
        <v>0.3</v>
      </c>
      <c r="J63" s="149"/>
      <c r="K63" s="149"/>
      <c r="L63" s="101"/>
      <c r="M63" s="104"/>
      <c r="N63" s="146"/>
      <c r="O63" s="149"/>
      <c r="P63" s="149"/>
      <c r="Q63" s="149"/>
      <c r="R63" s="150"/>
      <c r="S63" s="149"/>
      <c r="T63" s="228">
        <v>100</v>
      </c>
      <c r="U63" s="242">
        <f t="shared" si="57"/>
        <v>15</v>
      </c>
      <c r="V63" s="153">
        <f t="shared" si="58"/>
        <v>0.15</v>
      </c>
      <c r="W63" s="885">
        <v>0</v>
      </c>
      <c r="X63" s="673">
        <v>0.2</v>
      </c>
      <c r="Y63" s="521">
        <v>400000000</v>
      </c>
      <c r="Z63" s="365" t="s">
        <v>887</v>
      </c>
      <c r="AA63" s="157">
        <v>399655326</v>
      </c>
      <c r="AB63" s="273">
        <f t="shared" si="2"/>
        <v>0.99913831500000005</v>
      </c>
      <c r="AC63" s="265">
        <v>78915599</v>
      </c>
      <c r="AD63" s="152">
        <f t="shared" si="3"/>
        <v>0.19728899750000001</v>
      </c>
      <c r="AE63" s="156"/>
      <c r="AF63" s="157"/>
      <c r="AG63" s="157"/>
      <c r="AH63" s="614" t="e">
        <f t="shared" si="4"/>
        <v>#DIV/0!</v>
      </c>
      <c r="AI63" s="251">
        <v>1000000000</v>
      </c>
      <c r="AJ63" s="250">
        <f t="shared" si="18"/>
        <v>399655326</v>
      </c>
      <c r="AK63" s="279">
        <f t="shared" si="5"/>
        <v>0.39965532599999998</v>
      </c>
      <c r="AL63" s="156"/>
      <c r="AM63" s="157"/>
      <c r="AN63" s="152" t="s">
        <v>10</v>
      </c>
      <c r="AO63" s="576" t="s">
        <v>899</v>
      </c>
      <c r="AP63" s="558"/>
      <c r="AQ63" s="93"/>
    </row>
    <row r="64" spans="1:43" ht="38.25" customHeight="1" thickBot="1">
      <c r="A64" s="315" t="s">
        <v>455</v>
      </c>
      <c r="B64" s="138"/>
      <c r="C64" s="826"/>
      <c r="D64" s="223"/>
      <c r="E64" s="861"/>
      <c r="F64" s="139"/>
      <c r="G64" s="139"/>
      <c r="H64" s="140">
        <f>+SUMPRODUCT(H65:H69,W65:W69)</f>
        <v>1</v>
      </c>
      <c r="I64" s="140">
        <f>+SUMPRODUCT(I65:I69,X65:X69)</f>
        <v>1</v>
      </c>
      <c r="J64" s="141"/>
      <c r="K64" s="141"/>
      <c r="L64" s="162"/>
      <c r="M64" s="162"/>
      <c r="N64" s="162"/>
      <c r="O64" s="141"/>
      <c r="P64" s="141"/>
      <c r="Q64" s="141"/>
      <c r="R64" s="163"/>
      <c r="S64" s="164"/>
      <c r="T64" s="231"/>
      <c r="U64" s="258"/>
      <c r="V64" s="177">
        <f>+SUMPRODUCT(V65:V69,W65:W69)</f>
        <v>0.70833333333333326</v>
      </c>
      <c r="W64" s="886">
        <v>0.5</v>
      </c>
      <c r="X64" s="471">
        <v>0.5</v>
      </c>
      <c r="Y64" s="144">
        <f>SUM(Y65:Y69)</f>
        <v>920000000</v>
      </c>
      <c r="Z64" s="144">
        <f>SUM(Z65:Z69)</f>
        <v>0</v>
      </c>
      <c r="AA64" s="144">
        <f>SUM(AA65:AA69)</f>
        <v>918979849</v>
      </c>
      <c r="AB64" s="272">
        <f t="shared" si="2"/>
        <v>0.99889114021739134</v>
      </c>
      <c r="AC64" s="144">
        <f>SUM(AC65:AC69)</f>
        <v>913626558</v>
      </c>
      <c r="AD64" s="143">
        <f t="shared" si="3"/>
        <v>0.99307234565217395</v>
      </c>
      <c r="AE64" s="144">
        <f>SUM(AE65:AE69)</f>
        <v>2810948</v>
      </c>
      <c r="AF64" s="144">
        <f>SUM(AF65:AF69)</f>
        <v>6480299</v>
      </c>
      <c r="AG64" s="144">
        <f>SUM(AG65:AG69)</f>
        <v>6249939</v>
      </c>
      <c r="AH64" s="613">
        <f t="shared" si="4"/>
        <v>0.96445225752700603</v>
      </c>
      <c r="AI64" s="144">
        <f>SUM(AI65:AI69)</f>
        <v>4730000000</v>
      </c>
      <c r="AJ64" s="144">
        <f>SUM(AJ65:AJ69)</f>
        <v>918979849</v>
      </c>
      <c r="AK64" s="278">
        <f t="shared" si="5"/>
        <v>0.19428749450317126</v>
      </c>
      <c r="AL64" s="145"/>
      <c r="AM64" s="165"/>
      <c r="AN64" s="553"/>
      <c r="AO64" s="144"/>
      <c r="AP64" s="557"/>
      <c r="AQ64" s="98"/>
    </row>
    <row r="65" spans="1:43" ht="114.75">
      <c r="A65" s="324" t="s">
        <v>549</v>
      </c>
      <c r="B65" s="428" t="s">
        <v>741</v>
      </c>
      <c r="C65" s="390">
        <v>0</v>
      </c>
      <c r="D65" s="390">
        <v>0</v>
      </c>
      <c r="E65" s="858">
        <v>0</v>
      </c>
      <c r="F65" s="147"/>
      <c r="G65" s="147">
        <v>1</v>
      </c>
      <c r="H65" s="180">
        <v>0</v>
      </c>
      <c r="I65" s="148">
        <v>0</v>
      </c>
      <c r="J65" s="149"/>
      <c r="K65" s="149"/>
      <c r="L65" s="101"/>
      <c r="M65" s="104"/>
      <c r="N65" s="146"/>
      <c r="O65" s="149"/>
      <c r="P65" s="149"/>
      <c r="Q65" s="149"/>
      <c r="R65" s="150"/>
      <c r="S65" s="158"/>
      <c r="T65" s="228">
        <v>1</v>
      </c>
      <c r="U65" s="242">
        <f>SUM(E65:F65)</f>
        <v>0</v>
      </c>
      <c r="V65" s="358">
        <f>IF(U65/T65&gt;=100%,100%,U65/T65)</f>
        <v>0</v>
      </c>
      <c r="W65" s="884">
        <v>0</v>
      </c>
      <c r="X65" s="472">
        <v>0</v>
      </c>
      <c r="Y65" s="522">
        <v>0</v>
      </c>
      <c r="Z65" s="359"/>
      <c r="AA65" s="157">
        <v>0</v>
      </c>
      <c r="AB65" s="273" t="e">
        <f t="shared" si="2"/>
        <v>#DIV/0!</v>
      </c>
      <c r="AC65" s="265"/>
      <c r="AD65" s="152" t="e">
        <f t="shared" si="3"/>
        <v>#DIV/0!</v>
      </c>
      <c r="AE65" s="156"/>
      <c r="AF65" s="157"/>
      <c r="AG65" s="157"/>
      <c r="AH65" s="614" t="e">
        <f t="shared" si="4"/>
        <v>#DIV/0!</v>
      </c>
      <c r="AI65" s="250">
        <v>300000000</v>
      </c>
      <c r="AJ65" s="250">
        <f t="shared" si="18"/>
        <v>0</v>
      </c>
      <c r="AK65" s="640">
        <f t="shared" si="5"/>
        <v>0</v>
      </c>
      <c r="AL65" s="156"/>
      <c r="AM65" s="157"/>
      <c r="AN65" s="152" t="s">
        <v>302</v>
      </c>
      <c r="AO65" s="577" t="s">
        <v>900</v>
      </c>
      <c r="AP65" s="558"/>
      <c r="AQ65" s="93"/>
    </row>
    <row r="66" spans="1:43" ht="114.75">
      <c r="A66" s="324" t="s">
        <v>550</v>
      </c>
      <c r="B66" s="429" t="s">
        <v>17</v>
      </c>
      <c r="C66" s="390">
        <v>2</v>
      </c>
      <c r="D66" s="390">
        <v>2</v>
      </c>
      <c r="E66" s="147">
        <v>2</v>
      </c>
      <c r="F66" s="147">
        <v>2</v>
      </c>
      <c r="G66" s="147"/>
      <c r="H66" s="180">
        <f t="shared" si="53"/>
        <v>1</v>
      </c>
      <c r="I66" s="148">
        <f t="shared" ref="I66:I69" si="59">IF(F66/D66&gt;=100%,100%,F66/D66)</f>
        <v>1</v>
      </c>
      <c r="J66" s="149"/>
      <c r="K66" s="149"/>
      <c r="L66" s="101"/>
      <c r="M66" s="104"/>
      <c r="N66" s="146"/>
      <c r="O66" s="149"/>
      <c r="P66" s="149"/>
      <c r="Q66" s="149"/>
      <c r="R66" s="150"/>
      <c r="S66" s="158"/>
      <c r="T66" s="228">
        <v>6</v>
      </c>
      <c r="U66" s="242">
        <f t="shared" ref="U66:U69" si="60">SUM(E66:F66)</f>
        <v>4</v>
      </c>
      <c r="V66" s="358">
        <f t="shared" ref="V66:V69" si="61">IF(U66/T66&gt;=100%,100%,U66/T66)</f>
        <v>0.66666666666666663</v>
      </c>
      <c r="W66" s="881">
        <v>0.5</v>
      </c>
      <c r="X66" s="472">
        <v>0.3</v>
      </c>
      <c r="Y66" s="523">
        <v>300000000</v>
      </c>
      <c r="Z66" s="365" t="s">
        <v>887</v>
      </c>
      <c r="AA66" s="157">
        <v>299667241</v>
      </c>
      <c r="AB66" s="273">
        <f t="shared" si="2"/>
        <v>0.99889080333333335</v>
      </c>
      <c r="AC66" s="265">
        <v>298357533</v>
      </c>
      <c r="AD66" s="151">
        <f t="shared" si="3"/>
        <v>0.99452510999999999</v>
      </c>
      <c r="AE66" s="156">
        <f>+AA66-AC66</f>
        <v>1309708</v>
      </c>
      <c r="AF66" s="157">
        <v>3240759</v>
      </c>
      <c r="AG66" s="157">
        <v>3125579</v>
      </c>
      <c r="AH66" s="614">
        <f t="shared" si="4"/>
        <v>0.96445894310561198</v>
      </c>
      <c r="AI66" s="250">
        <v>1200000000</v>
      </c>
      <c r="AJ66" s="250">
        <f t="shared" si="18"/>
        <v>299667241</v>
      </c>
      <c r="AK66" s="279">
        <f t="shared" si="5"/>
        <v>0.24972270083333334</v>
      </c>
      <c r="AL66" s="156"/>
      <c r="AM66" s="157"/>
      <c r="AN66" s="152" t="s">
        <v>16</v>
      </c>
      <c r="AO66" s="577" t="s">
        <v>900</v>
      </c>
      <c r="AP66" s="558"/>
      <c r="AQ66" s="93"/>
    </row>
    <row r="67" spans="1:43" ht="102">
      <c r="A67" s="324" t="s">
        <v>551</v>
      </c>
      <c r="B67" s="429" t="s">
        <v>742</v>
      </c>
      <c r="C67" s="390">
        <v>2</v>
      </c>
      <c r="D67" s="390">
        <v>1</v>
      </c>
      <c r="E67" s="147">
        <v>2</v>
      </c>
      <c r="F67" s="147">
        <v>1</v>
      </c>
      <c r="G67" s="147">
        <v>1</v>
      </c>
      <c r="H67" s="180">
        <f t="shared" si="53"/>
        <v>1</v>
      </c>
      <c r="I67" s="148">
        <f t="shared" si="59"/>
        <v>1</v>
      </c>
      <c r="J67" s="149"/>
      <c r="K67" s="149"/>
      <c r="L67" s="101"/>
      <c r="M67" s="104"/>
      <c r="N67" s="146"/>
      <c r="O67" s="149"/>
      <c r="P67" s="149"/>
      <c r="Q67" s="149"/>
      <c r="R67" s="150"/>
      <c r="S67" s="158"/>
      <c r="T67" s="228">
        <v>4</v>
      </c>
      <c r="U67" s="242">
        <f t="shared" si="60"/>
        <v>3</v>
      </c>
      <c r="V67" s="358">
        <f t="shared" si="61"/>
        <v>0.75</v>
      </c>
      <c r="W67" s="881">
        <v>0.5</v>
      </c>
      <c r="X67" s="472">
        <v>0.3</v>
      </c>
      <c r="Y67" s="523">
        <v>220000000</v>
      </c>
      <c r="Z67" s="359"/>
      <c r="AA67" s="157">
        <v>219755901</v>
      </c>
      <c r="AB67" s="273">
        <f t="shared" si="2"/>
        <v>0.99889045909090912</v>
      </c>
      <c r="AC67" s="265">
        <v>218254661</v>
      </c>
      <c r="AD67" s="151">
        <f t="shared" si="3"/>
        <v>0.99206664090909091</v>
      </c>
      <c r="AE67" s="156">
        <f>+AA67-AC67</f>
        <v>1501240</v>
      </c>
      <c r="AF67" s="157">
        <v>3239540</v>
      </c>
      <c r="AG67" s="157">
        <v>3124360</v>
      </c>
      <c r="AH67" s="614">
        <f t="shared" si="4"/>
        <v>0.96444556943269721</v>
      </c>
      <c r="AI67" s="250">
        <v>880000000</v>
      </c>
      <c r="AJ67" s="250">
        <f t="shared" si="18"/>
        <v>219755901</v>
      </c>
      <c r="AK67" s="640">
        <f t="shared" si="5"/>
        <v>0.24972261477272728</v>
      </c>
      <c r="AL67" s="156"/>
      <c r="AM67" s="157"/>
      <c r="AN67" s="152" t="s">
        <v>302</v>
      </c>
      <c r="AO67" s="577" t="s">
        <v>901</v>
      </c>
      <c r="AP67" s="558"/>
      <c r="AQ67" s="93"/>
    </row>
    <row r="68" spans="1:43" ht="26.25" customHeight="1">
      <c r="A68" s="324" t="s">
        <v>552</v>
      </c>
      <c r="B68" s="429" t="s">
        <v>743</v>
      </c>
      <c r="C68" s="390">
        <v>0</v>
      </c>
      <c r="D68" s="390">
        <v>0</v>
      </c>
      <c r="E68" s="147"/>
      <c r="F68" s="147"/>
      <c r="G68" s="147">
        <v>1</v>
      </c>
      <c r="H68" s="180">
        <v>0</v>
      </c>
      <c r="I68" s="148">
        <v>0</v>
      </c>
      <c r="J68" s="149"/>
      <c r="K68" s="149"/>
      <c r="L68" s="101"/>
      <c r="M68" s="104"/>
      <c r="N68" s="146"/>
      <c r="O68" s="149"/>
      <c r="P68" s="149"/>
      <c r="Q68" s="149"/>
      <c r="R68" s="150"/>
      <c r="S68" s="149"/>
      <c r="T68" s="228">
        <v>1</v>
      </c>
      <c r="U68" s="242">
        <f t="shared" si="60"/>
        <v>0</v>
      </c>
      <c r="V68" s="358">
        <f t="shared" si="61"/>
        <v>0</v>
      </c>
      <c r="W68" s="881">
        <v>0</v>
      </c>
      <c r="X68" s="472">
        <v>0</v>
      </c>
      <c r="Y68" s="522">
        <v>0</v>
      </c>
      <c r="Z68" s="359"/>
      <c r="AA68" s="157"/>
      <c r="AB68" s="273" t="e">
        <f t="shared" si="2"/>
        <v>#DIV/0!</v>
      </c>
      <c r="AC68" s="265"/>
      <c r="AD68" s="152" t="e">
        <f t="shared" si="3"/>
        <v>#DIV/0!</v>
      </c>
      <c r="AE68" s="156"/>
      <c r="AF68" s="157"/>
      <c r="AG68" s="157"/>
      <c r="AH68" s="614" t="e">
        <f t="shared" si="4"/>
        <v>#DIV/0!</v>
      </c>
      <c r="AI68" s="250">
        <v>600000000</v>
      </c>
      <c r="AJ68" s="250">
        <f t="shared" si="18"/>
        <v>0</v>
      </c>
      <c r="AK68" s="640">
        <f t="shared" si="5"/>
        <v>0</v>
      </c>
      <c r="AL68" s="156"/>
      <c r="AM68" s="157"/>
      <c r="AN68" s="152" t="s">
        <v>302</v>
      </c>
      <c r="AO68" s="577" t="s">
        <v>902</v>
      </c>
      <c r="AP68" s="558"/>
      <c r="AQ68" s="93"/>
    </row>
    <row r="69" spans="1:43" ht="102.75" thickBot="1">
      <c r="A69" s="324" t="s">
        <v>553</v>
      </c>
      <c r="B69" s="429" t="s">
        <v>744</v>
      </c>
      <c r="C69" s="827">
        <v>0</v>
      </c>
      <c r="D69" s="390">
        <v>2</v>
      </c>
      <c r="E69" s="860"/>
      <c r="F69" s="147">
        <v>2</v>
      </c>
      <c r="G69" s="147">
        <v>2</v>
      </c>
      <c r="H69" s="180">
        <v>0</v>
      </c>
      <c r="I69" s="148">
        <f t="shared" si="59"/>
        <v>1</v>
      </c>
      <c r="J69" s="149"/>
      <c r="K69" s="149"/>
      <c r="L69" s="101"/>
      <c r="M69" s="104"/>
      <c r="N69" s="146"/>
      <c r="O69" s="149"/>
      <c r="P69" s="149"/>
      <c r="Q69" s="149"/>
      <c r="R69" s="150"/>
      <c r="S69" s="149"/>
      <c r="T69" s="228">
        <v>7</v>
      </c>
      <c r="U69" s="242">
        <f t="shared" si="60"/>
        <v>2</v>
      </c>
      <c r="V69" s="358">
        <f t="shared" si="61"/>
        <v>0.2857142857142857</v>
      </c>
      <c r="W69" s="477">
        <v>0</v>
      </c>
      <c r="X69" s="673">
        <v>0.4</v>
      </c>
      <c r="Y69" s="522">
        <v>400000000</v>
      </c>
      <c r="Z69" s="359"/>
      <c r="AA69" s="157">
        <v>399556707</v>
      </c>
      <c r="AB69" s="273">
        <f t="shared" si="2"/>
        <v>0.99889176749999997</v>
      </c>
      <c r="AC69" s="265">
        <v>397014364</v>
      </c>
      <c r="AD69" s="152">
        <f t="shared" si="3"/>
        <v>0.99253590999999997</v>
      </c>
      <c r="AE69" s="156"/>
      <c r="AF69" s="157"/>
      <c r="AG69" s="157"/>
      <c r="AH69" s="614" t="e">
        <f t="shared" si="4"/>
        <v>#DIV/0!</v>
      </c>
      <c r="AI69" s="250">
        <v>1750000000</v>
      </c>
      <c r="AJ69" s="250">
        <f>+SUM(Z69:AA69)</f>
        <v>399556707</v>
      </c>
      <c r="AK69" s="912">
        <f t="shared" si="5"/>
        <v>0.22831811828571427</v>
      </c>
      <c r="AL69" s="156"/>
      <c r="AM69" s="157"/>
      <c r="AN69" s="152" t="s">
        <v>16</v>
      </c>
      <c r="AO69" s="577" t="s">
        <v>901</v>
      </c>
    </row>
    <row r="70" spans="1:43" ht="40.5" customHeight="1" thickBot="1">
      <c r="A70" s="314" t="s">
        <v>424</v>
      </c>
      <c r="B70" s="413"/>
      <c r="C70" s="129"/>
      <c r="D70" s="222"/>
      <c r="E70" s="862"/>
      <c r="F70" s="129"/>
      <c r="G70" s="129"/>
      <c r="H70" s="130">
        <f>+(H71*W71)+(H74*W74)+(H76*W76)</f>
        <v>0.3</v>
      </c>
      <c r="I70" s="130">
        <f>+(I71*X71)+(I74*X74)+(I76*X76)</f>
        <v>0.6</v>
      </c>
      <c r="J70" s="132"/>
      <c r="K70" s="132"/>
      <c r="L70" s="132"/>
      <c r="M70" s="133"/>
      <c r="N70" s="133"/>
      <c r="O70" s="132"/>
      <c r="P70" s="132"/>
      <c r="Q70" s="132"/>
      <c r="R70" s="159"/>
      <c r="S70" s="132"/>
      <c r="T70" s="230"/>
      <c r="U70" s="257"/>
      <c r="V70" s="465">
        <f>+(V71*W71)+(V74*W74)+(V76*W76)</f>
        <v>0.375</v>
      </c>
      <c r="W70" s="883">
        <v>0.3</v>
      </c>
      <c r="X70" s="470">
        <v>0.3</v>
      </c>
      <c r="Y70" s="135">
        <f>+Y71+Y74+Y76</f>
        <v>1300000000</v>
      </c>
      <c r="Z70" s="135">
        <f>+Z71+Z74+Z76</f>
        <v>0</v>
      </c>
      <c r="AA70" s="135">
        <f>+AA71+AA74+AA76</f>
        <v>1282434799</v>
      </c>
      <c r="AB70" s="271">
        <f t="shared" si="2"/>
        <v>0.98648830692307687</v>
      </c>
      <c r="AC70" s="135">
        <f>+AC71+AC74+AC76</f>
        <v>1269974824</v>
      </c>
      <c r="AD70" s="133">
        <f t="shared" si="3"/>
        <v>0.97690371076923077</v>
      </c>
      <c r="AE70" s="135">
        <f>+AE71+AE74+AE76</f>
        <v>8903101</v>
      </c>
      <c r="AF70" s="135">
        <f>+AF71+AF74+AF76</f>
        <v>347583067.19999999</v>
      </c>
      <c r="AG70" s="135">
        <f>+AG71+AG74+AG76</f>
        <v>126895135</v>
      </c>
      <c r="AH70" s="612">
        <f t="shared" si="4"/>
        <v>0.36507858688922923</v>
      </c>
      <c r="AI70" s="135">
        <f t="shared" ref="AI70:AJ70" si="62">+AI71+AI74+AI76</f>
        <v>4850000000</v>
      </c>
      <c r="AJ70" s="135">
        <f t="shared" si="62"/>
        <v>1282434799</v>
      </c>
      <c r="AK70" s="199">
        <f t="shared" si="5"/>
        <v>0.26441954618556701</v>
      </c>
      <c r="AL70" s="160"/>
      <c r="AM70" s="160" t="s">
        <v>299</v>
      </c>
      <c r="AN70" s="136"/>
      <c r="AO70" s="135"/>
      <c r="AP70" s="556"/>
      <c r="AQ70" s="97"/>
    </row>
    <row r="71" spans="1:43" ht="40.5" customHeight="1" thickBot="1">
      <c r="A71" s="315" t="s">
        <v>456</v>
      </c>
      <c r="B71" s="138"/>
      <c r="C71" s="139"/>
      <c r="D71" s="223"/>
      <c r="E71" s="861"/>
      <c r="F71" s="139"/>
      <c r="G71" s="139"/>
      <c r="H71" s="161">
        <f>+SUMPRODUCT(H72:H73,W72:W73)</f>
        <v>1</v>
      </c>
      <c r="I71" s="161">
        <f>+SUMPRODUCT(I72:I73,X72:X73)</f>
        <v>1</v>
      </c>
      <c r="J71" s="176"/>
      <c r="K71" s="176"/>
      <c r="L71" s="141"/>
      <c r="M71" s="142"/>
      <c r="N71" s="142"/>
      <c r="O71" s="176"/>
      <c r="P71" s="176"/>
      <c r="Q71" s="176"/>
      <c r="R71" s="163"/>
      <c r="S71" s="176"/>
      <c r="T71" s="235"/>
      <c r="U71" s="258"/>
      <c r="V71" s="177">
        <f>+SUMPRODUCT(V72:V73,W72:W73)</f>
        <v>0.66666666666666663</v>
      </c>
      <c r="W71" s="879">
        <v>0.3</v>
      </c>
      <c r="X71" s="471">
        <v>0.3</v>
      </c>
      <c r="Y71" s="144">
        <f>SUM(Y72:Y73)</f>
        <v>550000000</v>
      </c>
      <c r="Z71" s="144">
        <f>SUM(Z72:Z73)</f>
        <v>0</v>
      </c>
      <c r="AA71" s="144">
        <f>SUM(AA72:AA73)</f>
        <v>533159966</v>
      </c>
      <c r="AB71" s="272">
        <f t="shared" si="2"/>
        <v>0.96938175636363633</v>
      </c>
      <c r="AC71" s="144">
        <f>SUM(AC72:AC73)</f>
        <v>523928564</v>
      </c>
      <c r="AD71" s="188">
        <f t="shared" si="3"/>
        <v>0.95259738909090907</v>
      </c>
      <c r="AE71" s="144">
        <f>SUM(AE72:AE73)</f>
        <v>6689109</v>
      </c>
      <c r="AF71" s="144">
        <f>SUM(AF72:AF73)</f>
        <v>91177415</v>
      </c>
      <c r="AG71" s="144">
        <f>SUM(AG72:AG73)</f>
        <v>91131343</v>
      </c>
      <c r="AH71" s="613">
        <f t="shared" si="4"/>
        <v>0.99949469942748437</v>
      </c>
      <c r="AI71" s="144">
        <f t="shared" ref="AI71:AJ71" si="63">SUM(AI72:AI73)</f>
        <v>1450000000</v>
      </c>
      <c r="AJ71" s="144">
        <f t="shared" si="63"/>
        <v>533159966</v>
      </c>
      <c r="AK71" s="910">
        <f t="shared" si="5"/>
        <v>0.36769652827586208</v>
      </c>
      <c r="AL71" s="178"/>
      <c r="AM71" s="165"/>
      <c r="AN71" s="553"/>
      <c r="AO71" s="144"/>
      <c r="AP71" s="557"/>
      <c r="AQ71" s="98"/>
    </row>
    <row r="72" spans="1:43" ht="29.25" customHeight="1">
      <c r="A72" s="325" t="s">
        <v>554</v>
      </c>
      <c r="B72" s="430" t="s">
        <v>745</v>
      </c>
      <c r="C72" s="391">
        <v>1</v>
      </c>
      <c r="D72" s="391">
        <v>1</v>
      </c>
      <c r="E72" s="865">
        <v>1</v>
      </c>
      <c r="F72" s="147">
        <v>1</v>
      </c>
      <c r="G72" s="147"/>
      <c r="H72" s="180">
        <f t="shared" ref="H72" si="64">IF((E72+G72)/C72&gt;=100%,100%,(E72+G72)/C72)</f>
        <v>1</v>
      </c>
      <c r="I72" s="148">
        <f t="shared" ref="I72:I75" si="65">IF(F72/D72&gt;=100%,100%,F72/D72)</f>
        <v>1</v>
      </c>
      <c r="J72" s="181"/>
      <c r="K72" s="181"/>
      <c r="L72" s="101"/>
      <c r="M72" s="104"/>
      <c r="N72" s="146"/>
      <c r="O72" s="181"/>
      <c r="P72" s="181"/>
      <c r="Q72" s="181"/>
      <c r="R72" s="150"/>
      <c r="S72" s="181"/>
      <c r="T72" s="236">
        <v>3</v>
      </c>
      <c r="U72" s="242">
        <f>SUM(E72:F72)</f>
        <v>2</v>
      </c>
      <c r="V72" s="153">
        <f>IF(U72/T72&gt;=100%,100%,U72/T72)</f>
        <v>0.66666666666666663</v>
      </c>
      <c r="W72" s="884">
        <v>1</v>
      </c>
      <c r="X72" s="472">
        <v>0.5</v>
      </c>
      <c r="Y72" s="524">
        <v>150000000</v>
      </c>
      <c r="Z72" s="481" t="s">
        <v>887</v>
      </c>
      <c r="AA72" s="173">
        <v>133603254</v>
      </c>
      <c r="AB72" s="273">
        <f t="shared" ref="AB72:AB135" si="66">+AA72/Y72</f>
        <v>0.89068835999999996</v>
      </c>
      <c r="AC72" s="266">
        <v>126914145</v>
      </c>
      <c r="AD72" s="189">
        <f t="shared" si="3"/>
        <v>0.84609429999999997</v>
      </c>
      <c r="AE72" s="156">
        <f>+AA72-AC72</f>
        <v>6689109</v>
      </c>
      <c r="AF72" s="173">
        <v>91177415</v>
      </c>
      <c r="AG72" s="173">
        <v>91131343</v>
      </c>
      <c r="AH72" s="614">
        <f t="shared" si="4"/>
        <v>0.99949469942748437</v>
      </c>
      <c r="AI72" s="250">
        <v>450000000</v>
      </c>
      <c r="AJ72" s="250">
        <f t="shared" si="18"/>
        <v>133603254</v>
      </c>
      <c r="AK72" s="911">
        <f t="shared" si="5"/>
        <v>0.29689611999999999</v>
      </c>
      <c r="AL72" s="175"/>
      <c r="AM72" s="157"/>
      <c r="AN72" s="152" t="s">
        <v>19</v>
      </c>
      <c r="AO72" s="578" t="s">
        <v>903</v>
      </c>
      <c r="AP72" s="558"/>
      <c r="AQ72" s="93"/>
    </row>
    <row r="73" spans="1:43" ht="36.75" customHeight="1" thickBot="1">
      <c r="A73" s="325" t="s">
        <v>555</v>
      </c>
      <c r="B73" s="431" t="s">
        <v>746</v>
      </c>
      <c r="C73" s="828">
        <v>0</v>
      </c>
      <c r="D73" s="391">
        <v>2</v>
      </c>
      <c r="E73" s="866">
        <v>0</v>
      </c>
      <c r="F73" s="147">
        <v>2</v>
      </c>
      <c r="G73" s="147"/>
      <c r="H73" s="180">
        <v>0</v>
      </c>
      <c r="I73" s="148">
        <f t="shared" si="65"/>
        <v>1</v>
      </c>
      <c r="J73" s="183"/>
      <c r="K73" s="183"/>
      <c r="L73" s="101"/>
      <c r="M73" s="104"/>
      <c r="N73" s="146"/>
      <c r="O73" s="183"/>
      <c r="P73" s="183"/>
      <c r="Q73" s="183"/>
      <c r="R73" s="150"/>
      <c r="S73" s="183"/>
      <c r="T73" s="242">
        <v>4</v>
      </c>
      <c r="U73" s="242">
        <f>SUM(E73:F73)</f>
        <v>2</v>
      </c>
      <c r="V73" s="153">
        <f>IF(U73/T73&gt;=100%,100%,U73/T73)</f>
        <v>0.5</v>
      </c>
      <c r="W73" s="885">
        <v>0</v>
      </c>
      <c r="X73" s="673">
        <v>0.5</v>
      </c>
      <c r="Y73" s="524">
        <v>400000000</v>
      </c>
      <c r="Z73" s="481" t="s">
        <v>887</v>
      </c>
      <c r="AA73" s="173">
        <v>399556712</v>
      </c>
      <c r="AB73" s="273">
        <f t="shared" si="66"/>
        <v>0.99889178000000001</v>
      </c>
      <c r="AC73" s="266">
        <v>397014419</v>
      </c>
      <c r="AD73" s="189">
        <f t="shared" ref="AD73:AD136" si="67">+AC73/Y73</f>
        <v>0.99253604750000002</v>
      </c>
      <c r="AE73" s="175"/>
      <c r="AF73" s="173"/>
      <c r="AG73" s="173"/>
      <c r="AH73" s="614" t="e">
        <f t="shared" ref="AH73:AH136" si="68">+AG73/AF73</f>
        <v>#DIV/0!</v>
      </c>
      <c r="AI73" s="250">
        <v>1000000000</v>
      </c>
      <c r="AJ73" s="250">
        <f t="shared" si="18"/>
        <v>399556712</v>
      </c>
      <c r="AK73" s="911">
        <f t="shared" ref="AK73:AK136" si="69">+AJ73/AI73</f>
        <v>0.39955671199999998</v>
      </c>
      <c r="AL73" s="175"/>
      <c r="AM73" s="157"/>
      <c r="AN73" s="152" t="s">
        <v>19</v>
      </c>
      <c r="AO73" s="578" t="s">
        <v>904</v>
      </c>
      <c r="AP73" s="558"/>
      <c r="AQ73" s="93"/>
    </row>
    <row r="74" spans="1:43" ht="54.75" customHeight="1" thickBot="1">
      <c r="A74" s="315" t="s">
        <v>457</v>
      </c>
      <c r="B74" s="138"/>
      <c r="C74" s="826"/>
      <c r="D74" s="223"/>
      <c r="E74" s="861"/>
      <c r="F74" s="139"/>
      <c r="G74" s="139"/>
      <c r="H74" s="140">
        <f>+SUMPRODUCT(H75:H75,W75:W75)</f>
        <v>0</v>
      </c>
      <c r="I74" s="140">
        <f>+SUMPRODUCT(I75:I75,X75:X75)</f>
        <v>0</v>
      </c>
      <c r="J74" s="176"/>
      <c r="K74" s="176"/>
      <c r="L74" s="141"/>
      <c r="M74" s="142"/>
      <c r="N74" s="142"/>
      <c r="O74" s="176"/>
      <c r="P74" s="176"/>
      <c r="Q74" s="176"/>
      <c r="R74" s="163"/>
      <c r="S74" s="176"/>
      <c r="T74" s="235"/>
      <c r="U74" s="258"/>
      <c r="V74" s="177">
        <f>+SUMPRODUCT(V75:V75,W75:W75)</f>
        <v>0</v>
      </c>
      <c r="W74" s="879">
        <v>0</v>
      </c>
      <c r="X74" s="471">
        <v>0.4</v>
      </c>
      <c r="Y74" s="144">
        <f>SUM(Y75:Y75)</f>
        <v>650000000</v>
      </c>
      <c r="Z74" s="144">
        <f>SUM(Z75:Z75)</f>
        <v>0</v>
      </c>
      <c r="AA74" s="144">
        <f>SUM(AA75:AA75)</f>
        <v>649663517</v>
      </c>
      <c r="AB74" s="272">
        <f t="shared" si="66"/>
        <v>0.99948233384615381</v>
      </c>
      <c r="AC74" s="144">
        <f>SUM(AC75:AC75)</f>
        <v>648648936</v>
      </c>
      <c r="AD74" s="188">
        <f t="shared" si="67"/>
        <v>0.99792144000000005</v>
      </c>
      <c r="AE74" s="144">
        <f>SUM(AE75:AE75)</f>
        <v>0</v>
      </c>
      <c r="AF74" s="144">
        <f>SUM(AF75:AF75)</f>
        <v>0</v>
      </c>
      <c r="AG74" s="144">
        <f>SUM(AG75:AG75)</f>
        <v>0</v>
      </c>
      <c r="AH74" s="613" t="e">
        <f t="shared" si="68"/>
        <v>#DIV/0!</v>
      </c>
      <c r="AI74" s="144">
        <f>SUM(AI75:AI75)</f>
        <v>2000000000</v>
      </c>
      <c r="AJ74" s="144">
        <f>SUM(AJ75:AJ75)</f>
        <v>649663517</v>
      </c>
      <c r="AK74" s="910">
        <f t="shared" si="69"/>
        <v>0.32483175850000001</v>
      </c>
      <c r="AL74" s="178"/>
      <c r="AM74" s="165"/>
      <c r="AN74" s="553"/>
      <c r="AO74" s="144"/>
      <c r="AP74" s="557"/>
      <c r="AQ74" s="98"/>
    </row>
    <row r="75" spans="1:43" ht="38.25" customHeight="1" thickBot="1">
      <c r="A75" s="326" t="s">
        <v>556</v>
      </c>
      <c r="B75" s="432" t="s">
        <v>747</v>
      </c>
      <c r="C75" s="828">
        <v>0</v>
      </c>
      <c r="D75" s="391">
        <v>1</v>
      </c>
      <c r="E75" s="867">
        <v>0</v>
      </c>
      <c r="F75" s="147">
        <v>0</v>
      </c>
      <c r="G75" s="147"/>
      <c r="H75" s="180">
        <v>0</v>
      </c>
      <c r="I75" s="148">
        <f t="shared" si="65"/>
        <v>0</v>
      </c>
      <c r="J75" s="181"/>
      <c r="K75" s="181"/>
      <c r="L75" s="101"/>
      <c r="M75" s="104"/>
      <c r="N75" s="146"/>
      <c r="O75" s="181"/>
      <c r="P75" s="181"/>
      <c r="Q75" s="181"/>
      <c r="R75" s="150"/>
      <c r="S75" s="181"/>
      <c r="T75" s="242">
        <v>3</v>
      </c>
      <c r="U75" s="242">
        <f>SUM(E75:F75)</f>
        <v>0</v>
      </c>
      <c r="V75" s="153">
        <f>IF(U75/T75&gt;=100%,100%,U75/T75)</f>
        <v>0</v>
      </c>
      <c r="W75" s="888">
        <v>0</v>
      </c>
      <c r="X75" s="673">
        <v>1</v>
      </c>
      <c r="Y75" s="525">
        <v>650000000</v>
      </c>
      <c r="Z75" s="481" t="s">
        <v>887</v>
      </c>
      <c r="AA75" s="173">
        <v>649663517</v>
      </c>
      <c r="AB75" s="273">
        <f t="shared" si="66"/>
        <v>0.99948233384615381</v>
      </c>
      <c r="AC75" s="266">
        <v>648648936</v>
      </c>
      <c r="AD75" s="189">
        <f t="shared" si="67"/>
        <v>0.99792144000000005</v>
      </c>
      <c r="AE75" s="175"/>
      <c r="AF75" s="173"/>
      <c r="AG75" s="173"/>
      <c r="AH75" s="614" t="e">
        <f t="shared" si="68"/>
        <v>#DIV/0!</v>
      </c>
      <c r="AI75" s="250">
        <v>2000000000</v>
      </c>
      <c r="AJ75" s="250">
        <f t="shared" si="18"/>
        <v>649663517</v>
      </c>
      <c r="AK75" s="911">
        <f t="shared" si="69"/>
        <v>0.32483175850000001</v>
      </c>
      <c r="AL75" s="175"/>
      <c r="AM75" s="157"/>
      <c r="AN75" s="152" t="s">
        <v>19</v>
      </c>
      <c r="AO75" s="579" t="s">
        <v>905</v>
      </c>
      <c r="AP75" s="558"/>
      <c r="AQ75" s="93"/>
    </row>
    <row r="76" spans="1:43" ht="38.25" customHeight="1" thickBot="1">
      <c r="A76" s="315" t="s">
        <v>458</v>
      </c>
      <c r="B76" s="138"/>
      <c r="C76" s="826"/>
      <c r="D76" s="223"/>
      <c r="E76" s="861"/>
      <c r="F76" s="139"/>
      <c r="G76" s="139"/>
      <c r="H76" s="140">
        <f>+SUMPRODUCT(H77:H78,W77:W78)</f>
        <v>0</v>
      </c>
      <c r="I76" s="140">
        <f>+SUMPRODUCT(I77:I78,X77:X78)</f>
        <v>1</v>
      </c>
      <c r="J76" s="243"/>
      <c r="K76" s="243"/>
      <c r="L76" s="244"/>
      <c r="M76" s="245"/>
      <c r="N76" s="138"/>
      <c r="O76" s="243"/>
      <c r="P76" s="243"/>
      <c r="Q76" s="243"/>
      <c r="R76" s="163"/>
      <c r="S76" s="243"/>
      <c r="T76" s="246"/>
      <c r="U76" s="258"/>
      <c r="V76" s="177">
        <f>+SUMPRODUCT(V77:V78,W77:W78)</f>
        <v>0.25</v>
      </c>
      <c r="W76" s="879">
        <v>0.7</v>
      </c>
      <c r="X76" s="471">
        <v>0.3</v>
      </c>
      <c r="Y76" s="144">
        <f>SUM(Y77:Y78)</f>
        <v>100000000</v>
      </c>
      <c r="Z76" s="144">
        <f>SUM(Z77:Z78)</f>
        <v>0</v>
      </c>
      <c r="AA76" s="144">
        <f>SUM(AA77:AA78)</f>
        <v>99611316</v>
      </c>
      <c r="AB76" s="272">
        <f t="shared" si="66"/>
        <v>0.99611316000000005</v>
      </c>
      <c r="AC76" s="144">
        <f>SUM(AC77:AC78)</f>
        <v>97397324</v>
      </c>
      <c r="AD76" s="143">
        <f t="shared" si="67"/>
        <v>0.97397323999999996</v>
      </c>
      <c r="AE76" s="144">
        <f>SUM(AE77:AE78)</f>
        <v>2213992</v>
      </c>
      <c r="AF76" s="144">
        <f>SUM(AF77:AF78)</f>
        <v>256405652.19999999</v>
      </c>
      <c r="AG76" s="144">
        <f>SUM(AG77:AG78)</f>
        <v>35763792</v>
      </c>
      <c r="AH76" s="613">
        <f t="shared" si="68"/>
        <v>0.13948129338468618</v>
      </c>
      <c r="AI76" s="144">
        <f>SUM(AI77:AI78)</f>
        <v>1400000000</v>
      </c>
      <c r="AJ76" s="144">
        <f>SUM(AJ77:AJ78)</f>
        <v>99611316</v>
      </c>
      <c r="AK76" s="276">
        <f t="shared" si="69"/>
        <v>7.1150939999999996E-2</v>
      </c>
      <c r="AL76" s="165"/>
      <c r="AM76" s="165"/>
      <c r="AN76" s="553"/>
      <c r="AO76" s="144"/>
      <c r="AP76" s="557"/>
      <c r="AQ76" s="98"/>
    </row>
    <row r="77" spans="1:43" ht="29.25" customHeight="1">
      <c r="A77" s="327" t="s">
        <v>557</v>
      </c>
      <c r="B77" s="433" t="s">
        <v>748</v>
      </c>
      <c r="C77" s="391">
        <v>0</v>
      </c>
      <c r="D77" s="391">
        <v>0</v>
      </c>
      <c r="E77" s="858">
        <v>0</v>
      </c>
      <c r="F77" s="147">
        <v>0</v>
      </c>
      <c r="G77" s="147"/>
      <c r="H77" s="180">
        <v>0</v>
      </c>
      <c r="I77" s="148">
        <v>0</v>
      </c>
      <c r="J77" s="204"/>
      <c r="K77" s="204"/>
      <c r="L77" s="101"/>
      <c r="M77" s="104"/>
      <c r="N77" s="146"/>
      <c r="O77" s="204"/>
      <c r="P77" s="204"/>
      <c r="Q77" s="204"/>
      <c r="R77" s="150"/>
      <c r="S77" s="204"/>
      <c r="T77" s="236">
        <v>4</v>
      </c>
      <c r="U77" s="242">
        <f t="shared" ref="U77:U78" si="70">SUM(E77:F77)</f>
        <v>0</v>
      </c>
      <c r="V77" s="153">
        <f t="shared" ref="V77:V78" si="71">IF(U77/T77&gt;=100%,100%,U77/T77)</f>
        <v>0</v>
      </c>
      <c r="W77" s="884">
        <v>0</v>
      </c>
      <c r="X77" s="472">
        <v>0</v>
      </c>
      <c r="Y77" s="525">
        <v>0</v>
      </c>
      <c r="Z77" s="512"/>
      <c r="AA77" s="154">
        <v>0</v>
      </c>
      <c r="AB77" s="273" t="e">
        <f t="shared" si="66"/>
        <v>#DIV/0!</v>
      </c>
      <c r="AC77" s="268"/>
      <c r="AD77" s="152" t="e">
        <f t="shared" si="67"/>
        <v>#DIV/0!</v>
      </c>
      <c r="AE77" s="512"/>
      <c r="AF77" s="154"/>
      <c r="AG77" s="154"/>
      <c r="AH77" s="614" t="e">
        <f t="shared" si="68"/>
        <v>#DIV/0!</v>
      </c>
      <c r="AI77" s="249">
        <v>1000000000</v>
      </c>
      <c r="AJ77" s="249">
        <f t="shared" ref="AJ77:AJ78" si="72">+SUM(Z77:AA77)</f>
        <v>0</v>
      </c>
      <c r="AK77" s="277">
        <f t="shared" si="69"/>
        <v>0</v>
      </c>
      <c r="AL77" s="157"/>
      <c r="AM77" s="157"/>
      <c r="AN77" s="152" t="s">
        <v>19</v>
      </c>
      <c r="AO77" s="580" t="s">
        <v>903</v>
      </c>
      <c r="AP77" s="558"/>
      <c r="AQ77" s="93"/>
    </row>
    <row r="78" spans="1:43" ht="29.25" customHeight="1" thickBot="1">
      <c r="A78" s="327" t="s">
        <v>558</v>
      </c>
      <c r="B78" s="434" t="s">
        <v>749</v>
      </c>
      <c r="C78" s="828">
        <v>1</v>
      </c>
      <c r="D78" s="391">
        <v>1</v>
      </c>
      <c r="E78" s="860">
        <v>0</v>
      </c>
      <c r="F78" s="147">
        <v>1</v>
      </c>
      <c r="G78" s="147"/>
      <c r="H78" s="180">
        <f t="shared" ref="H78" si="73">IF((E78+G78)/C78&gt;=100%,100%,(E78+G78)/C78)</f>
        <v>0</v>
      </c>
      <c r="I78" s="148">
        <f t="shared" ref="I78" si="74">IF(F78/D78&gt;=100%,100%,F78/D78)</f>
        <v>1</v>
      </c>
      <c r="J78" s="204"/>
      <c r="K78" s="204"/>
      <c r="L78" s="101"/>
      <c r="M78" s="104"/>
      <c r="N78" s="146"/>
      <c r="O78" s="204"/>
      <c r="P78" s="204"/>
      <c r="Q78" s="204"/>
      <c r="R78" s="150"/>
      <c r="S78" s="204"/>
      <c r="T78" s="242">
        <v>4</v>
      </c>
      <c r="U78" s="242">
        <f t="shared" si="70"/>
        <v>1</v>
      </c>
      <c r="V78" s="153">
        <f t="shared" si="71"/>
        <v>0.25</v>
      </c>
      <c r="W78" s="885">
        <v>1</v>
      </c>
      <c r="X78" s="472">
        <v>1</v>
      </c>
      <c r="Y78" s="526">
        <v>100000000</v>
      </c>
      <c r="Z78" s="359">
        <v>0</v>
      </c>
      <c r="AA78" s="154">
        <v>99611316</v>
      </c>
      <c r="AB78" s="273">
        <f t="shared" si="66"/>
        <v>0.99611316000000005</v>
      </c>
      <c r="AC78" s="268">
        <v>97397324</v>
      </c>
      <c r="AD78" s="151">
        <f t="shared" si="67"/>
        <v>0.97397323999999996</v>
      </c>
      <c r="AE78" s="156">
        <f>+AA78-AC78</f>
        <v>2213992</v>
      </c>
      <c r="AF78" s="154">
        <v>256405652.19999999</v>
      </c>
      <c r="AG78" s="154">
        <v>35763792</v>
      </c>
      <c r="AH78" s="614">
        <f t="shared" si="68"/>
        <v>0.13948129338468618</v>
      </c>
      <c r="AI78" s="249">
        <v>400000000</v>
      </c>
      <c r="AJ78" s="249">
        <f t="shared" si="72"/>
        <v>99611316</v>
      </c>
      <c r="AK78" s="277">
        <f t="shared" si="69"/>
        <v>0.24902829000000001</v>
      </c>
      <c r="AL78" s="157"/>
      <c r="AM78" s="157"/>
      <c r="AN78" s="152" t="s">
        <v>19</v>
      </c>
      <c r="AO78" s="580" t="s">
        <v>903</v>
      </c>
      <c r="AP78" s="558"/>
      <c r="AQ78" s="93"/>
    </row>
    <row r="79" spans="1:43" ht="40.5" customHeight="1" thickBot="1">
      <c r="A79" s="314" t="s">
        <v>425</v>
      </c>
      <c r="B79" s="413"/>
      <c r="C79" s="829"/>
      <c r="D79" s="222"/>
      <c r="E79" s="868"/>
      <c r="F79" s="129"/>
      <c r="G79" s="129"/>
      <c r="H79" s="130">
        <f>+(H80*W80)+(H92*W92)+(H97*W97)</f>
        <v>0.86</v>
      </c>
      <c r="I79" s="130">
        <f>+(I80*X80)+(I92*X92)+(I97*X97)</f>
        <v>0.6069090909090914</v>
      </c>
      <c r="J79" s="132"/>
      <c r="K79" s="132"/>
      <c r="L79" s="132"/>
      <c r="M79" s="133"/>
      <c r="N79" s="133"/>
      <c r="O79" s="132"/>
      <c r="P79" s="132"/>
      <c r="Q79" s="132"/>
      <c r="R79" s="159"/>
      <c r="S79" s="132"/>
      <c r="T79" s="230"/>
      <c r="U79" s="257"/>
      <c r="V79" s="465">
        <f>+(V80*W80)+(V92*W92)+(V97*W97)</f>
        <v>0.53845901639344262</v>
      </c>
      <c r="W79" s="883">
        <v>0.4</v>
      </c>
      <c r="X79" s="470">
        <v>0.4</v>
      </c>
      <c r="Y79" s="135">
        <f>+Y80+Y92+Y97</f>
        <v>3145300000</v>
      </c>
      <c r="Z79" s="135">
        <f>+Z80+Z92+Z97</f>
        <v>0</v>
      </c>
      <c r="AA79" s="135">
        <f>+AA80+AA92+AA97</f>
        <v>3138727280</v>
      </c>
      <c r="AB79" s="271">
        <f t="shared" si="66"/>
        <v>0.99791030426350424</v>
      </c>
      <c r="AC79" s="135">
        <f>+AC80+AC92+AC97</f>
        <v>3022454871</v>
      </c>
      <c r="AD79" s="552">
        <f t="shared" si="67"/>
        <v>0.96094327123008938</v>
      </c>
      <c r="AE79" s="135">
        <f>+AE80+AE92+AE97</f>
        <v>105174803</v>
      </c>
      <c r="AF79" s="135">
        <f>+AF80+AF92+AF97</f>
        <v>554459817</v>
      </c>
      <c r="AG79" s="135">
        <f>+AG80+AG92+AG97</f>
        <v>552311447</v>
      </c>
      <c r="AH79" s="612">
        <f t="shared" si="68"/>
        <v>0.99612529179909892</v>
      </c>
      <c r="AI79" s="135">
        <f t="shared" ref="AI79:AJ79" si="75">+AI80+AI92+AI97</f>
        <v>12120000000</v>
      </c>
      <c r="AJ79" s="135">
        <f t="shared" si="75"/>
        <v>3138727280</v>
      </c>
      <c r="AK79" s="199">
        <f t="shared" si="69"/>
        <v>0.258970897689769</v>
      </c>
      <c r="AL79" s="160"/>
      <c r="AM79" s="160" t="s">
        <v>294</v>
      </c>
      <c r="AN79" s="136"/>
      <c r="AO79" s="135"/>
      <c r="AP79" s="556"/>
      <c r="AQ79" s="97"/>
    </row>
    <row r="80" spans="1:43" ht="40.5" customHeight="1" thickBot="1">
      <c r="A80" s="315" t="s">
        <v>459</v>
      </c>
      <c r="B80" s="138"/>
      <c r="C80" s="826"/>
      <c r="D80" s="223"/>
      <c r="E80" s="861"/>
      <c r="F80" s="139"/>
      <c r="G80" s="139"/>
      <c r="H80" s="161">
        <f>+SUMPRODUCT(H81:H91,W81:W91)</f>
        <v>0.8</v>
      </c>
      <c r="I80" s="161">
        <f>+SUMPRODUCT(I81:I91,X81:X91)</f>
        <v>0.70129870129870198</v>
      </c>
      <c r="J80" s="141"/>
      <c r="K80" s="141"/>
      <c r="L80" s="141"/>
      <c r="M80" s="142"/>
      <c r="N80" s="142"/>
      <c r="O80" s="141"/>
      <c r="P80" s="141"/>
      <c r="Q80" s="141"/>
      <c r="R80" s="163"/>
      <c r="S80" s="141"/>
      <c r="T80" s="231"/>
      <c r="U80" s="258"/>
      <c r="V80" s="177">
        <f>+SUMPRODUCT(V81:V91,W81:W91)</f>
        <v>0.53</v>
      </c>
      <c r="W80" s="879">
        <v>0.7</v>
      </c>
      <c r="X80" s="471">
        <v>0.7</v>
      </c>
      <c r="Y80" s="144">
        <f>SUM(Y81:Y91)</f>
        <v>2720300000</v>
      </c>
      <c r="Z80" s="144">
        <f>SUM(Z81:Z91)</f>
        <v>0</v>
      </c>
      <c r="AA80" s="144">
        <f>SUM(AA81:AA91)</f>
        <v>2714064642</v>
      </c>
      <c r="AB80" s="272">
        <f t="shared" si="66"/>
        <v>0.99770784178215643</v>
      </c>
      <c r="AC80" s="144">
        <f>SUM(AC81:AC91)</f>
        <v>2603319345</v>
      </c>
      <c r="AD80" s="143">
        <f t="shared" si="67"/>
        <v>0.95699714921148404</v>
      </c>
      <c r="AE80" s="144">
        <f>SUM(AE81:AE91)</f>
        <v>99647691</v>
      </c>
      <c r="AF80" s="144">
        <f>SUM(AF81:AF91)</f>
        <v>214101948</v>
      </c>
      <c r="AG80" s="144">
        <f>SUM(AG81:AG91)</f>
        <v>213186143</v>
      </c>
      <c r="AH80" s="613">
        <f t="shared" si="68"/>
        <v>0.99572257511641138</v>
      </c>
      <c r="AI80" s="144">
        <f t="shared" ref="AI80:AJ80" si="76">SUM(AI81:AI91)</f>
        <v>10160000000</v>
      </c>
      <c r="AJ80" s="144">
        <f t="shared" si="76"/>
        <v>2714064642</v>
      </c>
      <c r="AK80" s="276">
        <f t="shared" si="69"/>
        <v>0.2671323466535433</v>
      </c>
      <c r="AL80" s="165"/>
      <c r="AM80" s="165"/>
      <c r="AN80" s="553"/>
      <c r="AO80" s="144"/>
      <c r="AP80" s="557"/>
      <c r="AQ80" s="98"/>
    </row>
    <row r="81" spans="1:43" ht="40.5" customHeight="1">
      <c r="A81" s="328" t="s">
        <v>559</v>
      </c>
      <c r="B81" s="435" t="s">
        <v>752</v>
      </c>
      <c r="C81" s="388">
        <v>2</v>
      </c>
      <c r="D81" s="388">
        <v>0</v>
      </c>
      <c r="E81" s="865">
        <v>0</v>
      </c>
      <c r="F81" s="147">
        <v>0</v>
      </c>
      <c r="G81" s="147">
        <v>1</v>
      </c>
      <c r="H81" s="180">
        <f t="shared" ref="H81:H91" si="77">IF((E81+G81)/C81&gt;=100%,100%,(E81+G81)/C81)</f>
        <v>0.5</v>
      </c>
      <c r="I81" s="148">
        <v>0</v>
      </c>
      <c r="J81" s="149"/>
      <c r="K81" s="149"/>
      <c r="L81" s="101"/>
      <c r="M81" s="104"/>
      <c r="N81" s="146"/>
      <c r="O81" s="149"/>
      <c r="P81" s="149"/>
      <c r="Q81" s="149"/>
      <c r="R81" s="150"/>
      <c r="S81" s="149"/>
      <c r="T81" s="242">
        <v>3</v>
      </c>
      <c r="U81" s="242">
        <f>SUM(E81:F81)</f>
        <v>0</v>
      </c>
      <c r="V81" s="153">
        <f>IF(U81/T81&gt;=100%,100%,U81/T81)</f>
        <v>0</v>
      </c>
      <c r="W81" s="884">
        <v>0.2</v>
      </c>
      <c r="X81" s="472">
        <v>0</v>
      </c>
      <c r="Y81" s="527">
        <v>0</v>
      </c>
      <c r="Z81" s="359"/>
      <c r="AA81" s="154">
        <v>0</v>
      </c>
      <c r="AB81" s="273" t="e">
        <f t="shared" si="66"/>
        <v>#DIV/0!</v>
      </c>
      <c r="AC81" s="268"/>
      <c r="AD81" s="151" t="e">
        <f t="shared" si="67"/>
        <v>#DIV/0!</v>
      </c>
      <c r="AE81" s="156">
        <f>+AA81-AC81</f>
        <v>0</v>
      </c>
      <c r="AF81" s="154">
        <v>7392797</v>
      </c>
      <c r="AG81" s="154">
        <v>7129592</v>
      </c>
      <c r="AH81" s="614">
        <f t="shared" si="68"/>
        <v>0.96439710166531012</v>
      </c>
      <c r="AI81" s="250">
        <v>960000000</v>
      </c>
      <c r="AJ81" s="250">
        <f>+SUM(Z81:AA81)</f>
        <v>0</v>
      </c>
      <c r="AK81" s="277">
        <f t="shared" si="69"/>
        <v>0</v>
      </c>
      <c r="AL81" s="157"/>
      <c r="AM81" s="157"/>
      <c r="AN81" s="152" t="s">
        <v>14</v>
      </c>
      <c r="AO81" s="576" t="s">
        <v>901</v>
      </c>
      <c r="AP81" s="558"/>
      <c r="AQ81" s="93"/>
    </row>
    <row r="82" spans="1:43" ht="40.5" customHeight="1">
      <c r="A82" s="329" t="s">
        <v>560</v>
      </c>
      <c r="B82" s="435" t="s">
        <v>753</v>
      </c>
      <c r="C82" s="388">
        <v>0</v>
      </c>
      <c r="D82" s="388">
        <v>1</v>
      </c>
      <c r="E82" s="859">
        <v>0</v>
      </c>
      <c r="F82" s="679">
        <v>1</v>
      </c>
      <c r="G82" s="147"/>
      <c r="H82" s="180">
        <v>0</v>
      </c>
      <c r="I82" s="148">
        <f t="shared" ref="I82:I91" si="78">IF(F82/D82&gt;=100%,100%,F82/D82)</f>
        <v>1</v>
      </c>
      <c r="J82" s="149"/>
      <c r="K82" s="149"/>
      <c r="L82" s="101"/>
      <c r="M82" s="104"/>
      <c r="N82" s="146"/>
      <c r="O82" s="149"/>
      <c r="P82" s="149"/>
      <c r="Q82" s="149"/>
      <c r="R82" s="150"/>
      <c r="S82" s="149"/>
      <c r="T82" s="242">
        <v>3</v>
      </c>
      <c r="U82" s="242">
        <f t="shared" ref="U82:U84" si="79">SUM(E82:F82)</f>
        <v>1</v>
      </c>
      <c r="V82" s="153">
        <f t="shared" ref="V82:V84" si="80">IF(U82/T82&gt;=100%,100%,U82/T82)</f>
        <v>0.33333333333333331</v>
      </c>
      <c r="W82" s="881">
        <v>0</v>
      </c>
      <c r="X82" s="673">
        <f t="shared" ref="X82:X87" si="81">+W82*1.2987012987013</f>
        <v>0</v>
      </c>
      <c r="Y82" s="528">
        <v>350000000</v>
      </c>
      <c r="Z82" s="359">
        <v>0</v>
      </c>
      <c r="AA82" s="154">
        <v>349413380</v>
      </c>
      <c r="AB82" s="273">
        <f t="shared" si="66"/>
        <v>0.99832394285714288</v>
      </c>
      <c r="AC82" s="268">
        <v>346183084</v>
      </c>
      <c r="AD82" s="152">
        <f t="shared" si="67"/>
        <v>0.98909452571428569</v>
      </c>
      <c r="AE82" s="512"/>
      <c r="AF82" s="154"/>
      <c r="AG82" s="154"/>
      <c r="AH82" s="614" t="e">
        <f t="shared" si="68"/>
        <v>#DIV/0!</v>
      </c>
      <c r="AI82" s="250">
        <v>1200000000</v>
      </c>
      <c r="AJ82" s="250">
        <f t="shared" ref="AJ82:AJ91" si="82">+SUM(Z82:AA82)</f>
        <v>349413380</v>
      </c>
      <c r="AK82" s="912">
        <f t="shared" si="69"/>
        <v>0.29117781666666664</v>
      </c>
      <c r="AL82" s="157"/>
      <c r="AM82" s="157"/>
      <c r="AN82" s="152" t="s">
        <v>14</v>
      </c>
      <c r="AO82" s="576" t="s">
        <v>901</v>
      </c>
      <c r="AP82" s="558"/>
      <c r="AQ82" s="93"/>
    </row>
    <row r="83" spans="1:43" ht="40.5" customHeight="1" thickBot="1">
      <c r="A83" s="329" t="s">
        <v>561</v>
      </c>
      <c r="B83" s="435" t="s">
        <v>754</v>
      </c>
      <c r="C83" s="388">
        <v>0.1</v>
      </c>
      <c r="D83" s="388">
        <v>100</v>
      </c>
      <c r="E83" s="859">
        <v>0</v>
      </c>
      <c r="F83" s="147">
        <v>100</v>
      </c>
      <c r="G83" s="684">
        <v>0.1</v>
      </c>
      <c r="H83" s="180">
        <f t="shared" si="77"/>
        <v>1</v>
      </c>
      <c r="I83" s="148">
        <f t="shared" si="78"/>
        <v>1</v>
      </c>
      <c r="J83" s="149"/>
      <c r="K83" s="149"/>
      <c r="L83" s="101"/>
      <c r="M83" s="104"/>
      <c r="N83" s="146"/>
      <c r="O83" s="149"/>
      <c r="P83" s="149"/>
      <c r="Q83" s="149"/>
      <c r="R83" s="150"/>
      <c r="S83" s="149"/>
      <c r="T83" s="242">
        <v>200</v>
      </c>
      <c r="U83" s="242">
        <f t="shared" si="79"/>
        <v>100</v>
      </c>
      <c r="V83" s="153">
        <f t="shared" si="80"/>
        <v>0.5</v>
      </c>
      <c r="W83" s="881">
        <v>0.18</v>
      </c>
      <c r="X83" s="673">
        <f t="shared" si="81"/>
        <v>0.23376623376623398</v>
      </c>
      <c r="Y83" s="629">
        <v>428000000</v>
      </c>
      <c r="Z83" s="630"/>
      <c r="AA83" s="154">
        <v>425207843</v>
      </c>
      <c r="AB83" s="273">
        <f t="shared" si="66"/>
        <v>0.99347626869158878</v>
      </c>
      <c r="AC83" s="268">
        <v>422120093</v>
      </c>
      <c r="AD83" s="152">
        <f t="shared" si="67"/>
        <v>0.98626189953271026</v>
      </c>
      <c r="AE83" s="156">
        <f>+AA83-AC83</f>
        <v>3087750</v>
      </c>
      <c r="AF83" s="154">
        <v>21770880</v>
      </c>
      <c r="AG83" s="154">
        <v>21715850</v>
      </c>
      <c r="AH83" s="614">
        <f t="shared" si="68"/>
        <v>0.99747231163829853</v>
      </c>
      <c r="AI83" s="250">
        <v>1000000000</v>
      </c>
      <c r="AJ83" s="250">
        <f t="shared" si="82"/>
        <v>425207843</v>
      </c>
      <c r="AK83" s="912">
        <f t="shared" si="69"/>
        <v>0.42520784299999997</v>
      </c>
      <c r="AL83" s="157"/>
      <c r="AM83" s="157"/>
      <c r="AN83" s="152" t="s">
        <v>18</v>
      </c>
      <c r="AO83" s="576" t="s">
        <v>901</v>
      </c>
      <c r="AP83" s="558"/>
      <c r="AQ83" s="93"/>
    </row>
    <row r="84" spans="1:43" ht="40.5" customHeight="1">
      <c r="A84" s="329" t="s">
        <v>562</v>
      </c>
      <c r="B84" s="436" t="s">
        <v>750</v>
      </c>
      <c r="C84" s="388">
        <v>0</v>
      </c>
      <c r="D84" s="388">
        <v>50</v>
      </c>
      <c r="E84" s="859">
        <v>0</v>
      </c>
      <c r="F84" s="147">
        <v>63</v>
      </c>
      <c r="G84" s="147"/>
      <c r="H84" s="180">
        <v>0</v>
      </c>
      <c r="I84" s="148">
        <f t="shared" si="78"/>
        <v>1</v>
      </c>
      <c r="J84" s="149"/>
      <c r="K84" s="149"/>
      <c r="L84" s="101"/>
      <c r="M84" s="104"/>
      <c r="N84" s="146"/>
      <c r="O84" s="149"/>
      <c r="P84" s="149"/>
      <c r="Q84" s="149"/>
      <c r="R84" s="150"/>
      <c r="S84" s="149"/>
      <c r="T84" s="242">
        <v>100</v>
      </c>
      <c r="U84" s="242">
        <f t="shared" si="79"/>
        <v>63</v>
      </c>
      <c r="V84" s="153">
        <f t="shared" si="80"/>
        <v>0.63</v>
      </c>
      <c r="W84" s="881">
        <v>0</v>
      </c>
      <c r="X84" s="673">
        <f t="shared" si="81"/>
        <v>0</v>
      </c>
      <c r="Y84" s="528">
        <v>67300000</v>
      </c>
      <c r="Z84" s="359">
        <v>0</v>
      </c>
      <c r="AA84" s="154">
        <v>66525102</v>
      </c>
      <c r="AB84" s="273">
        <f t="shared" si="66"/>
        <v>0.98848591381872219</v>
      </c>
      <c r="AC84" s="268">
        <v>63484848</v>
      </c>
      <c r="AD84" s="152">
        <f t="shared" si="67"/>
        <v>0.94331126300148593</v>
      </c>
      <c r="AE84" s="512"/>
      <c r="AF84" s="154"/>
      <c r="AG84" s="154"/>
      <c r="AH84" s="614" t="e">
        <f t="shared" si="68"/>
        <v>#DIV/0!</v>
      </c>
      <c r="AI84" s="250">
        <v>1700000000</v>
      </c>
      <c r="AJ84" s="250">
        <f t="shared" si="82"/>
        <v>66525102</v>
      </c>
      <c r="AK84" s="912">
        <f t="shared" si="69"/>
        <v>3.9132412941176468E-2</v>
      </c>
      <c r="AL84" s="157"/>
      <c r="AM84" s="157"/>
      <c r="AN84" s="152" t="s">
        <v>302</v>
      </c>
      <c r="AO84" s="576" t="s">
        <v>906</v>
      </c>
      <c r="AP84" s="558"/>
      <c r="AQ84" s="93"/>
    </row>
    <row r="85" spans="1:43" ht="40.5" customHeight="1">
      <c r="A85" s="329" t="s">
        <v>563</v>
      </c>
      <c r="B85" s="435" t="s">
        <v>755</v>
      </c>
      <c r="C85" s="388">
        <v>0</v>
      </c>
      <c r="D85" s="388">
        <v>750</v>
      </c>
      <c r="E85" s="859">
        <v>0</v>
      </c>
      <c r="F85" s="147">
        <v>0</v>
      </c>
      <c r="G85" s="147"/>
      <c r="H85" s="180">
        <v>0</v>
      </c>
      <c r="I85" s="148">
        <f t="shared" si="78"/>
        <v>0</v>
      </c>
      <c r="J85" s="149"/>
      <c r="K85" s="149"/>
      <c r="L85" s="101"/>
      <c r="M85" s="104"/>
      <c r="N85" s="146"/>
      <c r="O85" s="149"/>
      <c r="P85" s="149"/>
      <c r="Q85" s="149"/>
      <c r="R85" s="150"/>
      <c r="S85" s="149"/>
      <c r="T85" s="242">
        <v>1500</v>
      </c>
      <c r="U85" s="242">
        <f>SUM(E85:F85)</f>
        <v>0</v>
      </c>
      <c r="V85" s="153">
        <f>IF(U85/T85&gt;=100%,100%,U85/T85)</f>
        <v>0</v>
      </c>
      <c r="W85" s="881">
        <v>0</v>
      </c>
      <c r="X85" s="673">
        <f t="shared" si="81"/>
        <v>0</v>
      </c>
      <c r="Y85" s="528">
        <v>350000000</v>
      </c>
      <c r="Z85" s="359">
        <v>0</v>
      </c>
      <c r="AA85" s="154">
        <v>349613127</v>
      </c>
      <c r="AB85" s="273">
        <f t="shared" si="66"/>
        <v>0.99889464857142862</v>
      </c>
      <c r="AC85" s="268">
        <v>347348899</v>
      </c>
      <c r="AD85" s="152">
        <f t="shared" si="67"/>
        <v>0.99242542571428571</v>
      </c>
      <c r="AE85" s="512"/>
      <c r="AF85" s="154"/>
      <c r="AG85" s="154"/>
      <c r="AH85" s="614" t="e">
        <f t="shared" si="68"/>
        <v>#DIV/0!</v>
      </c>
      <c r="AI85" s="250">
        <v>1200000000</v>
      </c>
      <c r="AJ85" s="250">
        <f t="shared" si="82"/>
        <v>349613127</v>
      </c>
      <c r="AK85" s="912">
        <f t="shared" si="69"/>
        <v>0.2913442725</v>
      </c>
      <c r="AL85" s="157"/>
      <c r="AM85" s="157"/>
      <c r="AN85" s="152" t="s">
        <v>11</v>
      </c>
      <c r="AO85" s="576" t="s">
        <v>906</v>
      </c>
      <c r="AP85" s="558"/>
      <c r="AQ85" s="93"/>
    </row>
    <row r="86" spans="1:43" ht="40.5" customHeight="1">
      <c r="A86" s="329" t="s">
        <v>564</v>
      </c>
      <c r="B86" s="435" t="s">
        <v>756</v>
      </c>
      <c r="C86" s="388">
        <v>0</v>
      </c>
      <c r="D86" s="388">
        <v>2</v>
      </c>
      <c r="E86" s="859">
        <v>0</v>
      </c>
      <c r="F86" s="147">
        <v>2</v>
      </c>
      <c r="G86" s="147"/>
      <c r="H86" s="180">
        <v>0</v>
      </c>
      <c r="I86" s="148">
        <f t="shared" si="78"/>
        <v>1</v>
      </c>
      <c r="J86" s="149"/>
      <c r="K86" s="149"/>
      <c r="L86" s="101"/>
      <c r="M86" s="104"/>
      <c r="N86" s="146"/>
      <c r="O86" s="149"/>
      <c r="P86" s="149"/>
      <c r="Q86" s="149"/>
      <c r="R86" s="150"/>
      <c r="S86" s="149"/>
      <c r="T86" s="242">
        <v>4</v>
      </c>
      <c r="U86" s="242">
        <f t="shared" ref="U86:U87" si="83">SUM(E86:F86)</f>
        <v>2</v>
      </c>
      <c r="V86" s="153">
        <f t="shared" ref="V86:V87" si="84">IF(U86/T86&gt;=100%,100%,U86/T86)</f>
        <v>0.5</v>
      </c>
      <c r="W86" s="881">
        <v>0</v>
      </c>
      <c r="X86" s="673">
        <f t="shared" si="81"/>
        <v>0</v>
      </c>
      <c r="Y86" s="528">
        <v>350000000</v>
      </c>
      <c r="Z86" s="359">
        <v>0</v>
      </c>
      <c r="AA86" s="154">
        <v>349613127</v>
      </c>
      <c r="AB86" s="273">
        <f t="shared" si="66"/>
        <v>0.99889464857142862</v>
      </c>
      <c r="AC86" s="268">
        <v>347050299</v>
      </c>
      <c r="AD86" s="152">
        <f t="shared" si="67"/>
        <v>0.99157228285714283</v>
      </c>
      <c r="AE86" s="512"/>
      <c r="AF86" s="154"/>
      <c r="AG86" s="154"/>
      <c r="AH86" s="614" t="e">
        <f t="shared" si="68"/>
        <v>#DIV/0!</v>
      </c>
      <c r="AI86" s="250">
        <v>1200000000</v>
      </c>
      <c r="AJ86" s="250">
        <f t="shared" si="82"/>
        <v>349613127</v>
      </c>
      <c r="AK86" s="912">
        <f t="shared" si="69"/>
        <v>0.2913442725</v>
      </c>
      <c r="AL86" s="157"/>
      <c r="AM86" s="157"/>
      <c r="AN86" s="152" t="s">
        <v>14</v>
      </c>
      <c r="AO86" s="576" t="s">
        <v>901</v>
      </c>
      <c r="AP86" s="558"/>
      <c r="AQ86" s="93"/>
    </row>
    <row r="87" spans="1:43" ht="40.5" customHeight="1">
      <c r="A87" s="329" t="s">
        <v>566</v>
      </c>
      <c r="B87" s="435" t="s">
        <v>757</v>
      </c>
      <c r="C87" s="388">
        <v>2</v>
      </c>
      <c r="D87" s="388">
        <v>2</v>
      </c>
      <c r="E87" s="859">
        <v>2</v>
      </c>
      <c r="F87" s="147">
        <v>2</v>
      </c>
      <c r="G87" s="147"/>
      <c r="H87" s="180">
        <f t="shared" si="77"/>
        <v>1</v>
      </c>
      <c r="I87" s="148">
        <f t="shared" si="78"/>
        <v>1</v>
      </c>
      <c r="J87" s="149"/>
      <c r="K87" s="149"/>
      <c r="L87" s="101"/>
      <c r="M87" s="104"/>
      <c r="N87" s="146"/>
      <c r="O87" s="149"/>
      <c r="P87" s="149"/>
      <c r="Q87" s="149"/>
      <c r="R87" s="150"/>
      <c r="S87" s="149"/>
      <c r="T87" s="242">
        <v>4</v>
      </c>
      <c r="U87" s="242">
        <f t="shared" si="83"/>
        <v>4</v>
      </c>
      <c r="V87" s="153">
        <f t="shared" si="84"/>
        <v>1</v>
      </c>
      <c r="W87" s="881">
        <v>0.16</v>
      </c>
      <c r="X87" s="673">
        <f t="shared" si="81"/>
        <v>0.207792207792208</v>
      </c>
      <c r="Y87" s="527">
        <v>300000000</v>
      </c>
      <c r="Z87" s="359">
        <v>0</v>
      </c>
      <c r="AA87" s="154">
        <v>299660398</v>
      </c>
      <c r="AB87" s="273">
        <f t="shared" si="66"/>
        <v>0.99886799333333331</v>
      </c>
      <c r="AC87" s="268">
        <v>297396474</v>
      </c>
      <c r="AD87" s="151">
        <f t="shared" si="67"/>
        <v>0.99132158000000004</v>
      </c>
      <c r="AE87" s="156">
        <f>+AA87-AC87</f>
        <v>2263924</v>
      </c>
      <c r="AF87" s="154">
        <v>132300343</v>
      </c>
      <c r="AG87" s="154">
        <v>132171341</v>
      </c>
      <c r="AH87" s="614">
        <f t="shared" si="68"/>
        <v>0.99902493072145704</v>
      </c>
      <c r="AI87" s="250">
        <v>800000000</v>
      </c>
      <c r="AJ87" s="250">
        <f>+SUM(Z87:AA87)</f>
        <v>299660398</v>
      </c>
      <c r="AK87" s="912">
        <f t="shared" si="69"/>
        <v>0.37457549750000002</v>
      </c>
      <c r="AL87" s="157"/>
      <c r="AM87" s="157"/>
      <c r="AN87" s="152" t="s">
        <v>14</v>
      </c>
      <c r="AO87" s="576" t="s">
        <v>891</v>
      </c>
      <c r="AP87" s="558"/>
      <c r="AQ87" s="93"/>
    </row>
    <row r="88" spans="1:43" ht="40.5" customHeight="1">
      <c r="A88" s="329" t="s">
        <v>565</v>
      </c>
      <c r="B88" s="435" t="s">
        <v>758</v>
      </c>
      <c r="C88" s="388">
        <v>2</v>
      </c>
      <c r="D88" s="388">
        <v>0</v>
      </c>
      <c r="E88" s="859">
        <v>2</v>
      </c>
      <c r="F88" s="147">
        <v>0</v>
      </c>
      <c r="G88" s="147">
        <v>0</v>
      </c>
      <c r="H88" s="180">
        <f t="shared" si="77"/>
        <v>1</v>
      </c>
      <c r="I88" s="148">
        <v>0</v>
      </c>
      <c r="J88" s="149"/>
      <c r="K88" s="149"/>
      <c r="L88" s="101"/>
      <c r="M88" s="104"/>
      <c r="N88" s="146"/>
      <c r="O88" s="149"/>
      <c r="P88" s="149"/>
      <c r="Q88" s="149"/>
      <c r="R88" s="150"/>
      <c r="S88" s="149"/>
      <c r="T88" s="242">
        <v>4</v>
      </c>
      <c r="U88" s="242">
        <f>SUM(E88:F88)</f>
        <v>2</v>
      </c>
      <c r="V88" s="153">
        <f>IF(U88/T88&gt;=100%,100%,U88/T88)</f>
        <v>0.5</v>
      </c>
      <c r="W88" s="881">
        <v>0.16</v>
      </c>
      <c r="X88" s="472">
        <v>0</v>
      </c>
      <c r="Y88" s="527">
        <v>0</v>
      </c>
      <c r="Z88" s="359">
        <v>0</v>
      </c>
      <c r="AA88" s="154">
        <v>0</v>
      </c>
      <c r="AB88" s="273" t="e">
        <f t="shared" si="66"/>
        <v>#DIV/0!</v>
      </c>
      <c r="AC88" s="268"/>
      <c r="AD88" s="151" t="e">
        <f t="shared" si="67"/>
        <v>#DIV/0!</v>
      </c>
      <c r="AE88" s="156">
        <f>+AA88-AC88</f>
        <v>0</v>
      </c>
      <c r="AF88" s="154">
        <v>31382427</v>
      </c>
      <c r="AG88" s="154">
        <v>31244211</v>
      </c>
      <c r="AH88" s="614">
        <f t="shared" si="68"/>
        <v>0.99559575172436476</v>
      </c>
      <c r="AI88" s="250">
        <v>800000000</v>
      </c>
      <c r="AJ88" s="250">
        <f t="shared" si="82"/>
        <v>0</v>
      </c>
      <c r="AK88" s="912">
        <f t="shared" si="69"/>
        <v>0</v>
      </c>
      <c r="AL88" s="157"/>
      <c r="AM88" s="157"/>
      <c r="AN88" s="152" t="s">
        <v>14</v>
      </c>
      <c r="AO88" s="576" t="s">
        <v>901</v>
      </c>
      <c r="AP88" s="558"/>
      <c r="AQ88" s="93"/>
    </row>
    <row r="89" spans="1:43" ht="40.5" customHeight="1">
      <c r="A89" s="329" t="s">
        <v>567</v>
      </c>
      <c r="B89" s="435" t="s">
        <v>759</v>
      </c>
      <c r="C89" s="388">
        <v>2</v>
      </c>
      <c r="D89" s="390">
        <v>2</v>
      </c>
      <c r="E89" s="859">
        <v>2</v>
      </c>
      <c r="F89" s="147">
        <v>2</v>
      </c>
      <c r="G89" s="147"/>
      <c r="H89" s="180">
        <f t="shared" si="77"/>
        <v>1</v>
      </c>
      <c r="I89" s="148">
        <f t="shared" si="78"/>
        <v>1</v>
      </c>
      <c r="J89" s="149"/>
      <c r="K89" s="149"/>
      <c r="L89" s="101"/>
      <c r="M89" s="104"/>
      <c r="N89" s="146"/>
      <c r="O89" s="149"/>
      <c r="P89" s="149"/>
      <c r="Q89" s="149"/>
      <c r="R89" s="150"/>
      <c r="S89" s="149"/>
      <c r="T89" s="242">
        <v>2</v>
      </c>
      <c r="U89" s="242">
        <f t="shared" ref="U89:U91" si="85">SUM(E89:F89)</f>
        <v>4</v>
      </c>
      <c r="V89" s="153">
        <f t="shared" ref="V89:V91" si="86">IF(U89/T89&gt;=100%,100%,U89/T89)</f>
        <v>1</v>
      </c>
      <c r="W89" s="881">
        <v>0.1</v>
      </c>
      <c r="X89" s="673">
        <f>+W89*1.2987012987013</f>
        <v>0.12987012987013</v>
      </c>
      <c r="Y89" s="527">
        <v>700000000</v>
      </c>
      <c r="Z89" s="359">
        <v>0</v>
      </c>
      <c r="AA89" s="154">
        <v>699225102</v>
      </c>
      <c r="AB89" s="273">
        <f t="shared" si="66"/>
        <v>0.99889300285714289</v>
      </c>
      <c r="AC89" s="268">
        <v>665935670</v>
      </c>
      <c r="AD89" s="151">
        <f t="shared" si="67"/>
        <v>0.95133667142857148</v>
      </c>
      <c r="AE89" s="156">
        <f>+AA89-AC89</f>
        <v>33289432</v>
      </c>
      <c r="AF89" s="154">
        <v>9141976</v>
      </c>
      <c r="AG89" s="154">
        <v>8999836</v>
      </c>
      <c r="AH89" s="614">
        <f t="shared" si="68"/>
        <v>0.98445193905562645</v>
      </c>
      <c r="AI89" s="250">
        <v>400000000</v>
      </c>
      <c r="AJ89" s="250">
        <f t="shared" si="82"/>
        <v>699225102</v>
      </c>
      <c r="AK89" s="277">
        <f t="shared" si="69"/>
        <v>1.7480627550000001</v>
      </c>
      <c r="AL89" s="157"/>
      <c r="AM89" s="157"/>
      <c r="AN89" s="152" t="s">
        <v>14</v>
      </c>
      <c r="AO89" s="576" t="s">
        <v>904</v>
      </c>
      <c r="AP89" s="558"/>
      <c r="AQ89" s="93"/>
    </row>
    <row r="90" spans="1:43" ht="52.5" customHeight="1" thickBot="1">
      <c r="A90" s="329" t="s">
        <v>568</v>
      </c>
      <c r="B90" s="435" t="s">
        <v>760</v>
      </c>
      <c r="C90" s="388">
        <v>1</v>
      </c>
      <c r="D90" s="388">
        <v>0</v>
      </c>
      <c r="E90" s="859">
        <v>0</v>
      </c>
      <c r="F90" s="147">
        <v>0</v>
      </c>
      <c r="G90" s="147">
        <v>0</v>
      </c>
      <c r="H90" s="180">
        <f t="shared" si="77"/>
        <v>0</v>
      </c>
      <c r="I90" s="148">
        <v>0</v>
      </c>
      <c r="J90" s="149"/>
      <c r="K90" s="149"/>
      <c r="L90" s="101"/>
      <c r="M90" s="104"/>
      <c r="N90" s="146"/>
      <c r="O90" s="149"/>
      <c r="P90" s="149"/>
      <c r="Q90" s="149"/>
      <c r="R90" s="150"/>
      <c r="S90" s="149"/>
      <c r="T90" s="242">
        <v>2</v>
      </c>
      <c r="U90" s="242">
        <f t="shared" si="85"/>
        <v>0</v>
      </c>
      <c r="V90" s="153">
        <f t="shared" si="86"/>
        <v>0</v>
      </c>
      <c r="W90" s="881">
        <v>0.1</v>
      </c>
      <c r="X90" s="472">
        <v>0</v>
      </c>
      <c r="Y90" s="527">
        <v>0</v>
      </c>
      <c r="Z90" s="359">
        <v>0</v>
      </c>
      <c r="AA90" s="154">
        <v>0</v>
      </c>
      <c r="AB90" s="273" t="e">
        <f t="shared" si="66"/>
        <v>#DIV/0!</v>
      </c>
      <c r="AC90" s="268"/>
      <c r="AD90" s="152" t="e">
        <f t="shared" si="67"/>
        <v>#DIV/0!</v>
      </c>
      <c r="AE90" s="156">
        <f>+AA90-AC90</f>
        <v>0</v>
      </c>
      <c r="AF90" s="154">
        <v>6774734</v>
      </c>
      <c r="AG90" s="154">
        <v>6669452</v>
      </c>
      <c r="AH90" s="614">
        <f t="shared" si="68"/>
        <v>0.98445961125558579</v>
      </c>
      <c r="AI90" s="250">
        <v>500000000</v>
      </c>
      <c r="AJ90" s="250">
        <f>+SUM(Z90:AA90)</f>
        <v>0</v>
      </c>
      <c r="AK90" s="912">
        <f t="shared" si="69"/>
        <v>0</v>
      </c>
      <c r="AL90" s="157"/>
      <c r="AM90" s="157"/>
      <c r="AN90" s="152" t="s">
        <v>14</v>
      </c>
      <c r="AO90" s="2242" t="s">
        <v>904</v>
      </c>
      <c r="AP90" s="558"/>
      <c r="AQ90" s="93"/>
    </row>
    <row r="91" spans="1:43" ht="40.5" customHeight="1" thickBot="1">
      <c r="A91" s="330" t="s">
        <v>569</v>
      </c>
      <c r="B91" s="436" t="s">
        <v>751</v>
      </c>
      <c r="C91" s="389">
        <v>2</v>
      </c>
      <c r="D91" s="388">
        <v>2</v>
      </c>
      <c r="E91" s="866">
        <v>2</v>
      </c>
      <c r="F91" s="147">
        <v>2</v>
      </c>
      <c r="G91" s="147"/>
      <c r="H91" s="180">
        <f t="shared" si="77"/>
        <v>1</v>
      </c>
      <c r="I91" s="148">
        <f t="shared" si="78"/>
        <v>1</v>
      </c>
      <c r="J91" s="149"/>
      <c r="K91" s="149"/>
      <c r="L91" s="101"/>
      <c r="M91" s="104"/>
      <c r="N91" s="146"/>
      <c r="O91" s="149"/>
      <c r="P91" s="149"/>
      <c r="Q91" s="149"/>
      <c r="R91" s="150"/>
      <c r="S91" s="149"/>
      <c r="T91" s="242">
        <v>4</v>
      </c>
      <c r="U91" s="242">
        <f t="shared" si="85"/>
        <v>4</v>
      </c>
      <c r="V91" s="153">
        <f t="shared" si="86"/>
        <v>1</v>
      </c>
      <c r="W91" s="885">
        <v>0.1</v>
      </c>
      <c r="X91" s="673">
        <f>+W91*1.2987012987013</f>
        <v>0.12987012987013</v>
      </c>
      <c r="Y91" s="529">
        <v>175000000</v>
      </c>
      <c r="Z91" s="359">
        <v>0</v>
      </c>
      <c r="AA91" s="154">
        <v>174806563</v>
      </c>
      <c r="AB91" s="273">
        <f t="shared" si="66"/>
        <v>0.99889464571428577</v>
      </c>
      <c r="AC91" s="268">
        <v>113799978</v>
      </c>
      <c r="AD91" s="151">
        <f t="shared" si="67"/>
        <v>0.6502855885714286</v>
      </c>
      <c r="AE91" s="156">
        <f>+AA91-AC91</f>
        <v>61006585</v>
      </c>
      <c r="AF91" s="154">
        <v>5338791</v>
      </c>
      <c r="AG91" s="154">
        <v>5255861</v>
      </c>
      <c r="AH91" s="614">
        <f t="shared" si="68"/>
        <v>0.98446652060363482</v>
      </c>
      <c r="AI91" s="250">
        <v>400000000</v>
      </c>
      <c r="AJ91" s="250">
        <f t="shared" si="82"/>
        <v>174806563</v>
      </c>
      <c r="AK91" s="912">
        <f t="shared" si="69"/>
        <v>0.43701640749999998</v>
      </c>
      <c r="AL91" s="157"/>
      <c r="AM91" s="157"/>
      <c r="AN91" s="152" t="s">
        <v>302</v>
      </c>
      <c r="AO91" s="2205"/>
      <c r="AP91" s="558"/>
      <c r="AQ91" s="93"/>
    </row>
    <row r="92" spans="1:43" ht="54" customHeight="1" thickBot="1">
      <c r="A92" s="331" t="s">
        <v>460</v>
      </c>
      <c r="B92" s="437"/>
      <c r="C92" s="826"/>
      <c r="D92" s="223"/>
      <c r="E92" s="861"/>
      <c r="F92" s="139"/>
      <c r="G92" s="139"/>
      <c r="H92" s="161">
        <f>+SUMPRODUCT(H93:H96,W93:W96)</f>
        <v>1</v>
      </c>
      <c r="I92" s="161">
        <f>+SUMPRODUCT(I93:I96,X93:X96)</f>
        <v>0.58000000000000007</v>
      </c>
      <c r="J92" s="141"/>
      <c r="K92" s="141"/>
      <c r="L92" s="141"/>
      <c r="M92" s="142"/>
      <c r="N92" s="142"/>
      <c r="O92" s="141"/>
      <c r="P92" s="141"/>
      <c r="Q92" s="141"/>
      <c r="R92" s="163"/>
      <c r="S92" s="141"/>
      <c r="T92" s="231"/>
      <c r="U92" s="258"/>
      <c r="V92" s="177">
        <f>+SUMPRODUCT(V93:V96,W93:W96)</f>
        <v>0.71229508196721314</v>
      </c>
      <c r="W92" s="879">
        <v>0.2</v>
      </c>
      <c r="X92" s="471">
        <v>0.2</v>
      </c>
      <c r="Y92" s="144">
        <f>SUM(Y93:Y96)</f>
        <v>325000000</v>
      </c>
      <c r="Z92" s="144">
        <f>SUM(Z93:Z96)</f>
        <v>0</v>
      </c>
      <c r="AA92" s="144">
        <f>SUM(AA93:AA96)</f>
        <v>324714322</v>
      </c>
      <c r="AB92" s="272">
        <f t="shared" si="66"/>
        <v>0.99912099076923078</v>
      </c>
      <c r="AC92" s="144">
        <f>SUM(AC93:AC96)</f>
        <v>320749853</v>
      </c>
      <c r="AD92" s="143">
        <f t="shared" si="67"/>
        <v>0.9869226246153846</v>
      </c>
      <c r="AE92" s="144">
        <f>SUM(AE93:AE96)</f>
        <v>3964469</v>
      </c>
      <c r="AF92" s="144">
        <f>SUM(AF93:AF96)</f>
        <v>323343432</v>
      </c>
      <c r="AG92" s="144">
        <f>SUM(AG93:AG96)</f>
        <v>323034750</v>
      </c>
      <c r="AH92" s="613">
        <f t="shared" si="68"/>
        <v>0.9990453432188473</v>
      </c>
      <c r="AI92" s="144">
        <f>SUM(AI93:AI96)</f>
        <v>1560000000</v>
      </c>
      <c r="AJ92" s="144">
        <f>SUM(AJ93:AJ96)</f>
        <v>324714322</v>
      </c>
      <c r="AK92" s="276">
        <f t="shared" si="69"/>
        <v>0.20815020641025642</v>
      </c>
      <c r="AL92" s="165"/>
      <c r="AM92" s="165"/>
      <c r="AN92" s="553"/>
      <c r="AO92" s="144"/>
      <c r="AP92" s="557"/>
      <c r="AQ92" s="98"/>
    </row>
    <row r="93" spans="1:43" ht="40.5" customHeight="1">
      <c r="A93" s="327" t="s">
        <v>570</v>
      </c>
      <c r="B93" s="430" t="s">
        <v>761</v>
      </c>
      <c r="C93" s="391">
        <v>1</v>
      </c>
      <c r="D93" s="391">
        <v>0</v>
      </c>
      <c r="E93" s="858">
        <v>1</v>
      </c>
      <c r="F93" s="147">
        <v>0</v>
      </c>
      <c r="G93" s="147"/>
      <c r="H93" s="180">
        <f t="shared" ref="H93" si="87">IF((E93+G93)/C93&gt;=100%,100%,(E93+G93)/C93)</f>
        <v>1</v>
      </c>
      <c r="I93" s="148">
        <v>0</v>
      </c>
      <c r="J93" s="149"/>
      <c r="K93" s="149"/>
      <c r="L93" s="101"/>
      <c r="M93" s="104"/>
      <c r="N93" s="146"/>
      <c r="O93" s="149"/>
      <c r="P93" s="149"/>
      <c r="Q93" s="149"/>
      <c r="R93" s="150"/>
      <c r="S93" s="149"/>
      <c r="T93" s="293">
        <v>1</v>
      </c>
      <c r="U93" s="242">
        <f t="shared" ref="U93" si="88">SUM(E93:F93)</f>
        <v>1</v>
      </c>
      <c r="V93" s="153">
        <f t="shared" ref="V93" si="89">IF(U93/T93&gt;=100%,100%,U93/T93)</f>
        <v>1</v>
      </c>
      <c r="W93" s="473">
        <v>0.2</v>
      </c>
      <c r="X93" s="475">
        <v>0</v>
      </c>
      <c r="Y93" s="530">
        <v>0</v>
      </c>
      <c r="Z93" s="359">
        <v>0</v>
      </c>
      <c r="AA93" s="154">
        <v>0</v>
      </c>
      <c r="AB93" s="273" t="e">
        <f t="shared" si="66"/>
        <v>#DIV/0!</v>
      </c>
      <c r="AC93" s="268"/>
      <c r="AD93" s="151" t="e">
        <f t="shared" si="67"/>
        <v>#DIV/0!</v>
      </c>
      <c r="AE93" s="156">
        <f>+AA93-AC93</f>
        <v>0</v>
      </c>
      <c r="AF93" s="154">
        <v>7555859</v>
      </c>
      <c r="AG93" s="154">
        <v>7500573</v>
      </c>
      <c r="AH93" s="614">
        <f t="shared" si="68"/>
        <v>0.99268302915657902</v>
      </c>
      <c r="AI93" s="250">
        <v>150000000</v>
      </c>
      <c r="AJ93" s="250">
        <f t="shared" ref="AJ93:AJ96" si="90">+SUM(Z93:AA93)</f>
        <v>0</v>
      </c>
      <c r="AK93" s="277">
        <f t="shared" si="69"/>
        <v>0</v>
      </c>
      <c r="AL93" s="157"/>
      <c r="AM93" s="157"/>
      <c r="AN93" s="152" t="s">
        <v>23</v>
      </c>
      <c r="AO93" s="2247" t="s">
        <v>901</v>
      </c>
      <c r="AP93" s="558"/>
      <c r="AQ93" s="93"/>
    </row>
    <row r="94" spans="1:43" ht="40.5" customHeight="1">
      <c r="A94" s="327" t="s">
        <v>571</v>
      </c>
      <c r="B94" s="431" t="s">
        <v>762</v>
      </c>
      <c r="C94" s="391">
        <v>21</v>
      </c>
      <c r="D94" s="391">
        <v>20</v>
      </c>
      <c r="E94" s="147">
        <v>27</v>
      </c>
      <c r="F94" s="147">
        <v>6</v>
      </c>
      <c r="G94" s="147"/>
      <c r="H94" s="180">
        <f t="shared" ref="H94:H96" si="91">IF((E94+G94)/C94&gt;=100%,100%,(E94+G94)/C94)</f>
        <v>1</v>
      </c>
      <c r="I94" s="642">
        <f t="shared" ref="I94:I96" si="92">IF(F94/D94&gt;=100%,100%,F94/D94)</f>
        <v>0.3</v>
      </c>
      <c r="J94" s="149"/>
      <c r="K94" s="149"/>
      <c r="L94" s="101"/>
      <c r="M94" s="104"/>
      <c r="N94" s="146"/>
      <c r="O94" s="149"/>
      <c r="P94" s="149"/>
      <c r="Q94" s="149"/>
      <c r="R94" s="150"/>
      <c r="S94" s="149"/>
      <c r="T94" s="228">
        <v>61</v>
      </c>
      <c r="U94" s="242">
        <f t="shared" ref="U94:U96" si="93">SUM(E94:F94)</f>
        <v>33</v>
      </c>
      <c r="V94" s="153">
        <f t="shared" ref="V94:V96" si="94">IF(U94/T94&gt;=100%,100%,U94/T94)</f>
        <v>0.54098360655737709</v>
      </c>
      <c r="W94" s="475">
        <v>0.3</v>
      </c>
      <c r="X94" s="475">
        <v>0.6</v>
      </c>
      <c r="Y94" s="530">
        <v>310000000</v>
      </c>
      <c r="Z94" s="359">
        <v>0</v>
      </c>
      <c r="AA94" s="154">
        <v>309778927</v>
      </c>
      <c r="AB94" s="273">
        <f t="shared" si="66"/>
        <v>0.99928686129032263</v>
      </c>
      <c r="AC94" s="268">
        <v>308203832</v>
      </c>
      <c r="AD94" s="152">
        <f t="shared" si="67"/>
        <v>0.9942059096774194</v>
      </c>
      <c r="AE94" s="156">
        <f>+AA94-AC94</f>
        <v>1575095</v>
      </c>
      <c r="AF94" s="154">
        <v>170333101</v>
      </c>
      <c r="AG94" s="154">
        <v>170240957</v>
      </c>
      <c r="AH94" s="614">
        <f t="shared" si="68"/>
        <v>0.99945903644412604</v>
      </c>
      <c r="AI94" s="250">
        <v>610000000</v>
      </c>
      <c r="AJ94" s="250">
        <f t="shared" si="90"/>
        <v>309778927</v>
      </c>
      <c r="AK94" s="912">
        <f t="shared" si="69"/>
        <v>0.50783430655737705</v>
      </c>
      <c r="AL94" s="157"/>
      <c r="AM94" s="157"/>
      <c r="AN94" s="152" t="s">
        <v>23</v>
      </c>
      <c r="AO94" s="2206"/>
      <c r="AP94" s="558"/>
      <c r="AQ94" s="93"/>
    </row>
    <row r="95" spans="1:43" ht="40.5" customHeight="1">
      <c r="A95" s="327" t="s">
        <v>572</v>
      </c>
      <c r="B95" s="431" t="s">
        <v>763</v>
      </c>
      <c r="C95" s="391">
        <v>1</v>
      </c>
      <c r="D95" s="391">
        <v>0</v>
      </c>
      <c r="E95" s="147">
        <v>1</v>
      </c>
      <c r="F95" s="147">
        <v>0</v>
      </c>
      <c r="G95" s="147"/>
      <c r="H95" s="180">
        <f t="shared" si="91"/>
        <v>1</v>
      </c>
      <c r="I95" s="642">
        <v>0</v>
      </c>
      <c r="J95" s="149"/>
      <c r="K95" s="149"/>
      <c r="L95" s="101"/>
      <c r="M95" s="104"/>
      <c r="N95" s="146"/>
      <c r="O95" s="149"/>
      <c r="P95" s="149"/>
      <c r="Q95" s="149"/>
      <c r="R95" s="150"/>
      <c r="S95" s="149"/>
      <c r="T95" s="228">
        <v>2</v>
      </c>
      <c r="U95" s="242">
        <f t="shared" si="93"/>
        <v>1</v>
      </c>
      <c r="V95" s="153">
        <f t="shared" si="94"/>
        <v>0.5</v>
      </c>
      <c r="W95" s="475">
        <v>0.3</v>
      </c>
      <c r="X95" s="475">
        <v>0</v>
      </c>
      <c r="Y95" s="530">
        <v>0</v>
      </c>
      <c r="Z95" s="359">
        <v>0</v>
      </c>
      <c r="AA95" s="154">
        <v>0</v>
      </c>
      <c r="AB95" s="273" t="e">
        <f t="shared" si="66"/>
        <v>#DIV/0!</v>
      </c>
      <c r="AC95" s="268"/>
      <c r="AD95" s="151" t="e">
        <f t="shared" si="67"/>
        <v>#DIV/0!</v>
      </c>
      <c r="AE95" s="156">
        <f>+AA95-AC95</f>
        <v>0</v>
      </c>
      <c r="AF95" s="154">
        <v>5933101</v>
      </c>
      <c r="AG95" s="154">
        <v>5840957</v>
      </c>
      <c r="AH95" s="614">
        <f t="shared" si="68"/>
        <v>0.98446950422721613</v>
      </c>
      <c r="AI95" s="253">
        <v>500000000</v>
      </c>
      <c r="AJ95" s="250">
        <f t="shared" si="90"/>
        <v>0</v>
      </c>
      <c r="AK95" s="912">
        <f t="shared" si="69"/>
        <v>0</v>
      </c>
      <c r="AL95" s="157"/>
      <c r="AM95" s="157"/>
      <c r="AN95" s="152" t="s">
        <v>23</v>
      </c>
      <c r="AO95" s="2206"/>
      <c r="AP95" s="558"/>
      <c r="AQ95" s="93"/>
    </row>
    <row r="96" spans="1:43" ht="40.5" customHeight="1" thickBot="1">
      <c r="A96" s="327" t="s">
        <v>573</v>
      </c>
      <c r="B96" s="431" t="s">
        <v>764</v>
      </c>
      <c r="C96" s="828">
        <v>1</v>
      </c>
      <c r="D96" s="391">
        <v>1</v>
      </c>
      <c r="E96" s="860">
        <v>1</v>
      </c>
      <c r="F96" s="147">
        <v>1</v>
      </c>
      <c r="G96" s="147"/>
      <c r="H96" s="180">
        <f t="shared" si="91"/>
        <v>1</v>
      </c>
      <c r="I96" s="642">
        <f t="shared" si="92"/>
        <v>1</v>
      </c>
      <c r="J96" s="204"/>
      <c r="K96" s="204"/>
      <c r="L96" s="101"/>
      <c r="M96" s="104"/>
      <c r="N96" s="146"/>
      <c r="O96" s="204"/>
      <c r="P96" s="204"/>
      <c r="Q96" s="204"/>
      <c r="R96" s="150"/>
      <c r="S96" s="204"/>
      <c r="T96" s="237">
        <v>2</v>
      </c>
      <c r="U96" s="242">
        <f t="shared" si="93"/>
        <v>2</v>
      </c>
      <c r="V96" s="153">
        <f t="shared" si="94"/>
        <v>1</v>
      </c>
      <c r="W96" s="889">
        <v>0.2</v>
      </c>
      <c r="X96" s="475">
        <v>0.4</v>
      </c>
      <c r="Y96" s="530">
        <v>15000000</v>
      </c>
      <c r="Z96" s="359">
        <v>0</v>
      </c>
      <c r="AA96" s="184">
        <v>14935395</v>
      </c>
      <c r="AB96" s="273">
        <f t="shared" si="66"/>
        <v>0.99569300000000005</v>
      </c>
      <c r="AC96" s="267">
        <v>12546021</v>
      </c>
      <c r="AD96" s="190">
        <f t="shared" si="67"/>
        <v>0.83640139999999996</v>
      </c>
      <c r="AE96" s="156">
        <f>+AA96-AC96</f>
        <v>2389374</v>
      </c>
      <c r="AF96" s="184">
        <v>139521371</v>
      </c>
      <c r="AG96" s="184">
        <v>139452263</v>
      </c>
      <c r="AH96" s="614">
        <f t="shared" si="68"/>
        <v>0.99950467803244281</v>
      </c>
      <c r="AI96" s="250">
        <v>300000000</v>
      </c>
      <c r="AJ96" s="250">
        <f t="shared" si="90"/>
        <v>14935395</v>
      </c>
      <c r="AK96" s="913">
        <f t="shared" si="69"/>
        <v>4.978465E-2</v>
      </c>
      <c r="AL96" s="191"/>
      <c r="AM96" s="157"/>
      <c r="AN96" s="152" t="s">
        <v>23</v>
      </c>
      <c r="AO96" s="2205"/>
      <c r="AP96" s="558"/>
      <c r="AQ96" s="93"/>
    </row>
    <row r="97" spans="1:43" ht="40.5" customHeight="1" thickBot="1">
      <c r="A97" s="315" t="s">
        <v>461</v>
      </c>
      <c r="B97" s="138"/>
      <c r="C97" s="826"/>
      <c r="D97" s="223"/>
      <c r="E97" s="861"/>
      <c r="F97" s="139"/>
      <c r="G97" s="139"/>
      <c r="H97" s="161">
        <f>+SUMPRODUCT(H98:H98,W98:W98)</f>
        <v>1</v>
      </c>
      <c r="I97" s="161">
        <f>+SUMPRODUCT(I98:I98,X98:X98)</f>
        <v>0</v>
      </c>
      <c r="J97" s="141"/>
      <c r="K97" s="141"/>
      <c r="L97" s="141"/>
      <c r="M97" s="142"/>
      <c r="N97" s="142"/>
      <c r="O97" s="141"/>
      <c r="P97" s="141"/>
      <c r="Q97" s="141"/>
      <c r="R97" s="163"/>
      <c r="S97" s="141"/>
      <c r="T97" s="231"/>
      <c r="U97" s="258">
        <f>SUM(E97:F97)</f>
        <v>0</v>
      </c>
      <c r="V97" s="177">
        <f>+SUMPRODUCT(V98:V98,W98:W98)</f>
        <v>0.25</v>
      </c>
      <c r="W97" s="879">
        <v>0.1</v>
      </c>
      <c r="X97" s="471">
        <v>0.1</v>
      </c>
      <c r="Y97" s="144">
        <f>SUM(Y98)</f>
        <v>100000000</v>
      </c>
      <c r="Z97" s="144">
        <f>SUM(Z98:Z98)</f>
        <v>0</v>
      </c>
      <c r="AA97" s="144">
        <f>SUM(AA98:AA98)</f>
        <v>99948316</v>
      </c>
      <c r="AB97" s="272">
        <f t="shared" si="66"/>
        <v>0.99948316000000004</v>
      </c>
      <c r="AC97" s="144">
        <f>SUM(AC98:AC98)</f>
        <v>98385673</v>
      </c>
      <c r="AD97" s="143">
        <f t="shared" si="67"/>
        <v>0.98385672999999996</v>
      </c>
      <c r="AE97" s="144">
        <f>SUM(AE98:AE98)</f>
        <v>1562643</v>
      </c>
      <c r="AF97" s="144">
        <f>SUM(AF98:AF98)</f>
        <v>17014437</v>
      </c>
      <c r="AG97" s="144">
        <f>SUM(AG98:AG98)</f>
        <v>16090554</v>
      </c>
      <c r="AH97" s="613">
        <f t="shared" si="68"/>
        <v>0.94570005460656736</v>
      </c>
      <c r="AI97" s="144">
        <f>SUM(AI98:AI98)</f>
        <v>400000000</v>
      </c>
      <c r="AJ97" s="144">
        <f>SUM(AJ98:AJ98)</f>
        <v>99948316</v>
      </c>
      <c r="AK97" s="276">
        <f t="shared" si="69"/>
        <v>0.24987079000000001</v>
      </c>
      <c r="AL97" s="165"/>
      <c r="AM97" s="165"/>
      <c r="AN97" s="553"/>
      <c r="AO97" s="144"/>
      <c r="AP97" s="557"/>
      <c r="AQ97" s="98"/>
    </row>
    <row r="98" spans="1:43" ht="40.5" customHeight="1" thickBot="1">
      <c r="A98" s="332" t="s">
        <v>574</v>
      </c>
      <c r="B98" s="425" t="s">
        <v>765</v>
      </c>
      <c r="C98" s="830">
        <v>1</v>
      </c>
      <c r="D98" s="216">
        <v>1</v>
      </c>
      <c r="E98" s="867">
        <v>1</v>
      </c>
      <c r="F98" s="147">
        <v>0</v>
      </c>
      <c r="G98" s="147"/>
      <c r="H98" s="180">
        <f t="shared" ref="H98" si="95">IF((E98+G98)/C98&gt;=100%,100%,(E98+G98)/C98)</f>
        <v>1</v>
      </c>
      <c r="I98" s="642">
        <f t="shared" ref="I98" si="96">IF(F98/D98&gt;=100%,100%,F98/D98)</f>
        <v>0</v>
      </c>
      <c r="J98" s="149"/>
      <c r="K98" s="149"/>
      <c r="L98" s="101"/>
      <c r="M98" s="104"/>
      <c r="N98" s="146"/>
      <c r="O98" s="149"/>
      <c r="P98" s="149"/>
      <c r="Q98" s="149"/>
      <c r="R98" s="150"/>
      <c r="S98" s="149"/>
      <c r="T98" s="228">
        <v>4</v>
      </c>
      <c r="U98" s="242">
        <f t="shared" ref="U98" si="97">SUM(E98:F98)</f>
        <v>1</v>
      </c>
      <c r="V98" s="153">
        <f t="shared" ref="V98" si="98">IF(U98/T98&gt;=100%,100%,U98/T98)</f>
        <v>0.25</v>
      </c>
      <c r="W98" s="888">
        <v>1</v>
      </c>
      <c r="X98" s="472">
        <v>1</v>
      </c>
      <c r="Y98" s="527">
        <v>100000000</v>
      </c>
      <c r="Z98" s="512"/>
      <c r="AA98" s="154">
        <v>99948316</v>
      </c>
      <c r="AB98" s="273">
        <f t="shared" si="66"/>
        <v>0.99948316000000004</v>
      </c>
      <c r="AC98" s="268">
        <v>98385673</v>
      </c>
      <c r="AD98" s="151">
        <f t="shared" si="67"/>
        <v>0.98385672999999996</v>
      </c>
      <c r="AE98" s="156">
        <f>+AA98-AC98</f>
        <v>1562643</v>
      </c>
      <c r="AF98" s="154">
        <v>17014437</v>
      </c>
      <c r="AG98" s="154">
        <v>16090554</v>
      </c>
      <c r="AH98" s="614">
        <f t="shared" si="68"/>
        <v>0.94570005460656736</v>
      </c>
      <c r="AI98" s="250">
        <v>400000000</v>
      </c>
      <c r="AJ98" s="250">
        <f>+SUM(Z98:AA98)</f>
        <v>99948316</v>
      </c>
      <c r="AK98" s="912">
        <f t="shared" si="69"/>
        <v>0.24987079000000001</v>
      </c>
      <c r="AL98" s="157"/>
      <c r="AM98" s="157"/>
      <c r="AN98" s="152" t="s">
        <v>302</v>
      </c>
      <c r="AO98" s="576" t="s">
        <v>901</v>
      </c>
      <c r="AP98" s="558"/>
      <c r="AQ98" s="93"/>
    </row>
    <row r="99" spans="1:43" ht="54" customHeight="1" thickBot="1">
      <c r="A99" s="313" t="s">
        <v>885</v>
      </c>
      <c r="B99" s="423"/>
      <c r="C99" s="166"/>
      <c r="D99" s="225"/>
      <c r="E99" s="225"/>
      <c r="F99" s="166"/>
      <c r="G99" s="166"/>
      <c r="H99" s="125">
        <f>+(H100*W100)+(H117*W117)+(H134*W134)+(H140*W140)</f>
        <v>0.91249999999999998</v>
      </c>
      <c r="I99" s="125">
        <f>+(I100*X100)+(I117*X117)+(I134*X134)+(I140*X140)</f>
        <v>1</v>
      </c>
      <c r="J99" s="125"/>
      <c r="K99" s="125">
        <f t="shared" ref="K99:R99" si="99">+(K100*AA100)</f>
        <v>0</v>
      </c>
      <c r="L99" s="125">
        <f t="shared" si="99"/>
        <v>0</v>
      </c>
      <c r="M99" s="125">
        <f t="shared" si="99"/>
        <v>0</v>
      </c>
      <c r="N99" s="125">
        <f t="shared" si="99"/>
        <v>0</v>
      </c>
      <c r="O99" s="125">
        <f t="shared" si="99"/>
        <v>0</v>
      </c>
      <c r="P99" s="125">
        <f t="shared" si="99"/>
        <v>0</v>
      </c>
      <c r="Q99" s="125">
        <f t="shared" si="99"/>
        <v>0</v>
      </c>
      <c r="R99" s="125">
        <f t="shared" si="99"/>
        <v>0</v>
      </c>
      <c r="S99" s="125"/>
      <c r="T99" s="125"/>
      <c r="U99" s="125"/>
      <c r="V99" s="464">
        <f>+(V100*W100)+(V117*W117)+(V134*W134)+(V140*W140)</f>
        <v>0.65923060207336515</v>
      </c>
      <c r="W99" s="877">
        <v>0.15</v>
      </c>
      <c r="X99" s="474">
        <v>0.15</v>
      </c>
      <c r="Y99" s="127">
        <f>+Y100+Y117+Y134+Y140</f>
        <v>6025000000</v>
      </c>
      <c r="Z99" s="127">
        <f>+Z100+Z117+Z134+Z140</f>
        <v>125000000</v>
      </c>
      <c r="AA99" s="607">
        <f>+AA100+AA117+AA134+AA140</f>
        <v>5997286808.1599998</v>
      </c>
      <c r="AB99" s="274">
        <f t="shared" si="66"/>
        <v>0.9954003001095435</v>
      </c>
      <c r="AC99" s="127">
        <f>+AC100+AC117+AC134+AC140</f>
        <v>3980728610</v>
      </c>
      <c r="AD99" s="633">
        <f t="shared" si="67"/>
        <v>0.66070184398340248</v>
      </c>
      <c r="AE99" s="127">
        <f>+AE100+AE117+AE134+AE140</f>
        <v>1915015845.1599998</v>
      </c>
      <c r="AF99" s="127">
        <f>+AF100+AF117+AF134+AF140</f>
        <v>1161779607.6800001</v>
      </c>
      <c r="AG99" s="127">
        <f>+AG100+AG117+AG134+AG140</f>
        <v>1145236415.2</v>
      </c>
      <c r="AH99" s="616">
        <f t="shared" si="68"/>
        <v>0.98576047266569278</v>
      </c>
      <c r="AI99" s="127">
        <f t="shared" ref="AI99:AJ99" si="100">+AI100+AI117+AI134+AI140</f>
        <v>30000000000</v>
      </c>
      <c r="AJ99" s="127">
        <f t="shared" si="100"/>
        <v>6122286808.1599998</v>
      </c>
      <c r="AK99" s="205">
        <f t="shared" si="69"/>
        <v>0.20407622693866667</v>
      </c>
      <c r="AL99" s="169"/>
      <c r="AM99" s="169"/>
      <c r="AN99" s="600"/>
      <c r="AO99" s="575"/>
      <c r="AP99" s="559"/>
      <c r="AQ99" s="99"/>
    </row>
    <row r="100" spans="1:43" ht="51" customHeight="1" thickBot="1">
      <c r="A100" s="314" t="s">
        <v>426</v>
      </c>
      <c r="B100" s="413"/>
      <c r="C100" s="129"/>
      <c r="D100" s="222"/>
      <c r="E100" s="862"/>
      <c r="F100" s="129"/>
      <c r="G100" s="129"/>
      <c r="H100" s="131">
        <f>+(H101*W101)+(H105*W105)+(H111*W111)+(H114*W114)</f>
        <v>0.75</v>
      </c>
      <c r="I100" s="130">
        <f>+(I101*X101)+(I105*X105)+(I111*X111)+(I114*X114)</f>
        <v>1</v>
      </c>
      <c r="J100" s="132"/>
      <c r="K100" s="132"/>
      <c r="L100" s="132"/>
      <c r="M100" s="133"/>
      <c r="N100" s="133"/>
      <c r="O100" s="132"/>
      <c r="P100" s="132"/>
      <c r="Q100" s="132"/>
      <c r="R100" s="159"/>
      <c r="S100" s="132"/>
      <c r="T100" s="230"/>
      <c r="U100" s="257"/>
      <c r="V100" s="467">
        <f>+(V101*W101)+(V105*W105)+(V111*W111)+(V114*W114)</f>
        <v>0.60976600592390062</v>
      </c>
      <c r="W100" s="883">
        <v>0.35</v>
      </c>
      <c r="X100" s="470">
        <v>0.35</v>
      </c>
      <c r="Y100" s="135">
        <f>+Y101+Y105+Y111+Y114</f>
        <v>2600000000</v>
      </c>
      <c r="Z100" s="135">
        <f>+Z101+Z105+Z111+Z114</f>
        <v>0</v>
      </c>
      <c r="AA100" s="135">
        <f>+AA101+AA105+AA111+AA114</f>
        <v>2591775980</v>
      </c>
      <c r="AB100" s="271">
        <f t="shared" si="66"/>
        <v>0.99683691538461539</v>
      </c>
      <c r="AC100" s="135">
        <f>+AC101+AC105+AC111+AC114</f>
        <v>1840500137</v>
      </c>
      <c r="AD100" s="552">
        <f t="shared" si="67"/>
        <v>0.70788466807692307</v>
      </c>
      <c r="AE100" s="135">
        <f>+AE101+AE105+AE111+AE114</f>
        <v>649733490</v>
      </c>
      <c r="AF100" s="135">
        <f>+AF101+AF105+AF111+AF114</f>
        <v>370462123</v>
      </c>
      <c r="AG100" s="135">
        <f>+AG101+AG105+AG111+AG114</f>
        <v>362960328</v>
      </c>
      <c r="AH100" s="612">
        <f t="shared" si="68"/>
        <v>0.97975017003290243</v>
      </c>
      <c r="AI100" s="135">
        <f t="shared" ref="AI100:AJ100" si="101">+AI101+AI105+AI111+AI114</f>
        <v>14030000000</v>
      </c>
      <c r="AJ100" s="135">
        <f t="shared" si="101"/>
        <v>2591775980</v>
      </c>
      <c r="AK100" s="199">
        <f t="shared" si="69"/>
        <v>0.18473100356379188</v>
      </c>
      <c r="AL100" s="160"/>
      <c r="AM100" s="160" t="s">
        <v>300</v>
      </c>
      <c r="AN100" s="136"/>
      <c r="AO100" s="135"/>
      <c r="AP100" s="556"/>
      <c r="AQ100" s="97"/>
    </row>
    <row r="101" spans="1:43" ht="40.5" customHeight="1" thickBot="1">
      <c r="A101" s="315" t="s">
        <v>462</v>
      </c>
      <c r="B101" s="138"/>
      <c r="C101" s="139"/>
      <c r="D101" s="223"/>
      <c r="E101" s="861"/>
      <c r="F101" s="139"/>
      <c r="G101" s="139"/>
      <c r="H101" s="161">
        <f>+SUMPRODUCT(H102:H104,W102:W104)</f>
        <v>0.25</v>
      </c>
      <c r="I101" s="161">
        <f>+SUMPRODUCT(I102:I104,X102:X104)</f>
        <v>1</v>
      </c>
      <c r="J101" s="141"/>
      <c r="K101" s="141"/>
      <c r="L101" s="141"/>
      <c r="M101" s="142"/>
      <c r="N101" s="142"/>
      <c r="O101" s="141"/>
      <c r="P101" s="141"/>
      <c r="Q101" s="141"/>
      <c r="R101" s="163"/>
      <c r="S101" s="141"/>
      <c r="T101" s="231"/>
      <c r="U101" s="258"/>
      <c r="V101" s="177">
        <f>+SUMPRODUCT(V102:V104,W102:W104)</f>
        <v>0.35227272727272729</v>
      </c>
      <c r="W101" s="879">
        <v>0.25</v>
      </c>
      <c r="X101" s="471">
        <v>0.25</v>
      </c>
      <c r="Y101" s="144">
        <f>SUM(Y102:Y104)</f>
        <v>350000000</v>
      </c>
      <c r="Z101" s="144">
        <f>SUM(Z102:Z104)</f>
        <v>0</v>
      </c>
      <c r="AA101" s="144">
        <f>SUM(AA102:AA104)</f>
        <v>345847852</v>
      </c>
      <c r="AB101" s="272">
        <f t="shared" si="66"/>
        <v>0.98813671999999997</v>
      </c>
      <c r="AC101" s="144">
        <f>SUM(AC102:AC104)</f>
        <v>273693551</v>
      </c>
      <c r="AD101" s="143">
        <f t="shared" si="67"/>
        <v>0.78198157428571424</v>
      </c>
      <c r="AE101" s="144">
        <f>SUM(AE102:AE104)</f>
        <v>72154301</v>
      </c>
      <c r="AF101" s="144">
        <f>SUM(AF102:AF104)</f>
        <v>67249246</v>
      </c>
      <c r="AG101" s="144">
        <f>SUM(AG102:AG104)</f>
        <v>60512247</v>
      </c>
      <c r="AH101" s="613">
        <f t="shared" si="68"/>
        <v>0.89982045300552516</v>
      </c>
      <c r="AI101" s="144">
        <f t="shared" ref="AI101:AJ101" si="102">SUM(AI102:AI104)</f>
        <v>2740000000</v>
      </c>
      <c r="AJ101" s="144">
        <f t="shared" si="102"/>
        <v>345847852</v>
      </c>
      <c r="AK101" s="276">
        <f t="shared" si="69"/>
        <v>0.12622184379562043</v>
      </c>
      <c r="AL101" s="165"/>
      <c r="AM101" s="165"/>
      <c r="AN101" s="553"/>
      <c r="AO101" s="144"/>
      <c r="AP101" s="557"/>
      <c r="AQ101" s="98"/>
    </row>
    <row r="102" spans="1:43" ht="40.5" customHeight="1">
      <c r="A102" s="333" t="s">
        <v>575</v>
      </c>
      <c r="B102" s="430" t="s">
        <v>766</v>
      </c>
      <c r="C102" s="392">
        <v>17</v>
      </c>
      <c r="D102" s="392">
        <v>0</v>
      </c>
      <c r="E102" s="858">
        <v>0</v>
      </c>
      <c r="F102" s="147"/>
      <c r="G102" s="147">
        <v>0</v>
      </c>
      <c r="H102" s="180">
        <f t="shared" ref="H102:H104" si="103">IF((E102+G102)/C102&gt;=100%,100%,(E102+G102)/C102)</f>
        <v>0</v>
      </c>
      <c r="I102" s="642">
        <v>0</v>
      </c>
      <c r="J102" s="149"/>
      <c r="K102" s="149"/>
      <c r="L102" s="101"/>
      <c r="M102" s="104"/>
      <c r="N102" s="146"/>
      <c r="O102" s="149"/>
      <c r="P102" s="149"/>
      <c r="Q102" s="149"/>
      <c r="R102" s="150"/>
      <c r="S102" s="149"/>
      <c r="T102" s="228">
        <v>22</v>
      </c>
      <c r="U102" s="242">
        <f>SUM(E102:F102)</f>
        <v>0</v>
      </c>
      <c r="V102" s="153">
        <f>IF(U102/T102&gt;=100%,100%,U102/T102)</f>
        <v>0</v>
      </c>
      <c r="W102" s="491">
        <v>0.25</v>
      </c>
      <c r="X102" s="491">
        <v>0</v>
      </c>
      <c r="Y102" s="531">
        <v>0</v>
      </c>
      <c r="Z102" s="366">
        <v>0</v>
      </c>
      <c r="AA102" s="154">
        <v>0</v>
      </c>
      <c r="AB102" s="273" t="e">
        <f t="shared" si="66"/>
        <v>#DIV/0!</v>
      </c>
      <c r="AC102" s="268"/>
      <c r="AD102" s="151" t="e">
        <f t="shared" si="67"/>
        <v>#DIV/0!</v>
      </c>
      <c r="AE102" s="156">
        <f>+AA102-AC102</f>
        <v>0</v>
      </c>
      <c r="AF102" s="154">
        <v>18491042</v>
      </c>
      <c r="AG102" s="154">
        <v>16560891</v>
      </c>
      <c r="AH102" s="614">
        <f t="shared" si="68"/>
        <v>0.8956169695574755</v>
      </c>
      <c r="AI102" s="250">
        <v>660000000</v>
      </c>
      <c r="AJ102" s="250">
        <f t="shared" ref="AJ102:AJ104" si="104">+SUM(Z102:AA102)</f>
        <v>0</v>
      </c>
      <c r="AK102" s="912">
        <f t="shared" si="69"/>
        <v>0</v>
      </c>
      <c r="AL102" s="157"/>
      <c r="AM102" s="157"/>
      <c r="AN102" s="152" t="s">
        <v>30</v>
      </c>
      <c r="AO102" s="2241" t="s">
        <v>907</v>
      </c>
      <c r="AP102" s="558"/>
      <c r="AQ102" s="93"/>
    </row>
    <row r="103" spans="1:43" ht="40.5" customHeight="1">
      <c r="A103" s="333" t="s">
        <v>576</v>
      </c>
      <c r="B103" s="431" t="s">
        <v>767</v>
      </c>
      <c r="C103" s="392">
        <v>10</v>
      </c>
      <c r="D103" s="392">
        <v>20</v>
      </c>
      <c r="E103" s="147">
        <v>0</v>
      </c>
      <c r="F103" s="147">
        <v>20</v>
      </c>
      <c r="G103" s="147"/>
      <c r="H103" s="180">
        <f t="shared" si="103"/>
        <v>0</v>
      </c>
      <c r="I103" s="642">
        <f t="shared" ref="I103:I104" si="105">IF(F103/D103&gt;=100%,100%,F103/D103)</f>
        <v>1</v>
      </c>
      <c r="J103" s="149"/>
      <c r="K103" s="149"/>
      <c r="L103" s="101"/>
      <c r="M103" s="104"/>
      <c r="N103" s="146"/>
      <c r="O103" s="149"/>
      <c r="P103" s="149"/>
      <c r="Q103" s="149"/>
      <c r="R103" s="150"/>
      <c r="S103" s="149"/>
      <c r="T103" s="228">
        <v>44</v>
      </c>
      <c r="U103" s="242">
        <f t="shared" ref="U103:U104" si="106">SUM(E103:F103)</f>
        <v>20</v>
      </c>
      <c r="V103" s="153">
        <f t="shared" ref="V103:V104" si="107">IF(U103/T103&gt;=100%,100%,U103/T103)</f>
        <v>0.45454545454545453</v>
      </c>
      <c r="W103" s="491">
        <v>0.5</v>
      </c>
      <c r="X103" s="491">
        <v>0.5</v>
      </c>
      <c r="Y103" s="532">
        <v>200000000</v>
      </c>
      <c r="Z103" s="366">
        <v>0</v>
      </c>
      <c r="AA103" s="154">
        <v>196077931</v>
      </c>
      <c r="AB103" s="273">
        <f t="shared" si="66"/>
        <v>0.98038965499999997</v>
      </c>
      <c r="AC103" s="268">
        <v>167648610</v>
      </c>
      <c r="AD103" s="151">
        <f t="shared" si="67"/>
        <v>0.83824304999999999</v>
      </c>
      <c r="AE103" s="156">
        <f>+AA103-AC103</f>
        <v>28429321</v>
      </c>
      <c r="AF103" s="154">
        <v>20324387</v>
      </c>
      <c r="AG103" s="154">
        <v>18172090</v>
      </c>
      <c r="AH103" s="614">
        <f t="shared" si="68"/>
        <v>0.8941027348081888</v>
      </c>
      <c r="AI103" s="250">
        <v>1580000000</v>
      </c>
      <c r="AJ103" s="250">
        <f t="shared" si="104"/>
        <v>196077931</v>
      </c>
      <c r="AK103" s="912">
        <f t="shared" si="69"/>
        <v>0.12409995632911393</v>
      </c>
      <c r="AL103" s="157"/>
      <c r="AM103" s="157"/>
      <c r="AN103" s="152" t="s">
        <v>30</v>
      </c>
      <c r="AO103" s="2206"/>
      <c r="AP103" s="558"/>
      <c r="AQ103" s="93"/>
    </row>
    <row r="104" spans="1:43" ht="29.25" customHeight="1" thickBot="1">
      <c r="A104" s="333" t="s">
        <v>577</v>
      </c>
      <c r="B104" s="431" t="s">
        <v>768</v>
      </c>
      <c r="C104" s="831">
        <v>1</v>
      </c>
      <c r="D104" s="392">
        <v>1</v>
      </c>
      <c r="E104" s="860">
        <v>1</v>
      </c>
      <c r="F104" s="147">
        <v>1</v>
      </c>
      <c r="G104" s="147"/>
      <c r="H104" s="180">
        <f t="shared" si="103"/>
        <v>1</v>
      </c>
      <c r="I104" s="642">
        <f t="shared" si="105"/>
        <v>1</v>
      </c>
      <c r="J104" s="149"/>
      <c r="K104" s="149"/>
      <c r="L104" s="101"/>
      <c r="M104" s="104"/>
      <c r="N104" s="146"/>
      <c r="O104" s="149"/>
      <c r="P104" s="149"/>
      <c r="Q104" s="149"/>
      <c r="R104" s="150"/>
      <c r="S104" s="149"/>
      <c r="T104" s="228">
        <v>4</v>
      </c>
      <c r="U104" s="242">
        <f t="shared" si="106"/>
        <v>2</v>
      </c>
      <c r="V104" s="153">
        <f t="shared" si="107"/>
        <v>0.5</v>
      </c>
      <c r="W104" s="890">
        <v>0.25</v>
      </c>
      <c r="X104" s="491">
        <v>0.5</v>
      </c>
      <c r="Y104" s="531">
        <v>150000000</v>
      </c>
      <c r="Z104" s="366">
        <v>0</v>
      </c>
      <c r="AA104" s="154">
        <v>149769921</v>
      </c>
      <c r="AB104" s="273">
        <f t="shared" si="66"/>
        <v>0.99846614</v>
      </c>
      <c r="AC104" s="268">
        <v>106044941</v>
      </c>
      <c r="AD104" s="152">
        <f t="shared" si="67"/>
        <v>0.70696627333333328</v>
      </c>
      <c r="AE104" s="156">
        <f>+AA104-AC104</f>
        <v>43724980</v>
      </c>
      <c r="AF104" s="154">
        <v>28433817</v>
      </c>
      <c r="AG104" s="154">
        <v>25779266</v>
      </c>
      <c r="AH104" s="614">
        <f t="shared" si="68"/>
        <v>0.90664106053717652</v>
      </c>
      <c r="AI104" s="250">
        <v>500000000</v>
      </c>
      <c r="AJ104" s="250">
        <f t="shared" si="104"/>
        <v>149769921</v>
      </c>
      <c r="AK104" s="912">
        <f t="shared" si="69"/>
        <v>0.299539842</v>
      </c>
      <c r="AL104" s="157"/>
      <c r="AM104" s="157"/>
      <c r="AN104" s="152" t="s">
        <v>30</v>
      </c>
      <c r="AO104" s="2205"/>
      <c r="AP104" s="558"/>
      <c r="AQ104" s="93"/>
    </row>
    <row r="105" spans="1:43" ht="40.5" customHeight="1" thickBot="1">
      <c r="A105" s="315" t="s">
        <v>463</v>
      </c>
      <c r="B105" s="138"/>
      <c r="C105" s="826"/>
      <c r="D105" s="223"/>
      <c r="E105" s="861"/>
      <c r="F105" s="139"/>
      <c r="G105" s="139"/>
      <c r="H105" s="161">
        <f>+SUMPRODUCT(H106:H110,W106:W110)</f>
        <v>1</v>
      </c>
      <c r="I105" s="161">
        <f>+SUMPRODUCT(I106:I110,X106:X110)</f>
        <v>1</v>
      </c>
      <c r="J105" s="141"/>
      <c r="K105" s="141"/>
      <c r="L105" s="141"/>
      <c r="M105" s="142"/>
      <c r="N105" s="142"/>
      <c r="O105" s="141"/>
      <c r="P105" s="141"/>
      <c r="Q105" s="141"/>
      <c r="R105" s="163"/>
      <c r="S105" s="141"/>
      <c r="T105" s="231"/>
      <c r="U105" s="258"/>
      <c r="V105" s="177">
        <f>+SUMPRODUCT(V106:V110,W106:W110)</f>
        <v>0.74638345864661648</v>
      </c>
      <c r="W105" s="879">
        <v>0.25</v>
      </c>
      <c r="X105" s="471">
        <v>0.25</v>
      </c>
      <c r="Y105" s="144">
        <f>SUM(Y106:Y110)</f>
        <v>720000000</v>
      </c>
      <c r="Z105" s="144">
        <f>SUM(Z106:Z110)</f>
        <v>0</v>
      </c>
      <c r="AA105" s="144">
        <f>SUM(AA106:AA110)</f>
        <v>717646801</v>
      </c>
      <c r="AB105" s="615">
        <f>+AA105/Y105</f>
        <v>0.99673166805555558</v>
      </c>
      <c r="AC105" s="144">
        <f t="shared" ref="AC105:AJ105" si="108">SUM(AC106:AC110)</f>
        <v>556151541</v>
      </c>
      <c r="AD105" s="635">
        <f t="shared" si="67"/>
        <v>0.77243269583333329</v>
      </c>
      <c r="AE105" s="144">
        <f t="shared" si="108"/>
        <v>59952907</v>
      </c>
      <c r="AF105" s="144">
        <f t="shared" si="108"/>
        <v>13220972</v>
      </c>
      <c r="AG105" s="144">
        <f t="shared" si="108"/>
        <v>13022862</v>
      </c>
      <c r="AH105" s="615" t="e">
        <f t="shared" si="108"/>
        <v>#DIV/0!</v>
      </c>
      <c r="AI105" s="144">
        <f t="shared" si="108"/>
        <v>4520000000</v>
      </c>
      <c r="AJ105" s="144">
        <f t="shared" si="108"/>
        <v>717646801</v>
      </c>
      <c r="AK105" s="276">
        <f t="shared" si="69"/>
        <v>0.15877141615044249</v>
      </c>
      <c r="AL105" s="165"/>
      <c r="AM105" s="165"/>
      <c r="AN105" s="553"/>
      <c r="AO105" s="144"/>
      <c r="AP105" s="557"/>
      <c r="AQ105" s="98"/>
    </row>
    <row r="106" spans="1:43" ht="29.25" customHeight="1">
      <c r="A106" s="334" t="s">
        <v>578</v>
      </c>
      <c r="B106" s="431" t="s">
        <v>769</v>
      </c>
      <c r="C106" s="832">
        <v>50</v>
      </c>
      <c r="D106" s="215">
        <v>50</v>
      </c>
      <c r="E106" s="858">
        <v>50</v>
      </c>
      <c r="F106" s="147">
        <v>50</v>
      </c>
      <c r="G106" s="147"/>
      <c r="H106" s="180">
        <f t="shared" ref="H106" si="109">IF((E106+G106)/C106&gt;=100%,100%,(E106+G106)/C106)</f>
        <v>1</v>
      </c>
      <c r="I106" s="642">
        <f t="shared" ref="I106" si="110">IF(F106/D106&gt;=100%,100%,F106/D106)</f>
        <v>1</v>
      </c>
      <c r="J106" s="149"/>
      <c r="K106" s="149"/>
      <c r="L106" s="101"/>
      <c r="M106" s="104"/>
      <c r="N106" s="146"/>
      <c r="O106" s="149"/>
      <c r="P106" s="149"/>
      <c r="Q106" s="149"/>
      <c r="R106" s="150"/>
      <c r="S106" s="149"/>
      <c r="T106" s="228">
        <v>133</v>
      </c>
      <c r="U106" s="242">
        <f t="shared" ref="U106" si="111">SUM(E106:F106)</f>
        <v>100</v>
      </c>
      <c r="V106" s="153">
        <f t="shared" ref="V106" si="112">IF(U106/T106&gt;=100%,100%,U106/T106)</f>
        <v>0.75187969924812026</v>
      </c>
      <c r="W106" s="884">
        <v>0.47</v>
      </c>
      <c r="X106" s="472">
        <v>0.47</v>
      </c>
      <c r="Y106" s="533">
        <v>350000000</v>
      </c>
      <c r="Z106" s="367">
        <v>0</v>
      </c>
      <c r="AA106" s="154">
        <v>347997852</v>
      </c>
      <c r="AB106" s="273">
        <f t="shared" si="66"/>
        <v>0.9942795771428572</v>
      </c>
      <c r="AC106" s="268">
        <v>335939372</v>
      </c>
      <c r="AD106" s="151">
        <f t="shared" si="67"/>
        <v>0.95982677714285713</v>
      </c>
      <c r="AE106" s="156">
        <f>+AA106-AC106</f>
        <v>12058480</v>
      </c>
      <c r="AF106" s="154">
        <v>4611968</v>
      </c>
      <c r="AG106" s="154">
        <v>4542860</v>
      </c>
      <c r="AH106" s="614">
        <f t="shared" si="68"/>
        <v>0.98501550747967026</v>
      </c>
      <c r="AI106" s="250">
        <v>2600000000</v>
      </c>
      <c r="AJ106" s="250">
        <f>+SUM(Z106:AA106)</f>
        <v>347997852</v>
      </c>
      <c r="AK106" s="912">
        <f t="shared" si="69"/>
        <v>0.1338453276923077</v>
      </c>
      <c r="AL106" s="157"/>
      <c r="AM106" s="157"/>
      <c r="AN106" s="152" t="s">
        <v>30</v>
      </c>
      <c r="AO106" s="581" t="s">
        <v>907</v>
      </c>
      <c r="AP106" s="558"/>
      <c r="AQ106" s="93"/>
    </row>
    <row r="107" spans="1:43" ht="29.25" customHeight="1">
      <c r="A107" s="335" t="s">
        <v>579</v>
      </c>
      <c r="B107" s="431" t="s">
        <v>770</v>
      </c>
      <c r="C107" s="215">
        <v>20</v>
      </c>
      <c r="D107" s="215">
        <v>20</v>
      </c>
      <c r="E107" s="147">
        <v>20</v>
      </c>
      <c r="F107" s="147">
        <v>20</v>
      </c>
      <c r="G107" s="147"/>
      <c r="H107" s="180">
        <f t="shared" ref="H107:H109" si="113">IF((E107+G107)/C107&gt;=100%,100%,(E107+G107)/C107)</f>
        <v>1</v>
      </c>
      <c r="I107" s="642">
        <f t="shared" ref="I107:I110" si="114">IF(F107/D107&gt;=100%,100%,F107/D107)</f>
        <v>1</v>
      </c>
      <c r="J107" s="149"/>
      <c r="K107" s="149"/>
      <c r="L107" s="101"/>
      <c r="M107" s="104"/>
      <c r="N107" s="146"/>
      <c r="O107" s="149"/>
      <c r="P107" s="149"/>
      <c r="Q107" s="149"/>
      <c r="R107" s="150"/>
      <c r="S107" s="149"/>
      <c r="T107" s="228">
        <v>50</v>
      </c>
      <c r="U107" s="242">
        <f t="shared" ref="U107:U110" si="115">SUM(E107:F107)</f>
        <v>40</v>
      </c>
      <c r="V107" s="153">
        <f t="shared" ref="V107:V110" si="116">IF(U107/T107&gt;=100%,100%,U107/T107)</f>
        <v>0.8</v>
      </c>
      <c r="W107" s="881">
        <v>0.26</v>
      </c>
      <c r="X107" s="472">
        <v>0.26</v>
      </c>
      <c r="Y107" s="533">
        <v>150000000</v>
      </c>
      <c r="Z107" s="366">
        <v>0</v>
      </c>
      <c r="AA107" s="154">
        <v>149833045</v>
      </c>
      <c r="AB107" s="273">
        <f t="shared" si="66"/>
        <v>0.99888696666666665</v>
      </c>
      <c r="AC107" s="268">
        <v>140063341</v>
      </c>
      <c r="AD107" s="151">
        <f t="shared" si="67"/>
        <v>0.93375560666666668</v>
      </c>
      <c r="AE107" s="156">
        <f>+AA107-AC107</f>
        <v>9769704</v>
      </c>
      <c r="AF107" s="154">
        <v>1844786</v>
      </c>
      <c r="AG107" s="154">
        <v>1817143</v>
      </c>
      <c r="AH107" s="614">
        <f t="shared" si="68"/>
        <v>0.98501560614618711</v>
      </c>
      <c r="AI107" s="250">
        <v>1000000000</v>
      </c>
      <c r="AJ107" s="250">
        <f t="shared" ref="AJ107:AJ110" si="117">+SUM(Z107:AA107)</f>
        <v>149833045</v>
      </c>
      <c r="AK107" s="912">
        <f t="shared" si="69"/>
        <v>0.149833045</v>
      </c>
      <c r="AL107" s="157"/>
      <c r="AM107" s="157"/>
      <c r="AN107" s="152" t="s">
        <v>30</v>
      </c>
      <c r="AO107" s="581" t="s">
        <v>907</v>
      </c>
      <c r="AP107" s="558"/>
      <c r="AQ107" s="93"/>
    </row>
    <row r="108" spans="1:43" ht="29.25" customHeight="1">
      <c r="A108" s="335" t="s">
        <v>580</v>
      </c>
      <c r="B108" s="431" t="s">
        <v>771</v>
      </c>
      <c r="C108" s="215">
        <v>1</v>
      </c>
      <c r="D108" s="215">
        <v>1</v>
      </c>
      <c r="E108" s="147">
        <v>1</v>
      </c>
      <c r="F108" s="147">
        <v>1</v>
      </c>
      <c r="G108" s="147"/>
      <c r="H108" s="180">
        <f t="shared" si="113"/>
        <v>1</v>
      </c>
      <c r="I108" s="642">
        <f t="shared" si="114"/>
        <v>1</v>
      </c>
      <c r="J108" s="149"/>
      <c r="K108" s="149"/>
      <c r="L108" s="101"/>
      <c r="M108" s="104"/>
      <c r="N108" s="146"/>
      <c r="O108" s="149"/>
      <c r="P108" s="149"/>
      <c r="Q108" s="149"/>
      <c r="R108" s="150"/>
      <c r="S108" s="149"/>
      <c r="T108" s="228">
        <v>4</v>
      </c>
      <c r="U108" s="242">
        <f t="shared" si="115"/>
        <v>2</v>
      </c>
      <c r="V108" s="153">
        <f t="shared" si="116"/>
        <v>0.5</v>
      </c>
      <c r="W108" s="881">
        <v>0.17</v>
      </c>
      <c r="X108" s="472">
        <v>0.17</v>
      </c>
      <c r="Y108" s="533">
        <v>100000000</v>
      </c>
      <c r="Z108" s="367">
        <v>0</v>
      </c>
      <c r="AA108" s="154">
        <v>99948316</v>
      </c>
      <c r="AB108" s="273">
        <f t="shared" si="66"/>
        <v>0.99948316000000004</v>
      </c>
      <c r="AC108" s="268">
        <v>61823593</v>
      </c>
      <c r="AD108" s="151">
        <f t="shared" si="67"/>
        <v>0.61823592999999999</v>
      </c>
      <c r="AE108" s="156">
        <f>+AA108-AC108</f>
        <v>38124723</v>
      </c>
      <c r="AF108" s="154">
        <v>1229858</v>
      </c>
      <c r="AG108" s="154">
        <v>1211429</v>
      </c>
      <c r="AH108" s="614">
        <f t="shared" si="68"/>
        <v>0.98501534323474738</v>
      </c>
      <c r="AI108" s="250">
        <v>400000000</v>
      </c>
      <c r="AJ108" s="250">
        <f t="shared" si="117"/>
        <v>99948316</v>
      </c>
      <c r="AK108" s="912">
        <f t="shared" si="69"/>
        <v>0.24987079000000001</v>
      </c>
      <c r="AL108" s="157"/>
      <c r="AM108" s="157"/>
      <c r="AN108" s="152" t="s">
        <v>30</v>
      </c>
      <c r="AO108" s="2235" t="s">
        <v>907</v>
      </c>
      <c r="AP108" s="558"/>
      <c r="AQ108" s="93"/>
    </row>
    <row r="109" spans="1:43" ht="29.25" customHeight="1">
      <c r="A109" s="336" t="s">
        <v>581</v>
      </c>
      <c r="B109" s="431" t="s">
        <v>772</v>
      </c>
      <c r="C109" s="215">
        <v>1</v>
      </c>
      <c r="D109" s="215">
        <v>0</v>
      </c>
      <c r="E109" s="147">
        <v>1</v>
      </c>
      <c r="F109" s="147">
        <v>0</v>
      </c>
      <c r="G109" s="147"/>
      <c r="H109" s="180">
        <f t="shared" si="113"/>
        <v>1</v>
      </c>
      <c r="I109" s="642">
        <v>0</v>
      </c>
      <c r="J109" s="149"/>
      <c r="K109" s="149"/>
      <c r="L109" s="101"/>
      <c r="M109" s="104"/>
      <c r="N109" s="146"/>
      <c r="O109" s="149"/>
      <c r="P109" s="149"/>
      <c r="Q109" s="149"/>
      <c r="R109" s="150"/>
      <c r="S109" s="149"/>
      <c r="T109" s="228">
        <v>1</v>
      </c>
      <c r="U109" s="242">
        <f t="shared" si="115"/>
        <v>1</v>
      </c>
      <c r="V109" s="153">
        <f t="shared" si="116"/>
        <v>1</v>
      </c>
      <c r="W109" s="881">
        <v>0.1</v>
      </c>
      <c r="X109" s="472">
        <v>0</v>
      </c>
      <c r="Y109" s="687">
        <v>0</v>
      </c>
      <c r="Z109" s="483" t="s">
        <v>887</v>
      </c>
      <c r="AA109" s="154">
        <v>0</v>
      </c>
      <c r="AB109" s="273" t="e">
        <f t="shared" si="66"/>
        <v>#DIV/0!</v>
      </c>
      <c r="AC109" s="268">
        <v>0</v>
      </c>
      <c r="AD109" s="151" t="e">
        <f t="shared" si="67"/>
        <v>#DIV/0!</v>
      </c>
      <c r="AE109" s="156">
        <f>+AA109-AC109</f>
        <v>0</v>
      </c>
      <c r="AF109" s="154"/>
      <c r="AG109" s="154"/>
      <c r="AH109" s="614" t="e">
        <f t="shared" si="68"/>
        <v>#DIV/0!</v>
      </c>
      <c r="AI109" s="250">
        <v>400000000</v>
      </c>
      <c r="AJ109" s="250">
        <f t="shared" si="117"/>
        <v>0</v>
      </c>
      <c r="AK109" s="912">
        <f t="shared" si="69"/>
        <v>0</v>
      </c>
      <c r="AL109" s="157"/>
      <c r="AM109" s="157"/>
      <c r="AN109" s="152" t="s">
        <v>30</v>
      </c>
      <c r="AO109" s="2206"/>
      <c r="AP109" s="558"/>
      <c r="AQ109" s="93"/>
    </row>
    <row r="110" spans="1:43" ht="29.25" customHeight="1" thickBot="1">
      <c r="A110" s="337" t="s">
        <v>582</v>
      </c>
      <c r="B110" s="431" t="s">
        <v>773</v>
      </c>
      <c r="C110" s="833">
        <v>0</v>
      </c>
      <c r="D110" s="215">
        <v>1</v>
      </c>
      <c r="E110" s="860">
        <v>0</v>
      </c>
      <c r="F110" s="147">
        <v>1</v>
      </c>
      <c r="G110" s="147"/>
      <c r="H110" s="180">
        <v>0</v>
      </c>
      <c r="I110" s="642">
        <f t="shared" si="114"/>
        <v>1</v>
      </c>
      <c r="J110" s="149"/>
      <c r="K110" s="149"/>
      <c r="L110" s="101"/>
      <c r="M110" s="104"/>
      <c r="N110" s="146"/>
      <c r="O110" s="149"/>
      <c r="P110" s="149"/>
      <c r="Q110" s="149"/>
      <c r="R110" s="150"/>
      <c r="S110" s="149"/>
      <c r="T110" s="228">
        <v>1</v>
      </c>
      <c r="U110" s="242">
        <f t="shared" si="115"/>
        <v>1</v>
      </c>
      <c r="V110" s="153">
        <f t="shared" si="116"/>
        <v>1</v>
      </c>
      <c r="W110" s="885">
        <v>0</v>
      </c>
      <c r="X110" s="673">
        <v>0.1</v>
      </c>
      <c r="Y110" s="687">
        <v>120000000</v>
      </c>
      <c r="Z110" s="483">
        <v>0</v>
      </c>
      <c r="AA110" s="154">
        <v>119867588</v>
      </c>
      <c r="AB110" s="273">
        <f t="shared" si="66"/>
        <v>0.99889656666666671</v>
      </c>
      <c r="AC110" s="268">
        <v>18325235</v>
      </c>
      <c r="AD110" s="152">
        <f t="shared" si="67"/>
        <v>0.15271029166666666</v>
      </c>
      <c r="AE110" s="512"/>
      <c r="AF110" s="154">
        <v>5534360</v>
      </c>
      <c r="AG110" s="154">
        <v>5451430</v>
      </c>
      <c r="AH110" s="614">
        <f t="shared" si="68"/>
        <v>0.98501543087186227</v>
      </c>
      <c r="AI110" s="250">
        <v>120000000</v>
      </c>
      <c r="AJ110" s="250">
        <f t="shared" si="117"/>
        <v>119867588</v>
      </c>
      <c r="AK110" s="912">
        <f t="shared" si="69"/>
        <v>0.99889656666666671</v>
      </c>
      <c r="AL110" s="157"/>
      <c r="AM110" s="157"/>
      <c r="AN110" s="152" t="s">
        <v>30</v>
      </c>
      <c r="AO110" s="2205"/>
      <c r="AP110" s="558"/>
      <c r="AQ110" s="93"/>
    </row>
    <row r="111" spans="1:43" ht="40.5" customHeight="1" thickBot="1">
      <c r="A111" s="315" t="s">
        <v>464</v>
      </c>
      <c r="B111" s="138"/>
      <c r="C111" s="826"/>
      <c r="D111" s="223"/>
      <c r="E111" s="861"/>
      <c r="F111" s="139"/>
      <c r="G111" s="139"/>
      <c r="H111" s="161">
        <f>+SUMPRODUCT(H112:H113,W112:W113)</f>
        <v>1</v>
      </c>
      <c r="I111" s="161">
        <f>+SUMPRODUCT(I112:I113,X112:X113)</f>
        <v>1</v>
      </c>
      <c r="J111" s="141"/>
      <c r="K111" s="141"/>
      <c r="L111" s="141"/>
      <c r="M111" s="142"/>
      <c r="N111" s="142"/>
      <c r="O111" s="141"/>
      <c r="P111" s="141"/>
      <c r="Q111" s="141"/>
      <c r="R111" s="163"/>
      <c r="S111" s="141"/>
      <c r="T111" s="231"/>
      <c r="U111" s="258"/>
      <c r="V111" s="177">
        <f>+SUMPRODUCT(V112:V113,W112:W113)</f>
        <v>0.62424242424242427</v>
      </c>
      <c r="W111" s="879">
        <v>0.25</v>
      </c>
      <c r="X111" s="471">
        <v>0.25</v>
      </c>
      <c r="Y111" s="144">
        <f>SUM(Y112:Y113)</f>
        <v>870000000</v>
      </c>
      <c r="Z111" s="144">
        <f>SUM(Z112:Z113)</f>
        <v>0</v>
      </c>
      <c r="AA111" s="144">
        <f>SUM(AA112:AA113)</f>
        <v>869036272</v>
      </c>
      <c r="AB111" s="272">
        <f t="shared" si="66"/>
        <v>0.99889226666666664</v>
      </c>
      <c r="AC111" s="144">
        <f>SUM(AC112:AC113)</f>
        <v>645682334</v>
      </c>
      <c r="AD111" s="143">
        <f t="shared" si="67"/>
        <v>0.74216360229885059</v>
      </c>
      <c r="AE111" s="144">
        <f>SUM(AE112:AE113)</f>
        <v>223353938</v>
      </c>
      <c r="AF111" s="144">
        <f>SUM(AF112:AF113)</f>
        <v>131946291</v>
      </c>
      <c r="AG111" s="144">
        <f>SUM(AG112:AG113)</f>
        <v>131623787</v>
      </c>
      <c r="AH111" s="613">
        <f t="shared" si="68"/>
        <v>0.997555793364438</v>
      </c>
      <c r="AI111" s="144">
        <f t="shared" ref="AI111:AJ111" si="118">SUM(AI112:AI113)</f>
        <v>3530000000</v>
      </c>
      <c r="AJ111" s="144">
        <f t="shared" si="118"/>
        <v>869036272</v>
      </c>
      <c r="AK111" s="276">
        <f t="shared" si="69"/>
        <v>0.24618591274787535</v>
      </c>
      <c r="AL111" s="165"/>
      <c r="AM111" s="165"/>
      <c r="AN111" s="553"/>
      <c r="AO111" s="144"/>
      <c r="AP111" s="557"/>
      <c r="AQ111" s="98"/>
    </row>
    <row r="112" spans="1:43" ht="60" customHeight="1">
      <c r="A112" s="333" t="s">
        <v>583</v>
      </c>
      <c r="B112" s="431" t="s">
        <v>774</v>
      </c>
      <c r="C112" s="392">
        <v>10</v>
      </c>
      <c r="D112" s="392">
        <v>10</v>
      </c>
      <c r="E112" s="858">
        <v>10</v>
      </c>
      <c r="F112" s="147">
        <v>10</v>
      </c>
      <c r="G112" s="147"/>
      <c r="H112" s="180">
        <f t="shared" ref="H112" si="119">IF((E112+G112)/C112&gt;=100%,100%,(E112+G112)/C112)</f>
        <v>1</v>
      </c>
      <c r="I112" s="642">
        <f t="shared" ref="I112" si="120">IF(F112/D112&gt;=100%,100%,F112/D112)</f>
        <v>1</v>
      </c>
      <c r="J112" s="149"/>
      <c r="K112" s="149"/>
      <c r="L112" s="101"/>
      <c r="M112" s="104"/>
      <c r="N112" s="146"/>
      <c r="O112" s="149"/>
      <c r="P112" s="149"/>
      <c r="Q112" s="149"/>
      <c r="R112" s="150"/>
      <c r="S112" s="149"/>
      <c r="T112" s="228">
        <v>33</v>
      </c>
      <c r="U112" s="242">
        <f t="shared" ref="U112" si="121">SUM(E112:F112)</f>
        <v>20</v>
      </c>
      <c r="V112" s="153">
        <f t="shared" ref="V112" si="122">IF(U112/T112&gt;=100%,100%,U112/T112)</f>
        <v>0.60606060606060608</v>
      </c>
      <c r="W112" s="891">
        <v>0.7</v>
      </c>
      <c r="X112" s="476">
        <v>0.7</v>
      </c>
      <c r="Y112" s="531">
        <v>520000000</v>
      </c>
      <c r="Z112" s="367">
        <v>0</v>
      </c>
      <c r="AA112" s="154">
        <v>519424295</v>
      </c>
      <c r="AB112" s="273">
        <f t="shared" si="66"/>
        <v>0.99889287500000001</v>
      </c>
      <c r="AC112" s="268">
        <v>305890412</v>
      </c>
      <c r="AD112" s="151">
        <f t="shared" si="67"/>
        <v>0.58825079230769228</v>
      </c>
      <c r="AE112" s="156">
        <f>+AA112-AC112</f>
        <v>213533883</v>
      </c>
      <c r="AF112" s="154">
        <v>122722359</v>
      </c>
      <c r="AG112" s="154">
        <v>122538071</v>
      </c>
      <c r="AH112" s="614">
        <f t="shared" si="68"/>
        <v>0.99849833395070253</v>
      </c>
      <c r="AI112" s="250">
        <v>2480000000</v>
      </c>
      <c r="AJ112" s="250">
        <f>+SUM(Z112:AA112)</f>
        <v>519424295</v>
      </c>
      <c r="AK112" s="912">
        <f t="shared" si="69"/>
        <v>0.20944528024193548</v>
      </c>
      <c r="AL112" s="157"/>
      <c r="AM112" s="157"/>
      <c r="AN112" s="152" t="s">
        <v>30</v>
      </c>
      <c r="AO112" s="582" t="s">
        <v>907</v>
      </c>
      <c r="AP112" s="558"/>
      <c r="AQ112" s="93"/>
    </row>
    <row r="113" spans="1:43" ht="42" customHeight="1" thickBot="1">
      <c r="A113" s="333" t="s">
        <v>584</v>
      </c>
      <c r="B113" s="431" t="s">
        <v>775</v>
      </c>
      <c r="C113" s="831">
        <v>110</v>
      </c>
      <c r="D113" s="392">
        <v>110</v>
      </c>
      <c r="E113" s="860">
        <v>110</v>
      </c>
      <c r="F113" s="147">
        <v>110</v>
      </c>
      <c r="G113" s="147"/>
      <c r="H113" s="180">
        <f t="shared" ref="H113" si="123">IF((E113+G113)/C113&gt;=100%,100%,(E113+G113)/C113)</f>
        <v>1</v>
      </c>
      <c r="I113" s="642">
        <f t="shared" ref="I113" si="124">IF(F113/D113&gt;=100%,100%,F113/D113)</f>
        <v>1</v>
      </c>
      <c r="J113" s="149"/>
      <c r="K113" s="149"/>
      <c r="L113" s="101"/>
      <c r="M113" s="104"/>
      <c r="N113" s="146"/>
      <c r="O113" s="149"/>
      <c r="P113" s="149"/>
      <c r="Q113" s="149"/>
      <c r="R113" s="150"/>
      <c r="S113" s="149"/>
      <c r="T113" s="228">
        <v>330</v>
      </c>
      <c r="U113" s="242">
        <f t="shared" ref="U113" si="125">SUM(E113:F113)</f>
        <v>220</v>
      </c>
      <c r="V113" s="153">
        <f t="shared" ref="V113" si="126">IF(U113/T113&gt;=100%,100%,U113/T113)</f>
        <v>0.66666666666666663</v>
      </c>
      <c r="W113" s="892">
        <v>0.3</v>
      </c>
      <c r="X113" s="476">
        <v>0.3</v>
      </c>
      <c r="Y113" s="531">
        <v>350000000</v>
      </c>
      <c r="Z113" s="483" t="s">
        <v>887</v>
      </c>
      <c r="AA113" s="154">
        <v>349611977</v>
      </c>
      <c r="AB113" s="273">
        <f t="shared" si="66"/>
        <v>0.99889136285714286</v>
      </c>
      <c r="AC113" s="268">
        <v>339791922</v>
      </c>
      <c r="AD113" s="151">
        <f t="shared" si="67"/>
        <v>0.97083406285714291</v>
      </c>
      <c r="AE113" s="156">
        <f>+AA113-AC113</f>
        <v>9820055</v>
      </c>
      <c r="AF113" s="154">
        <v>9223932</v>
      </c>
      <c r="AG113" s="154">
        <v>9085716</v>
      </c>
      <c r="AH113" s="614">
        <f t="shared" si="68"/>
        <v>0.98501550098157709</v>
      </c>
      <c r="AI113" s="250">
        <v>1050000000</v>
      </c>
      <c r="AJ113" s="250">
        <f>+SUM(Z113:AA113)</f>
        <v>349611977</v>
      </c>
      <c r="AK113" s="912">
        <f t="shared" si="69"/>
        <v>0.3329637876190476</v>
      </c>
      <c r="AL113" s="157"/>
      <c r="AM113" s="157"/>
      <c r="AN113" s="152" t="s">
        <v>22</v>
      </c>
      <c r="AO113" s="582" t="s">
        <v>907</v>
      </c>
      <c r="AP113" s="558"/>
      <c r="AQ113" s="93"/>
    </row>
    <row r="114" spans="1:43" ht="40.5" customHeight="1" thickBot="1">
      <c r="A114" s="315" t="s">
        <v>465</v>
      </c>
      <c r="B114" s="138"/>
      <c r="C114" s="826"/>
      <c r="D114" s="223"/>
      <c r="E114" s="861"/>
      <c r="F114" s="139"/>
      <c r="G114" s="139"/>
      <c r="H114" s="140">
        <f>+SUMPRODUCT(H115:H116,W115:W116)</f>
        <v>0.75</v>
      </c>
      <c r="I114" s="161">
        <f>+SUMPRODUCT(I115:I116,X115:X116)</f>
        <v>1</v>
      </c>
      <c r="J114" s="141"/>
      <c r="K114" s="141"/>
      <c r="L114" s="141"/>
      <c r="M114" s="142"/>
      <c r="N114" s="142"/>
      <c r="O114" s="141"/>
      <c r="P114" s="141"/>
      <c r="Q114" s="141"/>
      <c r="R114" s="163"/>
      <c r="S114" s="141"/>
      <c r="T114" s="231"/>
      <c r="U114" s="258"/>
      <c r="V114" s="177">
        <f>+SUMPRODUCT(V115:V116,W115:W116)</f>
        <v>0.71616541353383456</v>
      </c>
      <c r="W114" s="879">
        <v>0.25</v>
      </c>
      <c r="X114" s="471">
        <v>0.25</v>
      </c>
      <c r="Y114" s="144">
        <f>SUM(Y115:Y116)</f>
        <v>660000000</v>
      </c>
      <c r="Z114" s="144">
        <f>SUM(Z115:Z116)</f>
        <v>0</v>
      </c>
      <c r="AA114" s="144">
        <f>SUM(AA115:AA116)</f>
        <v>659245055</v>
      </c>
      <c r="AB114" s="272">
        <f t="shared" si="66"/>
        <v>0.99885614393939393</v>
      </c>
      <c r="AC114" s="144">
        <f>SUM(AC115:AC116)</f>
        <v>364972711</v>
      </c>
      <c r="AD114" s="143">
        <f t="shared" si="67"/>
        <v>0.55298895606060605</v>
      </c>
      <c r="AE114" s="144">
        <f>SUM(AE115:AE116)</f>
        <v>294272344</v>
      </c>
      <c r="AF114" s="144">
        <f>SUM(AF115:AF116)</f>
        <v>158045614</v>
      </c>
      <c r="AG114" s="144">
        <f>SUM(AG115:AG116)</f>
        <v>157801432</v>
      </c>
      <c r="AH114" s="613">
        <f t="shared" si="68"/>
        <v>0.99845499034221852</v>
      </c>
      <c r="AI114" s="144">
        <f t="shared" ref="AI114:AJ114" si="127">SUM(AI115:AI116)</f>
        <v>3240000000</v>
      </c>
      <c r="AJ114" s="144">
        <f t="shared" si="127"/>
        <v>659245055</v>
      </c>
      <c r="AK114" s="276">
        <f t="shared" si="69"/>
        <v>0.20347069598765433</v>
      </c>
      <c r="AL114" s="165"/>
      <c r="AM114" s="165"/>
      <c r="AN114" s="553"/>
      <c r="AO114" s="144"/>
      <c r="AP114" s="557"/>
      <c r="AQ114" s="98"/>
    </row>
    <row r="115" spans="1:43" ht="48" customHeight="1">
      <c r="A115" s="338" t="s">
        <v>585</v>
      </c>
      <c r="B115" s="431" t="s">
        <v>776</v>
      </c>
      <c r="C115" s="393">
        <v>2</v>
      </c>
      <c r="D115" s="393">
        <v>3</v>
      </c>
      <c r="E115" s="858">
        <v>0</v>
      </c>
      <c r="F115" s="147">
        <v>3</v>
      </c>
      <c r="G115" s="147"/>
      <c r="H115" s="180">
        <f t="shared" ref="H115" si="128">IF((E115+G115)/C115&gt;=100%,100%,(E115+G115)/C115)</f>
        <v>0</v>
      </c>
      <c r="I115" s="642">
        <f t="shared" ref="I115" si="129">IF(F115/D115&gt;=100%,100%,F115/D115)</f>
        <v>1</v>
      </c>
      <c r="J115" s="149"/>
      <c r="K115" s="149"/>
      <c r="L115" s="101"/>
      <c r="M115" s="104"/>
      <c r="N115" s="146"/>
      <c r="O115" s="149"/>
      <c r="P115" s="149"/>
      <c r="Q115" s="149"/>
      <c r="R115" s="150"/>
      <c r="S115" s="149"/>
      <c r="T115" s="228">
        <v>7</v>
      </c>
      <c r="U115" s="242">
        <f t="shared" ref="U115" si="130">SUM(E115:F115)</f>
        <v>3</v>
      </c>
      <c r="V115" s="153">
        <f t="shared" ref="V115" si="131">IF(U115/T115&gt;=100%,100%,U115/T115)</f>
        <v>0.42857142857142855</v>
      </c>
      <c r="W115" s="891">
        <v>0.25</v>
      </c>
      <c r="X115" s="476">
        <v>0.25</v>
      </c>
      <c r="Y115" s="534">
        <v>260000000</v>
      </c>
      <c r="Z115" s="368"/>
      <c r="AA115" s="154">
        <v>259688348</v>
      </c>
      <c r="AB115" s="273">
        <f t="shared" si="66"/>
        <v>0.99880133846153851</v>
      </c>
      <c r="AC115" s="268">
        <v>256207032</v>
      </c>
      <c r="AD115" s="151">
        <f t="shared" si="67"/>
        <v>0.98541166153846149</v>
      </c>
      <c r="AE115" s="156">
        <f>+AA115-AC115</f>
        <v>3481316</v>
      </c>
      <c r="AF115" s="154">
        <v>45784360</v>
      </c>
      <c r="AG115" s="154">
        <v>45701430</v>
      </c>
      <c r="AH115" s="614">
        <f t="shared" si="68"/>
        <v>0.99818868277289452</v>
      </c>
      <c r="AI115" s="250">
        <v>840000000</v>
      </c>
      <c r="AJ115" s="250">
        <f t="shared" ref="AJ115:AJ116" si="132">+SUM(Z115:AA115)</f>
        <v>259688348</v>
      </c>
      <c r="AK115" s="277">
        <f t="shared" si="69"/>
        <v>0.30915279523809525</v>
      </c>
      <c r="AL115" s="157"/>
      <c r="AM115" s="157"/>
      <c r="AN115" s="152" t="s">
        <v>30</v>
      </c>
      <c r="AO115" s="2234" t="s">
        <v>905</v>
      </c>
      <c r="AP115" s="558"/>
      <c r="AQ115" s="93"/>
    </row>
    <row r="116" spans="1:43" ht="48" customHeight="1" thickBot="1">
      <c r="A116" s="338" t="s">
        <v>586</v>
      </c>
      <c r="B116" s="431" t="s">
        <v>777</v>
      </c>
      <c r="C116" s="834">
        <v>73</v>
      </c>
      <c r="D116" s="394">
        <v>35</v>
      </c>
      <c r="E116" s="860">
        <v>73</v>
      </c>
      <c r="F116" s="147">
        <v>35</v>
      </c>
      <c r="G116" s="147"/>
      <c r="H116" s="180">
        <f t="shared" ref="H116" si="133">IF((E116+G116)/C116&gt;=100%,100%,(E116+G116)/C116)</f>
        <v>1</v>
      </c>
      <c r="I116" s="642">
        <f t="shared" ref="I116" si="134">IF(F116/D116&gt;=100%,100%,F116/D116)</f>
        <v>1</v>
      </c>
      <c r="J116" s="149"/>
      <c r="K116" s="149"/>
      <c r="L116" s="101"/>
      <c r="M116" s="104"/>
      <c r="N116" s="146"/>
      <c r="O116" s="149"/>
      <c r="P116" s="149"/>
      <c r="Q116" s="149"/>
      <c r="R116" s="150"/>
      <c r="S116" s="149"/>
      <c r="T116" s="228">
        <v>133</v>
      </c>
      <c r="U116" s="242">
        <f t="shared" ref="U116" si="135">SUM(E116:F116)</f>
        <v>108</v>
      </c>
      <c r="V116" s="153">
        <f t="shared" ref="V116" si="136">IF(U116/T116&gt;=100%,100%,U116/T116)</f>
        <v>0.81203007518796988</v>
      </c>
      <c r="W116" s="892">
        <v>0.75</v>
      </c>
      <c r="X116" s="476">
        <v>0.75</v>
      </c>
      <c r="Y116" s="534">
        <v>400000000</v>
      </c>
      <c r="Z116" s="368">
        <v>0</v>
      </c>
      <c r="AA116" s="154">
        <v>399556707</v>
      </c>
      <c r="AB116" s="273">
        <f t="shared" si="66"/>
        <v>0.99889176749999997</v>
      </c>
      <c r="AC116" s="268">
        <v>108765679</v>
      </c>
      <c r="AD116" s="151">
        <f t="shared" si="67"/>
        <v>0.27191419750000001</v>
      </c>
      <c r="AE116" s="156">
        <f>+AA116-AC116</f>
        <v>290791028</v>
      </c>
      <c r="AF116" s="154">
        <v>112261254</v>
      </c>
      <c r="AG116" s="154">
        <v>112100002</v>
      </c>
      <c r="AH116" s="614">
        <f t="shared" si="68"/>
        <v>0.99856360058119431</v>
      </c>
      <c r="AI116" s="250">
        <v>2400000000</v>
      </c>
      <c r="AJ116" s="250">
        <f t="shared" si="132"/>
        <v>399556707</v>
      </c>
      <c r="AK116" s="912">
        <f t="shared" si="69"/>
        <v>0.16648196125</v>
      </c>
      <c r="AL116" s="157"/>
      <c r="AM116" s="157"/>
      <c r="AN116" s="152" t="s">
        <v>22</v>
      </c>
      <c r="AO116" s="2205"/>
      <c r="AP116" s="558"/>
      <c r="AQ116" s="93"/>
    </row>
    <row r="117" spans="1:43" ht="56.25" customHeight="1" thickBot="1">
      <c r="A117" s="314" t="s">
        <v>427</v>
      </c>
      <c r="B117" s="413"/>
      <c r="C117" s="835"/>
      <c r="D117" s="296"/>
      <c r="E117" s="862"/>
      <c r="F117" s="129"/>
      <c r="G117" s="129"/>
      <c r="H117" s="254">
        <f>+(H118*W118)+(H121*W121)+(H125*W125)+(H132*W132)</f>
        <v>1</v>
      </c>
      <c r="I117" s="130">
        <f>+(I118*X118)+(I121*X121)+(I125*X125)+(I132*X132)</f>
        <v>1</v>
      </c>
      <c r="J117" s="132"/>
      <c r="K117" s="132"/>
      <c r="L117" s="132"/>
      <c r="M117" s="133"/>
      <c r="N117" s="133"/>
      <c r="O117" s="132"/>
      <c r="P117" s="132"/>
      <c r="Q117" s="132"/>
      <c r="R117" s="159"/>
      <c r="S117" s="132"/>
      <c r="T117" s="230"/>
      <c r="U117" s="257"/>
      <c r="V117" s="465">
        <f>+(V118*W118)+(V121*W121)+(V125*W125)+(V132*W132)</f>
        <v>0.67374999999999996</v>
      </c>
      <c r="W117" s="883">
        <v>0.35</v>
      </c>
      <c r="X117" s="470">
        <v>0.35</v>
      </c>
      <c r="Y117" s="135">
        <f>+Y118+Y121+Y125+Y132</f>
        <v>1690000000</v>
      </c>
      <c r="Z117" s="135">
        <f>+Z118+Z121+Z125+Z132</f>
        <v>0</v>
      </c>
      <c r="AA117" s="135">
        <f>+AA118+AA121+AA125+AA132</f>
        <v>1672302090.1599998</v>
      </c>
      <c r="AB117" s="271">
        <f t="shared" si="66"/>
        <v>0.98952786399999992</v>
      </c>
      <c r="AC117" s="135">
        <f>+AC118+AC121+AC125+AC132</f>
        <v>1112650927</v>
      </c>
      <c r="AD117" s="552">
        <f t="shared" si="67"/>
        <v>0.65837332958579886</v>
      </c>
      <c r="AE117" s="135">
        <f>+AE118+AE121+AE125+AE132</f>
        <v>559651163.15999997</v>
      </c>
      <c r="AF117" s="135">
        <f>+AF118+AF121+AF125+AF132</f>
        <v>163045410.68000001</v>
      </c>
      <c r="AG117" s="135">
        <f>+AG118+AG121+AG125+AG132</f>
        <v>154656811.19999999</v>
      </c>
      <c r="AH117" s="612">
        <f t="shared" si="68"/>
        <v>0.94855053297719705</v>
      </c>
      <c r="AI117" s="135">
        <f t="shared" ref="AI117:AJ117" si="137">+AI118+AI121+AI125+AI132</f>
        <v>8610000000</v>
      </c>
      <c r="AJ117" s="135">
        <f t="shared" si="137"/>
        <v>1672302090.1599998</v>
      </c>
      <c r="AK117" s="199">
        <f t="shared" si="69"/>
        <v>0.19422788503600463</v>
      </c>
      <c r="AL117" s="160"/>
      <c r="AM117" s="160" t="s">
        <v>300</v>
      </c>
      <c r="AN117" s="136"/>
      <c r="AO117" s="135"/>
      <c r="AP117" s="556"/>
      <c r="AQ117" s="97"/>
    </row>
    <row r="118" spans="1:43" ht="50.25" customHeight="1" thickBot="1">
      <c r="A118" s="315" t="s">
        <v>466</v>
      </c>
      <c r="B118" s="138"/>
      <c r="C118" s="826"/>
      <c r="D118" s="223"/>
      <c r="E118" s="861"/>
      <c r="F118" s="139"/>
      <c r="G118" s="139"/>
      <c r="H118" s="161">
        <f>+SUMPRODUCT(H119:H120,W119:W120)</f>
        <v>1</v>
      </c>
      <c r="I118" s="161">
        <f>+SUMPRODUCT(I119:I120,X119:X120)</f>
        <v>1</v>
      </c>
      <c r="J118" s="141"/>
      <c r="K118" s="141"/>
      <c r="L118" s="141"/>
      <c r="M118" s="142"/>
      <c r="N118" s="142"/>
      <c r="O118" s="141"/>
      <c r="P118" s="141"/>
      <c r="Q118" s="141"/>
      <c r="R118" s="163"/>
      <c r="S118" s="141"/>
      <c r="T118" s="231"/>
      <c r="U118" s="258"/>
      <c r="V118" s="177">
        <f>+SUMPRODUCT(V119:V120,W119:W120)</f>
        <v>1</v>
      </c>
      <c r="W118" s="879">
        <v>0.25</v>
      </c>
      <c r="X118" s="471">
        <v>0.25</v>
      </c>
      <c r="Y118" s="144">
        <f>SUM(Y119:Y120)</f>
        <v>650000000</v>
      </c>
      <c r="Z118" s="144">
        <f>SUM(Z119:Z120)</f>
        <v>0</v>
      </c>
      <c r="AA118" s="144">
        <f>SUM(AA119:AA120)</f>
        <v>649281522</v>
      </c>
      <c r="AB118" s="272">
        <f t="shared" si="66"/>
        <v>0.9988946492307692</v>
      </c>
      <c r="AC118" s="144">
        <f>SUM(AC119:AC120)</f>
        <v>414575379</v>
      </c>
      <c r="AD118" s="143">
        <f t="shared" si="67"/>
        <v>0.63780827538461538</v>
      </c>
      <c r="AE118" s="144">
        <f>SUM(AE119:AE120)</f>
        <v>234706143</v>
      </c>
      <c r="AF118" s="144">
        <f>SUM(AF119:AF120)</f>
        <v>15009497</v>
      </c>
      <c r="AG118" s="144">
        <f>SUM(AG119:AG120)</f>
        <v>14799549</v>
      </c>
      <c r="AH118" s="613">
        <f t="shared" si="68"/>
        <v>0.98601232273140138</v>
      </c>
      <c r="AI118" s="144">
        <f t="shared" ref="AI118:AJ118" si="138">SUM(AI119:AI120)</f>
        <v>2000000000</v>
      </c>
      <c r="AJ118" s="144">
        <f t="shared" si="138"/>
        <v>649281522</v>
      </c>
      <c r="AK118" s="276">
        <f t="shared" si="69"/>
        <v>0.324640761</v>
      </c>
      <c r="AL118" s="165"/>
      <c r="AM118" s="165"/>
      <c r="AN118" s="553"/>
      <c r="AO118" s="144"/>
      <c r="AP118" s="557"/>
      <c r="AQ118" s="98"/>
    </row>
    <row r="119" spans="1:43" ht="86.25" customHeight="1">
      <c r="A119" s="339" t="s">
        <v>587</v>
      </c>
      <c r="B119" s="438" t="s">
        <v>778</v>
      </c>
      <c r="C119" s="478">
        <v>1</v>
      </c>
      <c r="D119" s="395">
        <v>1</v>
      </c>
      <c r="E119" s="864">
        <v>1</v>
      </c>
      <c r="F119" s="182">
        <v>1</v>
      </c>
      <c r="G119" s="147"/>
      <c r="H119" s="180">
        <f t="shared" ref="H119" si="139">IF((E119+G119)/C119&gt;=100%,100%,(E119+G119)/C119)</f>
        <v>1</v>
      </c>
      <c r="I119" s="642">
        <f t="shared" ref="I119" si="140">IF(F119/D119&gt;=100%,100%,F119/D119)</f>
        <v>1</v>
      </c>
      <c r="J119" s="149"/>
      <c r="K119" s="149"/>
      <c r="L119" s="101"/>
      <c r="M119" s="104"/>
      <c r="N119" s="146"/>
      <c r="O119" s="149"/>
      <c r="P119" s="149"/>
      <c r="Q119" s="149"/>
      <c r="R119" s="150"/>
      <c r="S119" s="149"/>
      <c r="T119" s="226">
        <v>1</v>
      </c>
      <c r="U119" s="242">
        <f t="shared" ref="U119:U122" si="141">SUM(E119:F119)</f>
        <v>2</v>
      </c>
      <c r="V119" s="186">
        <f>IF(U119/T119&gt;=100%,100%,U119/T119)</f>
        <v>1</v>
      </c>
      <c r="W119" s="893">
        <v>0.5</v>
      </c>
      <c r="X119" s="476">
        <v>0.5</v>
      </c>
      <c r="Y119" s="535">
        <v>300000000</v>
      </c>
      <c r="Z119" s="369">
        <v>0</v>
      </c>
      <c r="AA119" s="154">
        <v>299668395</v>
      </c>
      <c r="AB119" s="273">
        <f t="shared" si="66"/>
        <v>0.99889465</v>
      </c>
      <c r="AC119" s="268">
        <v>262704021</v>
      </c>
      <c r="AD119" s="151">
        <f t="shared" si="67"/>
        <v>0.87568007000000003</v>
      </c>
      <c r="AE119" s="156">
        <f>+AA119-AC119</f>
        <v>36964374</v>
      </c>
      <c r="AF119" s="154">
        <v>7764217</v>
      </c>
      <c r="AG119" s="154">
        <v>7662859</v>
      </c>
      <c r="AH119" s="614">
        <f t="shared" si="68"/>
        <v>0.98694549624257022</v>
      </c>
      <c r="AI119" s="250">
        <v>1000000000</v>
      </c>
      <c r="AJ119" s="250">
        <f>+SUM(Z119:AA119)</f>
        <v>299668395</v>
      </c>
      <c r="AK119" s="912">
        <f t="shared" si="69"/>
        <v>0.29966839499999998</v>
      </c>
      <c r="AL119" s="157"/>
      <c r="AM119" s="157"/>
      <c r="AN119" s="152" t="s">
        <v>30</v>
      </c>
      <c r="AO119" s="583" t="s">
        <v>907</v>
      </c>
      <c r="AP119" s="558"/>
      <c r="AQ119" s="93"/>
    </row>
    <row r="120" spans="1:43" ht="69" customHeight="1" thickBot="1">
      <c r="A120" s="339" t="s">
        <v>588</v>
      </c>
      <c r="B120" s="439" t="s">
        <v>779</v>
      </c>
      <c r="C120" s="836">
        <v>10</v>
      </c>
      <c r="D120" s="396">
        <v>12</v>
      </c>
      <c r="E120" s="870">
        <v>10</v>
      </c>
      <c r="F120" s="213">
        <v>12</v>
      </c>
      <c r="G120" s="147"/>
      <c r="H120" s="180">
        <f t="shared" ref="H120" si="142">IF((E120+G120)/C120&gt;=100%,100%,(E120+G120)/C120)</f>
        <v>1</v>
      </c>
      <c r="I120" s="642">
        <f t="shared" ref="I120" si="143">IF(F120/D120&gt;=100%,100%,F120/D120)</f>
        <v>1</v>
      </c>
      <c r="J120" s="149"/>
      <c r="K120" s="149"/>
      <c r="L120" s="101"/>
      <c r="M120" s="104"/>
      <c r="N120" s="146"/>
      <c r="O120" s="149"/>
      <c r="P120" s="149"/>
      <c r="Q120" s="149"/>
      <c r="R120" s="150"/>
      <c r="S120" s="149"/>
      <c r="T120" s="295">
        <v>22</v>
      </c>
      <c r="U120" s="242">
        <f t="shared" ref="U120" si="144">SUM(E120:F120)</f>
        <v>22</v>
      </c>
      <c r="V120" s="186">
        <f>IF(U120/T120&gt;=100%,100%,U120/T120)</f>
        <v>1</v>
      </c>
      <c r="W120" s="894">
        <v>0.5</v>
      </c>
      <c r="X120" s="476">
        <v>0.5</v>
      </c>
      <c r="Y120" s="535">
        <v>350000000</v>
      </c>
      <c r="Z120" s="369">
        <v>0</v>
      </c>
      <c r="AA120" s="154">
        <v>349613127</v>
      </c>
      <c r="AB120" s="273">
        <f t="shared" si="66"/>
        <v>0.99889464857142862</v>
      </c>
      <c r="AC120" s="268">
        <v>151871358</v>
      </c>
      <c r="AD120" s="151">
        <f t="shared" si="67"/>
        <v>0.43391816571428571</v>
      </c>
      <c r="AE120" s="156">
        <f>+AA120-AC120</f>
        <v>197741769</v>
      </c>
      <c r="AF120" s="154">
        <v>7245280</v>
      </c>
      <c r="AG120" s="154">
        <v>7136690</v>
      </c>
      <c r="AH120" s="614">
        <f t="shared" si="68"/>
        <v>0.98501231146346313</v>
      </c>
      <c r="AI120" s="250">
        <v>1000000000</v>
      </c>
      <c r="AJ120" s="250">
        <f>+SUM(Z120:AA120)</f>
        <v>349613127</v>
      </c>
      <c r="AK120" s="912">
        <f t="shared" si="69"/>
        <v>0.34961312700000002</v>
      </c>
      <c r="AL120" s="157"/>
      <c r="AM120" s="157"/>
      <c r="AN120" s="152" t="s">
        <v>30</v>
      </c>
      <c r="AO120" s="583" t="s">
        <v>907</v>
      </c>
      <c r="AP120" s="558"/>
      <c r="AQ120" s="93"/>
    </row>
    <row r="121" spans="1:43" ht="12.75" customHeight="1" thickBot="1">
      <c r="A121" s="315" t="s">
        <v>467</v>
      </c>
      <c r="B121" s="138"/>
      <c r="C121" s="826"/>
      <c r="D121" s="223"/>
      <c r="E121" s="861"/>
      <c r="F121" s="139"/>
      <c r="G121" s="139"/>
      <c r="H121" s="140">
        <f>+SUMPRODUCT(H122:H124,W122:W124)</f>
        <v>1</v>
      </c>
      <c r="I121" s="161">
        <f>+SUMPRODUCT(I122:I124,X122:X124)</f>
        <v>1</v>
      </c>
      <c r="J121" s="176"/>
      <c r="K121" s="176"/>
      <c r="L121" s="141"/>
      <c r="M121" s="142"/>
      <c r="N121" s="142"/>
      <c r="O121" s="176"/>
      <c r="P121" s="176"/>
      <c r="Q121" s="176"/>
      <c r="R121" s="163"/>
      <c r="S121" s="176"/>
      <c r="T121" s="235"/>
      <c r="U121" s="258">
        <f t="shared" si="141"/>
        <v>0</v>
      </c>
      <c r="V121" s="177">
        <f>+SUMPRODUCT(V122:V124,W122:W124)</f>
        <v>0.56999999999999995</v>
      </c>
      <c r="W121" s="879">
        <v>0.25</v>
      </c>
      <c r="X121" s="471">
        <v>0.25</v>
      </c>
      <c r="Y121" s="144">
        <f>SUM(Y122:Y124)</f>
        <v>630000000</v>
      </c>
      <c r="Z121" s="144">
        <f>SUM(Z122:Z124)</f>
        <v>0</v>
      </c>
      <c r="AA121" s="144">
        <f>SUM(AA122:AA124)</f>
        <v>622866147</v>
      </c>
      <c r="AB121" s="272">
        <f t="shared" si="66"/>
        <v>0.98867642380952381</v>
      </c>
      <c r="AC121" s="144">
        <f>SUM(AC122:AC124)</f>
        <v>448091489</v>
      </c>
      <c r="AD121" s="636">
        <f t="shared" si="67"/>
        <v>0.71125633174603176</v>
      </c>
      <c r="AE121" s="144">
        <f>SUM(AE122:AE124)</f>
        <v>174774658</v>
      </c>
      <c r="AF121" s="144">
        <f>SUM(AF122:AF124)</f>
        <v>43835900</v>
      </c>
      <c r="AG121" s="144">
        <f>SUM(AG122:AG124)</f>
        <v>43628576</v>
      </c>
      <c r="AH121" s="613">
        <f t="shared" si="68"/>
        <v>0.99527045184426466</v>
      </c>
      <c r="AI121" s="144">
        <f t="shared" ref="AI121:AJ121" si="145">SUM(AI122:AI124)</f>
        <v>3920000000</v>
      </c>
      <c r="AJ121" s="144">
        <f t="shared" si="145"/>
        <v>622866147</v>
      </c>
      <c r="AK121" s="910">
        <f t="shared" si="69"/>
        <v>0.15889442525510203</v>
      </c>
      <c r="AL121" s="179"/>
      <c r="AM121" s="165"/>
      <c r="AN121" s="553"/>
      <c r="AO121" s="144"/>
      <c r="AP121" s="557"/>
      <c r="AQ121" s="98"/>
    </row>
    <row r="122" spans="1:43" ht="52.5" customHeight="1">
      <c r="A122" s="340" t="s">
        <v>589</v>
      </c>
      <c r="B122" s="440" t="s">
        <v>780</v>
      </c>
      <c r="C122" s="397">
        <v>7</v>
      </c>
      <c r="D122" s="397">
        <v>7</v>
      </c>
      <c r="E122" s="858">
        <v>7</v>
      </c>
      <c r="F122" s="147">
        <v>7</v>
      </c>
      <c r="G122" s="147"/>
      <c r="H122" s="180">
        <f t="shared" ref="H122:H124" si="146">IF((E122+G122)/C122&gt;=100%,100%,(E122+G122)/C122)</f>
        <v>1</v>
      </c>
      <c r="I122" s="642">
        <f t="shared" ref="I122:I124" si="147">IF(F122/D122&gt;=100%,100%,F122/D122)</f>
        <v>1</v>
      </c>
      <c r="J122" s="181"/>
      <c r="K122" s="181"/>
      <c r="L122" s="101"/>
      <c r="M122" s="104"/>
      <c r="N122" s="146"/>
      <c r="O122" s="181"/>
      <c r="P122" s="181"/>
      <c r="Q122" s="181"/>
      <c r="R122" s="150"/>
      <c r="S122" s="181"/>
      <c r="T122" s="236">
        <v>20</v>
      </c>
      <c r="U122" s="242">
        <f t="shared" si="141"/>
        <v>14</v>
      </c>
      <c r="V122" s="186">
        <f>IF(U122/T122&gt;=100%,100%,U122/T122)</f>
        <v>0.7</v>
      </c>
      <c r="W122" s="893">
        <v>0.35</v>
      </c>
      <c r="X122" s="476">
        <v>0.35</v>
      </c>
      <c r="Y122" s="669">
        <v>402500000</v>
      </c>
      <c r="Z122" s="627">
        <v>0</v>
      </c>
      <c r="AA122" s="670">
        <v>395553830</v>
      </c>
      <c r="AB122" s="273">
        <f t="shared" si="66"/>
        <v>0.9827424347826087</v>
      </c>
      <c r="AC122" s="269">
        <v>425232234</v>
      </c>
      <c r="AD122" s="637">
        <f t="shared" si="67"/>
        <v>1.0564776</v>
      </c>
      <c r="AE122" s="156">
        <f>+AA122-AC122</f>
        <v>-29678404</v>
      </c>
      <c r="AF122" s="174">
        <f>39223932/2</f>
        <v>19611966</v>
      </c>
      <c r="AG122" s="174">
        <f>39085716/2</f>
        <v>19542858</v>
      </c>
      <c r="AH122" s="614">
        <f t="shared" si="68"/>
        <v>0.99647623292840704</v>
      </c>
      <c r="AI122" s="250">
        <v>2800000000</v>
      </c>
      <c r="AJ122" s="250">
        <f>+SUM(Z122:AA122)</f>
        <v>395553830</v>
      </c>
      <c r="AK122" s="911">
        <f t="shared" si="69"/>
        <v>0.141269225</v>
      </c>
      <c r="AL122" s="173"/>
      <c r="AM122" s="157"/>
      <c r="AN122" s="152" t="s">
        <v>30</v>
      </c>
      <c r="AO122" s="2235" t="s">
        <v>908</v>
      </c>
      <c r="AP122" s="558"/>
      <c r="AQ122" s="93"/>
    </row>
    <row r="123" spans="1:43" ht="52.5" customHeight="1">
      <c r="A123" s="336" t="s">
        <v>590</v>
      </c>
      <c r="B123" s="440" t="s">
        <v>781</v>
      </c>
      <c r="C123" s="397">
        <v>1</v>
      </c>
      <c r="D123" s="397">
        <v>1</v>
      </c>
      <c r="E123" s="147">
        <v>1</v>
      </c>
      <c r="F123" s="147">
        <v>1</v>
      </c>
      <c r="G123" s="147"/>
      <c r="H123" s="180">
        <f t="shared" si="146"/>
        <v>1</v>
      </c>
      <c r="I123" s="642">
        <f t="shared" si="147"/>
        <v>1</v>
      </c>
      <c r="J123" s="181"/>
      <c r="K123" s="181"/>
      <c r="L123" s="101"/>
      <c r="M123" s="104"/>
      <c r="N123" s="146"/>
      <c r="O123" s="181"/>
      <c r="P123" s="181"/>
      <c r="Q123" s="181"/>
      <c r="R123" s="150"/>
      <c r="S123" s="181"/>
      <c r="T123" s="236">
        <v>4</v>
      </c>
      <c r="U123" s="242">
        <f t="shared" ref="U123:U124" si="148">SUM(E123:F123)</f>
        <v>2</v>
      </c>
      <c r="V123" s="186">
        <f t="shared" ref="V123:V124" si="149">IF(U123/T123&gt;=100%,100%,U123/T123)</f>
        <v>0.5</v>
      </c>
      <c r="W123" s="476">
        <v>0.35</v>
      </c>
      <c r="X123" s="476">
        <v>0.35</v>
      </c>
      <c r="Y123" s="669">
        <v>57500000</v>
      </c>
      <c r="Z123" s="628">
        <v>0</v>
      </c>
      <c r="AA123" s="670">
        <v>57500000</v>
      </c>
      <c r="AB123" s="273">
        <f t="shared" si="66"/>
        <v>1</v>
      </c>
      <c r="AC123" s="269">
        <v>0</v>
      </c>
      <c r="AD123" s="637">
        <f t="shared" si="67"/>
        <v>0</v>
      </c>
      <c r="AE123" s="156">
        <f>+AA123-AC123</f>
        <v>57500000</v>
      </c>
      <c r="AF123" s="174">
        <f>39223932/2</f>
        <v>19611966</v>
      </c>
      <c r="AG123" s="174">
        <f>39085716/2</f>
        <v>19542858</v>
      </c>
      <c r="AH123" s="614">
        <f t="shared" si="68"/>
        <v>0.99647623292840704</v>
      </c>
      <c r="AI123" s="250">
        <v>320000000</v>
      </c>
      <c r="AJ123" s="250">
        <f t="shared" ref="AJ123:AJ133" si="150">+SUM(Z123:AA123)</f>
        <v>57500000</v>
      </c>
      <c r="AK123" s="914">
        <f t="shared" si="69"/>
        <v>0.1796875</v>
      </c>
      <c r="AL123" s="173"/>
      <c r="AM123" s="157"/>
      <c r="AN123" s="152" t="s">
        <v>30</v>
      </c>
      <c r="AO123" s="2205"/>
      <c r="AP123" s="558"/>
      <c r="AQ123" s="93"/>
    </row>
    <row r="124" spans="1:43" ht="52.5" customHeight="1" thickBot="1">
      <c r="A124" s="335" t="s">
        <v>591</v>
      </c>
      <c r="B124" s="441" t="s">
        <v>782</v>
      </c>
      <c r="C124" s="837">
        <v>1</v>
      </c>
      <c r="D124" s="397">
        <v>1</v>
      </c>
      <c r="E124" s="860">
        <v>1</v>
      </c>
      <c r="F124" s="147">
        <v>1</v>
      </c>
      <c r="G124" s="147"/>
      <c r="H124" s="180">
        <f t="shared" si="146"/>
        <v>1</v>
      </c>
      <c r="I124" s="642">
        <f t="shared" si="147"/>
        <v>1</v>
      </c>
      <c r="J124" s="181"/>
      <c r="K124" s="181"/>
      <c r="L124" s="101"/>
      <c r="M124" s="104"/>
      <c r="N124" s="146"/>
      <c r="O124" s="181"/>
      <c r="P124" s="181"/>
      <c r="Q124" s="181"/>
      <c r="R124" s="150"/>
      <c r="S124" s="181"/>
      <c r="T124" s="236">
        <v>4</v>
      </c>
      <c r="U124" s="242">
        <f t="shared" si="148"/>
        <v>2</v>
      </c>
      <c r="V124" s="186">
        <f t="shared" si="149"/>
        <v>0.5</v>
      </c>
      <c r="W124" s="894">
        <v>0.3</v>
      </c>
      <c r="X124" s="476">
        <v>0.3</v>
      </c>
      <c r="Y124" s="536">
        <v>170000000</v>
      </c>
      <c r="Z124" s="484">
        <v>0</v>
      </c>
      <c r="AA124" s="174">
        <v>169812317</v>
      </c>
      <c r="AB124" s="273">
        <f t="shared" si="66"/>
        <v>0.99889598235294119</v>
      </c>
      <c r="AC124" s="269">
        <v>22859255</v>
      </c>
      <c r="AD124" s="637">
        <f t="shared" si="67"/>
        <v>0.13446620588235295</v>
      </c>
      <c r="AE124" s="156">
        <f>+AA124-AC124</f>
        <v>146953062</v>
      </c>
      <c r="AF124" s="174">
        <v>4611968</v>
      </c>
      <c r="AG124" s="174">
        <v>4542860</v>
      </c>
      <c r="AH124" s="614">
        <f t="shared" si="68"/>
        <v>0.98501550747967026</v>
      </c>
      <c r="AI124" s="250">
        <v>800000000</v>
      </c>
      <c r="AJ124" s="250">
        <f t="shared" si="150"/>
        <v>169812317</v>
      </c>
      <c r="AK124" s="911">
        <f t="shared" si="69"/>
        <v>0.21226539624999999</v>
      </c>
      <c r="AL124" s="173"/>
      <c r="AM124" s="157"/>
      <c r="AN124" s="152" t="s">
        <v>30</v>
      </c>
      <c r="AO124" s="581" t="s">
        <v>890</v>
      </c>
      <c r="AP124" s="558"/>
      <c r="AQ124" s="93"/>
    </row>
    <row r="125" spans="1:43" ht="12.75" customHeight="1" thickBot="1">
      <c r="A125" s="315" t="s">
        <v>468</v>
      </c>
      <c r="B125" s="138"/>
      <c r="C125" s="826"/>
      <c r="D125" s="223"/>
      <c r="E125" s="861"/>
      <c r="F125" s="139"/>
      <c r="G125" s="139"/>
      <c r="H125" s="161">
        <f>+SUMPRODUCT(H126:H131,W126:W131)</f>
        <v>1</v>
      </c>
      <c r="I125" s="161">
        <f>+SUMPRODUCT(I126:I131,X126:X131)</f>
        <v>1</v>
      </c>
      <c r="J125" s="176"/>
      <c r="K125" s="176"/>
      <c r="L125" s="141"/>
      <c r="M125" s="142"/>
      <c r="N125" s="142"/>
      <c r="O125" s="176"/>
      <c r="P125" s="176"/>
      <c r="Q125" s="176"/>
      <c r="R125" s="163"/>
      <c r="S125" s="176"/>
      <c r="T125" s="235"/>
      <c r="U125" s="258">
        <f>SUM(E125:F125)</f>
        <v>0</v>
      </c>
      <c r="V125" s="177">
        <f>+SUMPRODUCT(V126:V131,W126:W131)</f>
        <v>0.625</v>
      </c>
      <c r="W125" s="879">
        <v>0.25</v>
      </c>
      <c r="X125" s="471">
        <v>0.25</v>
      </c>
      <c r="Y125" s="144">
        <f>SUM(Y126:Y131)</f>
        <v>310000000</v>
      </c>
      <c r="Z125" s="144">
        <f>SUM(Z126:Z131)</f>
        <v>0</v>
      </c>
      <c r="AA125" s="602">
        <f>SUM(AA126:AA131)</f>
        <v>300265020.15999997</v>
      </c>
      <c r="AB125" s="272">
        <f t="shared" si="66"/>
        <v>0.96859683922580631</v>
      </c>
      <c r="AC125" s="144">
        <f>SUM(AC126:AC131)</f>
        <v>243026892</v>
      </c>
      <c r="AD125" s="636">
        <f t="shared" si="67"/>
        <v>0.78395771612903231</v>
      </c>
      <c r="AE125" s="144">
        <f>SUM(AE126:AE131)</f>
        <v>57238128.159999996</v>
      </c>
      <c r="AF125" s="144">
        <f>SUM(AF126:AF131)</f>
        <v>101522747.68000001</v>
      </c>
      <c r="AG125" s="144">
        <f>SUM(AG126:AG131)</f>
        <v>93667119.200000003</v>
      </c>
      <c r="AH125" s="613">
        <f t="shared" si="68"/>
        <v>0.92262198709632082</v>
      </c>
      <c r="AI125" s="144">
        <f t="shared" ref="AI125:AJ125" si="151">SUM(AI126:AI131)</f>
        <v>2290000000</v>
      </c>
      <c r="AJ125" s="144">
        <f t="shared" si="151"/>
        <v>300265020.15999997</v>
      </c>
      <c r="AK125" s="910">
        <f t="shared" si="69"/>
        <v>0.13112009613973799</v>
      </c>
      <c r="AL125" s="179"/>
      <c r="AM125" s="165"/>
      <c r="AN125" s="553"/>
      <c r="AO125" s="144"/>
      <c r="AP125" s="557"/>
      <c r="AQ125" s="98"/>
    </row>
    <row r="126" spans="1:43" ht="48.75" customHeight="1">
      <c r="A126" s="341" t="s">
        <v>592</v>
      </c>
      <c r="B126" s="440" t="s">
        <v>783</v>
      </c>
      <c r="C126" s="398">
        <v>1</v>
      </c>
      <c r="D126" s="398">
        <v>1</v>
      </c>
      <c r="E126" s="858">
        <v>1</v>
      </c>
      <c r="F126" s="147">
        <v>1</v>
      </c>
      <c r="G126" s="147"/>
      <c r="H126" s="180">
        <f t="shared" ref="H126" si="152">IF((E126+G126)/C126&gt;=100%,100%,(E126+G126)/C126)</f>
        <v>1</v>
      </c>
      <c r="I126" s="642">
        <f t="shared" ref="I126" si="153">IF(F126/D126&gt;=100%,100%,F126/D126)</f>
        <v>1</v>
      </c>
      <c r="J126" s="181"/>
      <c r="K126" s="181"/>
      <c r="L126" s="101"/>
      <c r="M126" s="104"/>
      <c r="N126" s="146"/>
      <c r="O126" s="181"/>
      <c r="P126" s="181"/>
      <c r="Q126" s="181"/>
      <c r="R126" s="150"/>
      <c r="S126" s="181"/>
      <c r="T126" s="236">
        <v>4</v>
      </c>
      <c r="U126" s="242">
        <f t="shared" ref="U126" si="154">SUM(E126:F126)</f>
        <v>2</v>
      </c>
      <c r="V126" s="186">
        <f t="shared" ref="V126" si="155">IF(U126/T126&gt;=100%,100%,U126/T126)</f>
        <v>0.5</v>
      </c>
      <c r="W126" s="493">
        <v>0.1</v>
      </c>
      <c r="X126" s="492">
        <v>0.1</v>
      </c>
      <c r="Y126" s="688">
        <v>50000000</v>
      </c>
      <c r="Z126" s="689"/>
      <c r="AA126" s="174">
        <v>49974158</v>
      </c>
      <c r="AB126" s="273">
        <f t="shared" si="66"/>
        <v>0.99948316000000004</v>
      </c>
      <c r="AC126" s="269">
        <v>46022601</v>
      </c>
      <c r="AD126" s="637">
        <f t="shared" si="67"/>
        <v>0.92045202000000004</v>
      </c>
      <c r="AE126" s="156">
        <f t="shared" ref="AE126:AE131" si="156">+AA126-AC126</f>
        <v>3951557</v>
      </c>
      <c r="AF126" s="174">
        <f>7780101/2</f>
        <v>3890050.5</v>
      </c>
      <c r="AG126" s="174">
        <f>7734027/2</f>
        <v>3867013.5</v>
      </c>
      <c r="AH126" s="614">
        <f t="shared" si="68"/>
        <v>0.99407796891068634</v>
      </c>
      <c r="AI126" s="250">
        <v>200000000</v>
      </c>
      <c r="AJ126" s="250">
        <f t="shared" si="150"/>
        <v>49974158</v>
      </c>
      <c r="AK126" s="914">
        <f t="shared" si="69"/>
        <v>0.24987079000000001</v>
      </c>
      <c r="AL126" s="173"/>
      <c r="AM126" s="157"/>
      <c r="AN126" s="152" t="s">
        <v>30</v>
      </c>
      <c r="AO126" s="2240" t="s">
        <v>890</v>
      </c>
      <c r="AP126" s="558"/>
      <c r="AQ126" s="93"/>
    </row>
    <row r="127" spans="1:43" ht="48.75" customHeight="1">
      <c r="A127" s="342" t="s">
        <v>593</v>
      </c>
      <c r="B127" s="440" t="s">
        <v>784</v>
      </c>
      <c r="C127" s="398">
        <v>1</v>
      </c>
      <c r="D127" s="398">
        <v>1</v>
      </c>
      <c r="E127" s="147">
        <v>1</v>
      </c>
      <c r="F127" s="147">
        <v>1</v>
      </c>
      <c r="G127" s="147"/>
      <c r="H127" s="180">
        <f t="shared" ref="H127:H131" si="157">IF((E127+G127)/C127&gt;=100%,100%,(E127+G127)/C127)</f>
        <v>1</v>
      </c>
      <c r="I127" s="642">
        <f t="shared" ref="I127:I131" si="158">IF(F127/D127&gt;=100%,100%,F127/D127)</f>
        <v>1</v>
      </c>
      <c r="J127" s="181"/>
      <c r="K127" s="181"/>
      <c r="L127" s="101"/>
      <c r="M127" s="104"/>
      <c r="N127" s="146"/>
      <c r="O127" s="181"/>
      <c r="P127" s="181"/>
      <c r="Q127" s="181"/>
      <c r="R127" s="150"/>
      <c r="S127" s="181"/>
      <c r="T127" s="236">
        <v>4</v>
      </c>
      <c r="U127" s="242">
        <f t="shared" ref="U127:U131" si="159">SUM(E127:F127)</f>
        <v>2</v>
      </c>
      <c r="V127" s="186">
        <f t="shared" ref="V127:V131" si="160">IF(U127/T127&gt;=100%,100%,U127/T127)</f>
        <v>0.5</v>
      </c>
      <c r="W127" s="492">
        <v>0.1</v>
      </c>
      <c r="X127" s="492">
        <v>0.1</v>
      </c>
      <c r="Y127" s="688">
        <v>50000000</v>
      </c>
      <c r="Z127" s="689"/>
      <c r="AA127" s="174">
        <v>49974158</v>
      </c>
      <c r="AB127" s="273">
        <f t="shared" si="66"/>
        <v>0.99948316000000004</v>
      </c>
      <c r="AC127" s="269">
        <v>46022601</v>
      </c>
      <c r="AD127" s="637">
        <f t="shared" si="67"/>
        <v>0.92045202000000004</v>
      </c>
      <c r="AE127" s="156">
        <f t="shared" si="156"/>
        <v>3951557</v>
      </c>
      <c r="AF127" s="174">
        <f>7780101/2</f>
        <v>3890050.5</v>
      </c>
      <c r="AG127" s="174">
        <f>7734027/2</f>
        <v>3867013.5</v>
      </c>
      <c r="AH127" s="614">
        <f t="shared" si="68"/>
        <v>0.99407796891068634</v>
      </c>
      <c r="AI127" s="250">
        <v>200000000</v>
      </c>
      <c r="AJ127" s="250">
        <f t="shared" si="150"/>
        <v>49974158</v>
      </c>
      <c r="AK127" s="914">
        <f t="shared" si="69"/>
        <v>0.24987079000000001</v>
      </c>
      <c r="AL127" s="173"/>
      <c r="AM127" s="157"/>
      <c r="AN127" s="152" t="s">
        <v>30</v>
      </c>
      <c r="AO127" s="2205"/>
      <c r="AP127" s="558"/>
      <c r="AQ127" s="93"/>
    </row>
    <row r="128" spans="1:43" ht="48.75" customHeight="1">
      <c r="A128" s="339" t="s">
        <v>594</v>
      </c>
      <c r="B128" s="440" t="s">
        <v>785</v>
      </c>
      <c r="C128" s="398">
        <v>2</v>
      </c>
      <c r="D128" s="398">
        <v>2</v>
      </c>
      <c r="E128" s="147">
        <v>2</v>
      </c>
      <c r="F128" s="147">
        <v>4</v>
      </c>
      <c r="G128" s="147"/>
      <c r="H128" s="180">
        <f t="shared" si="157"/>
        <v>1</v>
      </c>
      <c r="I128" s="642">
        <f t="shared" si="158"/>
        <v>1</v>
      </c>
      <c r="J128" s="181"/>
      <c r="K128" s="181"/>
      <c r="L128" s="101"/>
      <c r="M128" s="104"/>
      <c r="N128" s="146"/>
      <c r="O128" s="181"/>
      <c r="P128" s="181"/>
      <c r="Q128" s="181"/>
      <c r="R128" s="150"/>
      <c r="S128" s="181"/>
      <c r="T128" s="236">
        <v>4</v>
      </c>
      <c r="U128" s="242">
        <f t="shared" si="159"/>
        <v>6</v>
      </c>
      <c r="V128" s="186">
        <f t="shared" si="160"/>
        <v>1</v>
      </c>
      <c r="W128" s="493">
        <v>0.2</v>
      </c>
      <c r="X128" s="493">
        <v>0.25</v>
      </c>
      <c r="Y128" s="688">
        <v>80000000</v>
      </c>
      <c r="Z128" s="690">
        <v>0</v>
      </c>
      <c r="AA128" s="174">
        <v>71208584</v>
      </c>
      <c r="AB128" s="273">
        <f t="shared" si="66"/>
        <v>0.89010730000000005</v>
      </c>
      <c r="AC128" s="269">
        <v>65623970</v>
      </c>
      <c r="AD128" s="189">
        <f t="shared" si="67"/>
        <v>0.82029962499999998</v>
      </c>
      <c r="AE128" s="156">
        <f t="shared" si="156"/>
        <v>5584614</v>
      </c>
      <c r="AF128" s="174">
        <v>22865516.199999999</v>
      </c>
      <c r="AG128" s="174">
        <v>20740179.199999999</v>
      </c>
      <c r="AH128" s="614">
        <f t="shared" si="68"/>
        <v>0.90705055676809954</v>
      </c>
      <c r="AI128" s="250">
        <v>160000000</v>
      </c>
      <c r="AJ128" s="250">
        <f t="shared" si="150"/>
        <v>71208584</v>
      </c>
      <c r="AK128" s="911">
        <f t="shared" si="69"/>
        <v>0.44505365000000002</v>
      </c>
      <c r="AL128" s="173"/>
      <c r="AM128" s="157"/>
      <c r="AN128" s="152" t="s">
        <v>30</v>
      </c>
      <c r="AO128" s="584" t="s">
        <v>909</v>
      </c>
      <c r="AP128" s="558"/>
      <c r="AQ128" s="93"/>
    </row>
    <row r="129" spans="1:43" ht="48.75" customHeight="1">
      <c r="A129" s="339" t="s">
        <v>595</v>
      </c>
      <c r="B129" s="440" t="s">
        <v>786</v>
      </c>
      <c r="C129" s="398">
        <v>1</v>
      </c>
      <c r="D129" s="398">
        <v>1</v>
      </c>
      <c r="E129" s="147">
        <v>1</v>
      </c>
      <c r="F129" s="147">
        <v>1</v>
      </c>
      <c r="G129" s="147"/>
      <c r="H129" s="180">
        <f t="shared" si="157"/>
        <v>1</v>
      </c>
      <c r="I129" s="642">
        <f t="shared" si="158"/>
        <v>1</v>
      </c>
      <c r="J129" s="181"/>
      <c r="K129" s="181"/>
      <c r="L129" s="101"/>
      <c r="M129" s="104"/>
      <c r="N129" s="146"/>
      <c r="O129" s="181"/>
      <c r="P129" s="181"/>
      <c r="Q129" s="181"/>
      <c r="R129" s="150"/>
      <c r="S129" s="181"/>
      <c r="T129" s="236">
        <v>4</v>
      </c>
      <c r="U129" s="242">
        <f t="shared" si="159"/>
        <v>2</v>
      </c>
      <c r="V129" s="186">
        <f t="shared" si="160"/>
        <v>0.5</v>
      </c>
      <c r="W129" s="493">
        <v>0.3</v>
      </c>
      <c r="X129" s="493">
        <v>0.35</v>
      </c>
      <c r="Y129" s="688">
        <v>80000000</v>
      </c>
      <c r="Z129" s="690">
        <v>0</v>
      </c>
      <c r="AA129" s="174">
        <v>79123194.159999996</v>
      </c>
      <c r="AB129" s="273">
        <f t="shared" si="66"/>
        <v>0.98903992699999999</v>
      </c>
      <c r="AC129" s="269">
        <v>35908271</v>
      </c>
      <c r="AD129" s="637">
        <f t="shared" si="67"/>
        <v>0.44885338749999998</v>
      </c>
      <c r="AE129" s="156">
        <f t="shared" si="156"/>
        <v>43214923.159999996</v>
      </c>
      <c r="AF129" s="174">
        <v>17728256</v>
      </c>
      <c r="AG129" s="174">
        <v>16165483</v>
      </c>
      <c r="AH129" s="614">
        <f t="shared" si="68"/>
        <v>0.91184846383084717</v>
      </c>
      <c r="AI129" s="250">
        <v>800000000</v>
      </c>
      <c r="AJ129" s="250">
        <f t="shared" si="150"/>
        <v>79123194.159999996</v>
      </c>
      <c r="AK129" s="911">
        <f t="shared" si="69"/>
        <v>9.8903992699999999E-2</v>
      </c>
      <c r="AL129" s="173"/>
      <c r="AM129" s="157"/>
      <c r="AN129" s="152" t="s">
        <v>30</v>
      </c>
      <c r="AO129" s="583" t="s">
        <v>890</v>
      </c>
      <c r="AP129" s="558"/>
      <c r="AQ129" s="93"/>
    </row>
    <row r="130" spans="1:43" ht="48.75" customHeight="1">
      <c r="A130" s="342" t="s">
        <v>596</v>
      </c>
      <c r="B130" s="440" t="s">
        <v>787</v>
      </c>
      <c r="C130" s="398">
        <v>1</v>
      </c>
      <c r="D130" s="398">
        <v>0</v>
      </c>
      <c r="E130" s="147">
        <v>1</v>
      </c>
      <c r="F130" s="147">
        <v>0</v>
      </c>
      <c r="G130" s="147"/>
      <c r="H130" s="180">
        <f t="shared" si="157"/>
        <v>1</v>
      </c>
      <c r="I130" s="642">
        <v>0</v>
      </c>
      <c r="J130" s="181"/>
      <c r="K130" s="181"/>
      <c r="L130" s="101"/>
      <c r="M130" s="104"/>
      <c r="N130" s="146"/>
      <c r="O130" s="181"/>
      <c r="P130" s="181"/>
      <c r="Q130" s="181"/>
      <c r="R130" s="150"/>
      <c r="S130" s="181"/>
      <c r="T130" s="236">
        <v>2</v>
      </c>
      <c r="U130" s="242">
        <f t="shared" si="159"/>
        <v>1</v>
      </c>
      <c r="V130" s="186">
        <f t="shared" si="160"/>
        <v>0.5</v>
      </c>
      <c r="W130" s="492">
        <v>0.15</v>
      </c>
      <c r="X130" s="492">
        <v>0</v>
      </c>
      <c r="Y130" s="688">
        <v>0</v>
      </c>
      <c r="Z130" s="690">
        <v>0</v>
      </c>
      <c r="AA130" s="174">
        <v>0</v>
      </c>
      <c r="AB130" s="273" t="e">
        <f t="shared" si="66"/>
        <v>#DIV/0!</v>
      </c>
      <c r="AC130" s="269">
        <v>0</v>
      </c>
      <c r="AD130" s="637" t="e">
        <f t="shared" si="67"/>
        <v>#DIV/0!</v>
      </c>
      <c r="AE130" s="156">
        <f t="shared" si="156"/>
        <v>0</v>
      </c>
      <c r="AF130" s="174"/>
      <c r="AG130" s="174"/>
      <c r="AH130" s="614" t="e">
        <f t="shared" si="68"/>
        <v>#DIV/0!</v>
      </c>
      <c r="AI130" s="250">
        <v>840000000</v>
      </c>
      <c r="AJ130" s="250">
        <f t="shared" si="150"/>
        <v>0</v>
      </c>
      <c r="AK130" s="911">
        <f t="shared" si="69"/>
        <v>0</v>
      </c>
      <c r="AL130" s="173"/>
      <c r="AM130" s="157"/>
      <c r="AN130" s="152" t="s">
        <v>30</v>
      </c>
      <c r="AO130" s="2240" t="s">
        <v>910</v>
      </c>
      <c r="AP130" s="558"/>
      <c r="AQ130" s="93"/>
    </row>
    <row r="131" spans="1:43" ht="48.75" customHeight="1" thickBot="1">
      <c r="A131" s="342" t="s">
        <v>597</v>
      </c>
      <c r="B131" s="441" t="s">
        <v>788</v>
      </c>
      <c r="C131" s="838">
        <v>1</v>
      </c>
      <c r="D131" s="398">
        <v>1</v>
      </c>
      <c r="E131" s="860">
        <v>1</v>
      </c>
      <c r="F131" s="147">
        <v>1</v>
      </c>
      <c r="G131" s="147"/>
      <c r="H131" s="180">
        <f t="shared" si="157"/>
        <v>1</v>
      </c>
      <c r="I131" s="642">
        <f t="shared" si="158"/>
        <v>1</v>
      </c>
      <c r="J131" s="181"/>
      <c r="K131" s="181"/>
      <c r="L131" s="101"/>
      <c r="M131" s="104"/>
      <c r="N131" s="146"/>
      <c r="O131" s="181"/>
      <c r="P131" s="181"/>
      <c r="Q131" s="181"/>
      <c r="R131" s="150"/>
      <c r="S131" s="181"/>
      <c r="T131" s="236">
        <v>3</v>
      </c>
      <c r="U131" s="242">
        <f t="shared" si="159"/>
        <v>2</v>
      </c>
      <c r="V131" s="186">
        <f t="shared" si="160"/>
        <v>0.66666666666666663</v>
      </c>
      <c r="W131" s="895">
        <v>0.15</v>
      </c>
      <c r="X131" s="492">
        <v>0.2</v>
      </c>
      <c r="Y131" s="688">
        <v>50000000</v>
      </c>
      <c r="Z131" s="690">
        <v>0</v>
      </c>
      <c r="AA131" s="174">
        <v>49984926</v>
      </c>
      <c r="AB131" s="273">
        <f t="shared" si="66"/>
        <v>0.99969852000000003</v>
      </c>
      <c r="AC131" s="269">
        <v>49449449</v>
      </c>
      <c r="AD131" s="637">
        <f t="shared" si="67"/>
        <v>0.98898898000000002</v>
      </c>
      <c r="AE131" s="156">
        <f t="shared" si="156"/>
        <v>535477</v>
      </c>
      <c r="AF131" s="174">
        <v>53148874.479999997</v>
      </c>
      <c r="AG131" s="174">
        <v>49027430</v>
      </c>
      <c r="AH131" s="614">
        <f t="shared" si="68"/>
        <v>0.92245471761493458</v>
      </c>
      <c r="AI131" s="250">
        <v>90000000</v>
      </c>
      <c r="AJ131" s="250">
        <f t="shared" si="150"/>
        <v>49984926</v>
      </c>
      <c r="AK131" s="914">
        <f t="shared" si="69"/>
        <v>0.55538806666666662</v>
      </c>
      <c r="AL131" s="173"/>
      <c r="AM131" s="157"/>
      <c r="AN131" s="152" t="s">
        <v>30</v>
      </c>
      <c r="AO131" s="2205"/>
      <c r="AP131" s="558"/>
      <c r="AQ131" s="93"/>
    </row>
    <row r="132" spans="1:43" ht="12.75" customHeight="1" thickBot="1">
      <c r="A132" s="315" t="s">
        <v>469</v>
      </c>
      <c r="B132" s="138"/>
      <c r="C132" s="826"/>
      <c r="D132" s="223"/>
      <c r="E132" s="861"/>
      <c r="F132" s="139"/>
      <c r="G132" s="139"/>
      <c r="H132" s="140">
        <f>+SUMPRODUCT(H133:H133,W133:W133)</f>
        <v>1</v>
      </c>
      <c r="I132" s="161">
        <f>+SUMPRODUCT(I133:I133,X133:X133)</f>
        <v>1</v>
      </c>
      <c r="J132" s="176"/>
      <c r="K132" s="176"/>
      <c r="L132" s="141"/>
      <c r="M132" s="142"/>
      <c r="N132" s="142"/>
      <c r="O132" s="176"/>
      <c r="P132" s="176"/>
      <c r="Q132" s="176"/>
      <c r="R132" s="163"/>
      <c r="S132" s="176"/>
      <c r="T132" s="235"/>
      <c r="U132" s="258">
        <f>SUM(E132:F132)</f>
        <v>0</v>
      </c>
      <c r="V132" s="177">
        <f>+SUMPRODUCT(V133:V133,W133:W133)</f>
        <v>0.5</v>
      </c>
      <c r="W132" s="879">
        <v>0.25</v>
      </c>
      <c r="X132" s="471">
        <v>0.25</v>
      </c>
      <c r="Y132" s="144">
        <f>SUM(Y133)</f>
        <v>100000000</v>
      </c>
      <c r="Z132" s="144">
        <f>SUM(Z133)</f>
        <v>0</v>
      </c>
      <c r="AA132" s="144">
        <f>SUM(AA133)</f>
        <v>99889401</v>
      </c>
      <c r="AB132" s="272">
        <f t="shared" si="66"/>
        <v>0.99889401</v>
      </c>
      <c r="AC132" s="144">
        <f>SUM(AC133)</f>
        <v>6957167</v>
      </c>
      <c r="AD132" s="636">
        <f t="shared" si="67"/>
        <v>6.9571670000000002E-2</v>
      </c>
      <c r="AE132" s="144">
        <f>SUM(AE133)</f>
        <v>92932234</v>
      </c>
      <c r="AF132" s="144">
        <f>SUM(AF133)</f>
        <v>2677266</v>
      </c>
      <c r="AG132" s="144">
        <f>SUM(AG133)</f>
        <v>2561567</v>
      </c>
      <c r="AH132" s="613">
        <f t="shared" si="68"/>
        <v>0.95678464523136664</v>
      </c>
      <c r="AI132" s="144">
        <f t="shared" ref="AI132:AJ132" si="161">SUM(AI133)</f>
        <v>400000000</v>
      </c>
      <c r="AJ132" s="144">
        <f t="shared" si="161"/>
        <v>99889401</v>
      </c>
      <c r="AK132" s="910">
        <f t="shared" si="69"/>
        <v>0.2497235025</v>
      </c>
      <c r="AL132" s="179"/>
      <c r="AM132" s="165"/>
      <c r="AN132" s="553"/>
      <c r="AO132" s="144"/>
      <c r="AP132" s="557"/>
      <c r="AQ132" s="98"/>
    </row>
    <row r="133" spans="1:43" ht="34.5" customHeight="1" thickBot="1">
      <c r="A133" s="334" t="s">
        <v>598</v>
      </c>
      <c r="B133" s="441" t="s">
        <v>789</v>
      </c>
      <c r="C133" s="839">
        <v>1</v>
      </c>
      <c r="D133" s="217">
        <v>1</v>
      </c>
      <c r="E133" s="867">
        <v>1</v>
      </c>
      <c r="F133" s="147">
        <v>1</v>
      </c>
      <c r="G133" s="147"/>
      <c r="H133" s="180">
        <f t="shared" ref="H133" si="162">IF((E133+G133)/C133&gt;=100%,100%,(E133+G133)/C133)</f>
        <v>1</v>
      </c>
      <c r="I133" s="642">
        <f t="shared" ref="I133" si="163">IF(F133/D133&gt;=100%,100%,F133/D133)</f>
        <v>1</v>
      </c>
      <c r="J133" s="181"/>
      <c r="K133" s="181"/>
      <c r="L133" s="101"/>
      <c r="M133" s="104"/>
      <c r="N133" s="146"/>
      <c r="O133" s="181"/>
      <c r="P133" s="181"/>
      <c r="Q133" s="181"/>
      <c r="R133" s="150"/>
      <c r="S133" s="181"/>
      <c r="T133" s="236">
        <v>4</v>
      </c>
      <c r="U133" s="242">
        <f t="shared" ref="U133" si="164">SUM(E133:F133)</f>
        <v>2</v>
      </c>
      <c r="V133" s="186">
        <f t="shared" ref="V133" si="165">IF(U133/T133&gt;=100%,100%,U133/T133)</f>
        <v>0.5</v>
      </c>
      <c r="W133" s="896">
        <v>1</v>
      </c>
      <c r="X133" s="476">
        <v>1</v>
      </c>
      <c r="Y133" s="533">
        <v>100000000</v>
      </c>
      <c r="Z133" s="367">
        <v>0</v>
      </c>
      <c r="AA133" s="174">
        <v>99889401</v>
      </c>
      <c r="AB133" s="273">
        <f t="shared" si="66"/>
        <v>0.99889401</v>
      </c>
      <c r="AC133" s="269">
        <v>6957167</v>
      </c>
      <c r="AD133" s="637">
        <f t="shared" si="67"/>
        <v>6.9571670000000002E-2</v>
      </c>
      <c r="AE133" s="156">
        <f>+AA133-AC133</f>
        <v>92932234</v>
      </c>
      <c r="AF133" s="174">
        <v>2677266</v>
      </c>
      <c r="AG133" s="174">
        <v>2561567</v>
      </c>
      <c r="AH133" s="614">
        <f t="shared" si="68"/>
        <v>0.95678464523136664</v>
      </c>
      <c r="AI133" s="250">
        <v>400000000</v>
      </c>
      <c r="AJ133" s="250">
        <f t="shared" si="150"/>
        <v>99889401</v>
      </c>
      <c r="AK133" s="911">
        <f t="shared" si="69"/>
        <v>0.2497235025</v>
      </c>
      <c r="AL133" s="173"/>
      <c r="AM133" s="157"/>
      <c r="AN133" s="152" t="s">
        <v>30</v>
      </c>
      <c r="AO133" s="585" t="s">
        <v>911</v>
      </c>
      <c r="AP133" s="558"/>
      <c r="AQ133" s="93"/>
    </row>
    <row r="134" spans="1:43" ht="56.25" customHeight="1" thickBot="1">
      <c r="A134" s="314" t="s">
        <v>428</v>
      </c>
      <c r="B134" s="413"/>
      <c r="C134" s="129"/>
      <c r="D134" s="222"/>
      <c r="E134" s="862"/>
      <c r="F134" s="129"/>
      <c r="G134" s="129"/>
      <c r="H134" s="248">
        <f>+(H135*W135)</f>
        <v>1</v>
      </c>
      <c r="I134" s="130">
        <f>+(I135*X135)</f>
        <v>1</v>
      </c>
      <c r="J134" s="132"/>
      <c r="K134" s="132"/>
      <c r="L134" s="132"/>
      <c r="M134" s="133"/>
      <c r="N134" s="133"/>
      <c r="O134" s="132"/>
      <c r="P134" s="132"/>
      <c r="Q134" s="132"/>
      <c r="R134" s="159"/>
      <c r="S134" s="132"/>
      <c r="T134" s="230"/>
      <c r="U134" s="257"/>
      <c r="V134" s="468">
        <f>+(V135*W135)</f>
        <v>0.5</v>
      </c>
      <c r="W134" s="883">
        <v>0.15</v>
      </c>
      <c r="X134" s="470">
        <v>0.15</v>
      </c>
      <c r="Y134" s="135">
        <f>+Y135</f>
        <v>600000000</v>
      </c>
      <c r="Z134" s="135">
        <f>+Z135</f>
        <v>0</v>
      </c>
      <c r="AA134" s="135">
        <f>+AA135</f>
        <v>599332244</v>
      </c>
      <c r="AB134" s="271">
        <f t="shared" si="66"/>
        <v>0.99888707333333338</v>
      </c>
      <c r="AC134" s="135">
        <f>+AC135</f>
        <v>363796006</v>
      </c>
      <c r="AD134" s="552">
        <f t="shared" si="67"/>
        <v>0.60632667666666662</v>
      </c>
      <c r="AE134" s="135">
        <f>+AE135</f>
        <v>235536238</v>
      </c>
      <c r="AF134" s="135">
        <f>+AF135</f>
        <v>176888330</v>
      </c>
      <c r="AG134" s="135">
        <f>+AG135</f>
        <v>176604108</v>
      </c>
      <c r="AH134" s="612">
        <f t="shared" si="68"/>
        <v>0.9983932122599608</v>
      </c>
      <c r="AI134" s="135">
        <f t="shared" ref="AI134:AJ134" si="166">+AI135</f>
        <v>3000000000</v>
      </c>
      <c r="AJ134" s="135">
        <f t="shared" si="166"/>
        <v>599332244</v>
      </c>
      <c r="AK134" s="199">
        <f t="shared" si="69"/>
        <v>0.19977741466666665</v>
      </c>
      <c r="AL134" s="160"/>
      <c r="AM134" s="160" t="s">
        <v>300</v>
      </c>
      <c r="AN134" s="136"/>
      <c r="AO134" s="135"/>
      <c r="AP134" s="556"/>
      <c r="AQ134" s="97"/>
    </row>
    <row r="135" spans="1:43" ht="52.5" customHeight="1" thickBot="1">
      <c r="A135" s="315" t="s">
        <v>470</v>
      </c>
      <c r="B135" s="138"/>
      <c r="C135" s="139"/>
      <c r="D135" s="223"/>
      <c r="E135" s="861"/>
      <c r="F135" s="139"/>
      <c r="G135" s="139"/>
      <c r="H135" s="140">
        <f>+SUMPRODUCT(H136:H139,W136:W139)</f>
        <v>1</v>
      </c>
      <c r="I135" s="161">
        <f>+SUMPRODUCT(I136:I139,X136:X139)</f>
        <v>1</v>
      </c>
      <c r="J135" s="176"/>
      <c r="K135" s="176"/>
      <c r="L135" s="141"/>
      <c r="M135" s="142"/>
      <c r="N135" s="142"/>
      <c r="O135" s="176"/>
      <c r="P135" s="176"/>
      <c r="Q135" s="176"/>
      <c r="R135" s="163"/>
      <c r="S135" s="176"/>
      <c r="T135" s="235"/>
      <c r="U135" s="258"/>
      <c r="V135" s="177">
        <f>+SUMPRODUCT(V136:V139,W136:W139)</f>
        <v>0.5</v>
      </c>
      <c r="W135" s="879">
        <v>1</v>
      </c>
      <c r="X135" s="471">
        <v>1</v>
      </c>
      <c r="Y135" s="144">
        <f>SUM(Y136:Y139)</f>
        <v>600000000</v>
      </c>
      <c r="Z135" s="144">
        <f>SUM(Z136:Z139)</f>
        <v>0</v>
      </c>
      <c r="AA135" s="144">
        <f>SUM(AA136:AA139)</f>
        <v>599332244</v>
      </c>
      <c r="AB135" s="272">
        <f t="shared" si="66"/>
        <v>0.99888707333333338</v>
      </c>
      <c r="AC135" s="144">
        <f>SUM(AC136:AC139)</f>
        <v>363796006</v>
      </c>
      <c r="AD135" s="636">
        <f t="shared" si="67"/>
        <v>0.60632667666666662</v>
      </c>
      <c r="AE135" s="144">
        <f>SUM(AE136:AE139)</f>
        <v>235536238</v>
      </c>
      <c r="AF135" s="144">
        <f>SUM(AF136:AF139)</f>
        <v>176888330</v>
      </c>
      <c r="AG135" s="144">
        <f>SUM(AG136:AG139)</f>
        <v>176604108</v>
      </c>
      <c r="AH135" s="613">
        <f t="shared" si="68"/>
        <v>0.9983932122599608</v>
      </c>
      <c r="AI135" s="144">
        <f t="shared" ref="AI135:AJ135" si="167">SUM(AI136:AI139)</f>
        <v>3000000000</v>
      </c>
      <c r="AJ135" s="144">
        <f t="shared" si="167"/>
        <v>599332244</v>
      </c>
      <c r="AK135" s="910">
        <f t="shared" si="69"/>
        <v>0.19977741466666665</v>
      </c>
      <c r="AL135" s="179"/>
      <c r="AM135" s="165"/>
      <c r="AN135" s="553"/>
      <c r="AO135" s="144"/>
      <c r="AP135" s="557"/>
      <c r="AQ135" s="98"/>
    </row>
    <row r="136" spans="1:43" ht="12.75" customHeight="1">
      <c r="A136" s="333" t="s">
        <v>599</v>
      </c>
      <c r="B136" s="442" t="s">
        <v>868</v>
      </c>
      <c r="C136" s="840">
        <v>1</v>
      </c>
      <c r="D136" s="217">
        <v>1</v>
      </c>
      <c r="E136" s="865">
        <v>1</v>
      </c>
      <c r="F136" s="147">
        <v>1</v>
      </c>
      <c r="G136" s="147"/>
      <c r="H136" s="180">
        <f t="shared" ref="H136" si="168">IF((E136+G136)/C136&gt;=100%,100%,(E136+G136)/C136)</f>
        <v>1</v>
      </c>
      <c r="I136" s="642">
        <f t="shared" ref="I136" si="169">IF(F136/D136&gt;=100%,100%,F136/D136)</f>
        <v>1</v>
      </c>
      <c r="J136" s="181"/>
      <c r="K136" s="181"/>
      <c r="L136" s="101"/>
      <c r="M136" s="104"/>
      <c r="N136" s="146"/>
      <c r="O136" s="181"/>
      <c r="P136" s="181"/>
      <c r="Q136" s="181"/>
      <c r="R136" s="150"/>
      <c r="S136" s="181"/>
      <c r="T136" s="236">
        <v>4</v>
      </c>
      <c r="U136" s="242">
        <f t="shared" ref="U136" si="170">SUM(E136:F136)</f>
        <v>2</v>
      </c>
      <c r="V136" s="186">
        <f t="shared" ref="V136" si="171">IF(U136/T136&gt;=100%,100%,U136/T136)</f>
        <v>0.5</v>
      </c>
      <c r="W136" s="884">
        <v>0.25</v>
      </c>
      <c r="X136" s="472">
        <v>0.25</v>
      </c>
      <c r="Y136" s="531">
        <v>150000000</v>
      </c>
      <c r="Z136" s="367">
        <v>0</v>
      </c>
      <c r="AA136" s="174">
        <v>149833109</v>
      </c>
      <c r="AB136" s="273">
        <f t="shared" ref="AB136:AB199" si="172">+AA136/Y136</f>
        <v>0.99888739333333332</v>
      </c>
      <c r="AC136" s="269">
        <v>141900353</v>
      </c>
      <c r="AD136" s="637">
        <f t="shared" si="67"/>
        <v>0.94600235333333338</v>
      </c>
      <c r="AE136" s="156">
        <f>+AA136-AC136</f>
        <v>7932756</v>
      </c>
      <c r="AF136" s="174">
        <v>3964803</v>
      </c>
      <c r="AG136" s="174">
        <v>3887145</v>
      </c>
      <c r="AH136" s="614">
        <f t="shared" si="68"/>
        <v>0.98041315041377841</v>
      </c>
      <c r="AI136" s="250">
        <v>750000000</v>
      </c>
      <c r="AJ136" s="250">
        <f t="shared" ref="AJ136:AJ139" si="173">+SUM(Z136:AA136)</f>
        <v>149833109</v>
      </c>
      <c r="AK136" s="911">
        <f t="shared" si="69"/>
        <v>0.19977747866666667</v>
      </c>
      <c r="AL136" s="173"/>
      <c r="AM136" s="157"/>
      <c r="AN136" s="152" t="s">
        <v>30</v>
      </c>
      <c r="AO136" s="2241" t="s">
        <v>912</v>
      </c>
      <c r="AP136" s="558"/>
      <c r="AQ136" s="93"/>
    </row>
    <row r="137" spans="1:43" ht="12.75" customHeight="1">
      <c r="A137" s="333" t="s">
        <v>600</v>
      </c>
      <c r="B137" s="442" t="s">
        <v>869</v>
      </c>
      <c r="C137" s="217">
        <v>1</v>
      </c>
      <c r="D137" s="217">
        <v>1</v>
      </c>
      <c r="E137" s="859">
        <v>1</v>
      </c>
      <c r="F137" s="147">
        <v>1</v>
      </c>
      <c r="G137" s="147"/>
      <c r="H137" s="180">
        <f t="shared" ref="H137:H139" si="174">IF((E137+G137)/C137&gt;=100%,100%,(E137+G137)/C137)</f>
        <v>1</v>
      </c>
      <c r="I137" s="642">
        <f t="shared" ref="I137:I139" si="175">IF(F137/D137&gt;=100%,100%,F137/D137)</f>
        <v>1</v>
      </c>
      <c r="J137" s="181"/>
      <c r="K137" s="181"/>
      <c r="L137" s="101"/>
      <c r="M137" s="104"/>
      <c r="N137" s="146"/>
      <c r="O137" s="181"/>
      <c r="P137" s="181"/>
      <c r="Q137" s="181"/>
      <c r="R137" s="150"/>
      <c r="S137" s="181"/>
      <c r="T137" s="236">
        <v>4</v>
      </c>
      <c r="U137" s="242">
        <f t="shared" ref="U137:U139" si="176">SUM(E137:F137)</f>
        <v>2</v>
      </c>
      <c r="V137" s="186">
        <f t="shared" ref="V137:V139" si="177">IF(U137/T137&gt;=100%,100%,U137/T137)</f>
        <v>0.5</v>
      </c>
      <c r="W137" s="881">
        <v>0.25</v>
      </c>
      <c r="X137" s="472">
        <v>0.25</v>
      </c>
      <c r="Y137" s="531">
        <v>150000000</v>
      </c>
      <c r="Z137" s="367">
        <v>0</v>
      </c>
      <c r="AA137" s="174">
        <v>149833045</v>
      </c>
      <c r="AB137" s="273">
        <f t="shared" si="172"/>
        <v>0.99888696666666665</v>
      </c>
      <c r="AC137" s="269">
        <v>39998551</v>
      </c>
      <c r="AD137" s="637">
        <f t="shared" ref="AD137:AD200" si="178">+AC137/Y137</f>
        <v>0.26665700666666664</v>
      </c>
      <c r="AE137" s="156">
        <f>+AA137-AC137</f>
        <v>109834494</v>
      </c>
      <c r="AF137" s="174">
        <v>3974509</v>
      </c>
      <c r="AG137" s="174">
        <v>3878517</v>
      </c>
      <c r="AH137" s="614">
        <f t="shared" ref="AH137:AH200" si="179">+AG137/AF137</f>
        <v>0.97584808588935135</v>
      </c>
      <c r="AI137" s="250">
        <v>750000000</v>
      </c>
      <c r="AJ137" s="250">
        <f t="shared" si="173"/>
        <v>149833045</v>
      </c>
      <c r="AK137" s="911">
        <f t="shared" ref="AK137:AK200" si="180">+AJ137/AI137</f>
        <v>0.19977739333333333</v>
      </c>
      <c r="AL137" s="173"/>
      <c r="AM137" s="157"/>
      <c r="AN137" s="152" t="s">
        <v>30</v>
      </c>
      <c r="AO137" s="2206"/>
      <c r="AP137" s="558"/>
      <c r="AQ137" s="93"/>
    </row>
    <row r="138" spans="1:43" ht="12.75" customHeight="1">
      <c r="A138" s="333" t="s">
        <v>601</v>
      </c>
      <c r="B138" s="442" t="s">
        <v>869</v>
      </c>
      <c r="C138" s="217">
        <v>1</v>
      </c>
      <c r="D138" s="217">
        <v>1</v>
      </c>
      <c r="E138" s="859">
        <v>1</v>
      </c>
      <c r="F138" s="147">
        <v>1</v>
      </c>
      <c r="G138" s="147"/>
      <c r="H138" s="180">
        <f t="shared" si="174"/>
        <v>1</v>
      </c>
      <c r="I138" s="642">
        <f t="shared" si="175"/>
        <v>1</v>
      </c>
      <c r="J138" s="181"/>
      <c r="K138" s="181"/>
      <c r="L138" s="101"/>
      <c r="M138" s="104"/>
      <c r="N138" s="146"/>
      <c r="O138" s="181"/>
      <c r="P138" s="181"/>
      <c r="Q138" s="181"/>
      <c r="R138" s="150"/>
      <c r="S138" s="181"/>
      <c r="T138" s="236">
        <v>4</v>
      </c>
      <c r="U138" s="242">
        <f t="shared" si="176"/>
        <v>2</v>
      </c>
      <c r="V138" s="186">
        <f t="shared" si="177"/>
        <v>0.5</v>
      </c>
      <c r="W138" s="881">
        <v>0.25</v>
      </c>
      <c r="X138" s="472">
        <v>0.25</v>
      </c>
      <c r="Y138" s="531">
        <v>150000000</v>
      </c>
      <c r="Z138" s="367">
        <v>0</v>
      </c>
      <c r="AA138" s="174">
        <v>149833045</v>
      </c>
      <c r="AB138" s="273">
        <f t="shared" si="172"/>
        <v>0.99888696666666665</v>
      </c>
      <c r="AC138" s="269">
        <v>141898551</v>
      </c>
      <c r="AD138" s="637">
        <f t="shared" si="178"/>
        <v>0.94599034000000004</v>
      </c>
      <c r="AE138" s="156">
        <f>+AA138-AC138</f>
        <v>7934494</v>
      </c>
      <c r="AF138" s="174">
        <v>26974509</v>
      </c>
      <c r="AG138" s="174">
        <v>26919223</v>
      </c>
      <c r="AH138" s="614">
        <f t="shared" si="179"/>
        <v>0.99795043535361483</v>
      </c>
      <c r="AI138" s="250">
        <v>750000000</v>
      </c>
      <c r="AJ138" s="250">
        <f t="shared" si="173"/>
        <v>149833045</v>
      </c>
      <c r="AK138" s="911">
        <f t="shared" si="180"/>
        <v>0.19977739333333333</v>
      </c>
      <c r="AL138" s="173"/>
      <c r="AM138" s="157"/>
      <c r="AN138" s="152" t="s">
        <v>30</v>
      </c>
      <c r="AO138" s="2206"/>
      <c r="AP138" s="558"/>
      <c r="AQ138" s="93"/>
    </row>
    <row r="139" spans="1:43" ht="12.75" customHeight="1" thickBot="1">
      <c r="A139" s="333" t="s">
        <v>602</v>
      </c>
      <c r="B139" s="443" t="s">
        <v>790</v>
      </c>
      <c r="C139" s="841">
        <v>1</v>
      </c>
      <c r="D139" s="217">
        <v>1</v>
      </c>
      <c r="E139" s="866">
        <v>1</v>
      </c>
      <c r="F139" s="147">
        <v>1</v>
      </c>
      <c r="G139" s="147"/>
      <c r="H139" s="180">
        <f t="shared" si="174"/>
        <v>1</v>
      </c>
      <c r="I139" s="642">
        <f t="shared" si="175"/>
        <v>1</v>
      </c>
      <c r="J139" s="181"/>
      <c r="K139" s="181"/>
      <c r="L139" s="101"/>
      <c r="M139" s="104"/>
      <c r="N139" s="146"/>
      <c r="O139" s="181"/>
      <c r="P139" s="181"/>
      <c r="Q139" s="181"/>
      <c r="R139" s="150"/>
      <c r="S139" s="181"/>
      <c r="T139" s="236">
        <v>4</v>
      </c>
      <c r="U139" s="242">
        <f t="shared" si="176"/>
        <v>2</v>
      </c>
      <c r="V139" s="186">
        <f t="shared" si="177"/>
        <v>0.5</v>
      </c>
      <c r="W139" s="885">
        <v>0.25</v>
      </c>
      <c r="X139" s="472">
        <v>0.25</v>
      </c>
      <c r="Y139" s="531">
        <v>150000000</v>
      </c>
      <c r="Z139" s="367">
        <v>0</v>
      </c>
      <c r="AA139" s="174">
        <v>149833045</v>
      </c>
      <c r="AB139" s="273">
        <f t="shared" si="172"/>
        <v>0.99888696666666665</v>
      </c>
      <c r="AC139" s="269">
        <v>39998551</v>
      </c>
      <c r="AD139" s="189">
        <f t="shared" si="178"/>
        <v>0.26665700666666664</v>
      </c>
      <c r="AE139" s="156">
        <f>+AA139-AC139</f>
        <v>109834494</v>
      </c>
      <c r="AF139" s="174">
        <v>141974509</v>
      </c>
      <c r="AG139" s="174">
        <v>141919223</v>
      </c>
      <c r="AH139" s="614">
        <f t="shared" si="179"/>
        <v>0.99961059206762248</v>
      </c>
      <c r="AI139" s="250">
        <v>750000000</v>
      </c>
      <c r="AJ139" s="250">
        <f t="shared" si="173"/>
        <v>149833045</v>
      </c>
      <c r="AK139" s="911">
        <f t="shared" si="180"/>
        <v>0.19977739333333333</v>
      </c>
      <c r="AL139" s="173"/>
      <c r="AM139" s="157"/>
      <c r="AN139" s="152" t="s">
        <v>302</v>
      </c>
      <c r="AO139" s="2205"/>
      <c r="AP139" s="558"/>
      <c r="AQ139" s="93"/>
    </row>
    <row r="140" spans="1:43" ht="56.25" customHeight="1" thickBot="1">
      <c r="A140" s="314" t="s">
        <v>429</v>
      </c>
      <c r="B140" s="413"/>
      <c r="C140" s="835"/>
      <c r="D140" s="222"/>
      <c r="E140" s="862"/>
      <c r="F140" s="129"/>
      <c r="G140" s="129"/>
      <c r="H140" s="130">
        <f>+(H141*W141)+(H144*W144)</f>
        <v>1</v>
      </c>
      <c r="I140" s="130">
        <f>+(I141*X141)+(I144*X144)</f>
        <v>1</v>
      </c>
      <c r="J140" s="132"/>
      <c r="K140" s="132"/>
      <c r="L140" s="132"/>
      <c r="M140" s="133"/>
      <c r="N140" s="133"/>
      <c r="O140" s="132"/>
      <c r="P140" s="132"/>
      <c r="Q140" s="132"/>
      <c r="R140" s="159"/>
      <c r="S140" s="132"/>
      <c r="T140" s="230"/>
      <c r="U140" s="257"/>
      <c r="V140" s="467">
        <f>+(V141*W141)+(V144*W144)</f>
        <v>0.9</v>
      </c>
      <c r="W140" s="883">
        <v>0.15</v>
      </c>
      <c r="X140" s="470">
        <v>0.15</v>
      </c>
      <c r="Y140" s="135">
        <f>+Y141+Y144</f>
        <v>1135000000</v>
      </c>
      <c r="Z140" s="135">
        <f>+Z141+Z144</f>
        <v>125000000</v>
      </c>
      <c r="AA140" s="603">
        <f>+AA141+AA144</f>
        <v>1133876494</v>
      </c>
      <c r="AB140" s="271">
        <f t="shared" si="172"/>
        <v>0.99901012687224666</v>
      </c>
      <c r="AC140" s="603">
        <f>+AC141+AC144</f>
        <v>663781540</v>
      </c>
      <c r="AD140" s="552">
        <f t="shared" si="178"/>
        <v>0.5848295506607929</v>
      </c>
      <c r="AE140" s="135">
        <f>+AE141+AE144</f>
        <v>470094954</v>
      </c>
      <c r="AF140" s="135">
        <f>+AF141+AF144</f>
        <v>451383744</v>
      </c>
      <c r="AG140" s="135">
        <f>+AG141+AG144</f>
        <v>451015168</v>
      </c>
      <c r="AH140" s="612">
        <f t="shared" si="179"/>
        <v>0.99918345309307377</v>
      </c>
      <c r="AI140" s="135">
        <f t="shared" ref="AI140:AJ140" si="181">+AI141+AI144</f>
        <v>4360000000</v>
      </c>
      <c r="AJ140" s="135">
        <f t="shared" si="181"/>
        <v>1258876494</v>
      </c>
      <c r="AK140" s="199">
        <f t="shared" si="180"/>
        <v>0.28873314082568807</v>
      </c>
      <c r="AL140" s="160"/>
      <c r="AM140" s="160" t="s">
        <v>300</v>
      </c>
      <c r="AN140" s="136"/>
      <c r="AO140" s="135"/>
      <c r="AP140" s="556"/>
      <c r="AQ140" s="97"/>
    </row>
    <row r="141" spans="1:43" ht="52.5" customHeight="1" thickBot="1">
      <c r="A141" s="315" t="s">
        <v>471</v>
      </c>
      <c r="B141" s="138"/>
      <c r="C141" s="826"/>
      <c r="D141" s="223"/>
      <c r="E141" s="861"/>
      <c r="F141" s="139"/>
      <c r="G141" s="139"/>
      <c r="H141" s="161">
        <f>+SUMPRODUCT(H142:H143,W142:W143)</f>
        <v>1</v>
      </c>
      <c r="I141" s="161">
        <f>+SUMPRODUCT(I142:I143,X142:X143)</f>
        <v>1</v>
      </c>
      <c r="J141" s="176"/>
      <c r="K141" s="176"/>
      <c r="L141" s="141"/>
      <c r="M141" s="142"/>
      <c r="N141" s="142"/>
      <c r="O141" s="176"/>
      <c r="P141" s="176"/>
      <c r="Q141" s="176"/>
      <c r="R141" s="163"/>
      <c r="S141" s="176"/>
      <c r="T141" s="235"/>
      <c r="U141" s="258"/>
      <c r="V141" s="177">
        <f>+SUMPRODUCT(V142:V143,W142:W143)</f>
        <v>1</v>
      </c>
      <c r="W141" s="879">
        <v>0.8</v>
      </c>
      <c r="X141" s="471">
        <v>0.8</v>
      </c>
      <c r="Y141" s="144">
        <f>SUM(Y142:Y143)</f>
        <v>1010000000</v>
      </c>
      <c r="Z141" s="144">
        <f>SUM(Z142:Z143)</f>
        <v>0</v>
      </c>
      <c r="AA141" s="602">
        <f>SUM(AA142:AA143)</f>
        <v>1008941098</v>
      </c>
      <c r="AB141" s="272">
        <f t="shared" si="172"/>
        <v>0.99895158217821778</v>
      </c>
      <c r="AC141" s="602">
        <f>SUM(AC142:AC143)</f>
        <v>541679251</v>
      </c>
      <c r="AD141" s="636">
        <f t="shared" si="178"/>
        <v>0.53631609009900993</v>
      </c>
      <c r="AE141" s="144">
        <f>SUM(AE142:AE143)</f>
        <v>467261847</v>
      </c>
      <c r="AF141" s="144">
        <f>SUM(AF142:AF143)</f>
        <v>393039239</v>
      </c>
      <c r="AG141" s="144">
        <f>SUM(AG142:AG143)</f>
        <v>392716735</v>
      </c>
      <c r="AH141" s="613">
        <f t="shared" si="179"/>
        <v>0.99917946106139288</v>
      </c>
      <c r="AI141" s="144">
        <f t="shared" ref="AI141:AJ141" si="182">SUM(AI142:AI143)</f>
        <v>3860000000</v>
      </c>
      <c r="AJ141" s="144">
        <f t="shared" si="182"/>
        <v>1008941098</v>
      </c>
      <c r="AK141" s="910">
        <f t="shared" si="180"/>
        <v>0.26138370414507772</v>
      </c>
      <c r="AL141" s="179"/>
      <c r="AM141" s="165"/>
      <c r="AN141" s="553"/>
      <c r="AO141" s="144"/>
      <c r="AP141" s="557"/>
      <c r="AQ141" s="98"/>
    </row>
    <row r="142" spans="1:43" ht="36.75" customHeight="1">
      <c r="A142" s="343" t="s">
        <v>603</v>
      </c>
      <c r="B142" s="442" t="s">
        <v>870</v>
      </c>
      <c r="C142" s="399">
        <v>23</v>
      </c>
      <c r="D142" s="399">
        <v>0</v>
      </c>
      <c r="E142" s="858">
        <v>23</v>
      </c>
      <c r="F142" s="147">
        <v>0</v>
      </c>
      <c r="G142" s="147"/>
      <c r="H142" s="180">
        <f t="shared" ref="H142" si="183">IF((E142+G142)/C142&gt;=100%,100%,(E142+G142)/C142)</f>
        <v>1</v>
      </c>
      <c r="I142" s="642">
        <v>0</v>
      </c>
      <c r="J142" s="181"/>
      <c r="K142" s="181"/>
      <c r="L142" s="101"/>
      <c r="M142" s="104"/>
      <c r="N142" s="146"/>
      <c r="O142" s="181"/>
      <c r="P142" s="181"/>
      <c r="Q142" s="181"/>
      <c r="R142" s="150"/>
      <c r="S142" s="181"/>
      <c r="T142" s="297">
        <v>23</v>
      </c>
      <c r="U142" s="242">
        <f t="shared" ref="U142" si="184">SUM(E142:F142)</f>
        <v>23</v>
      </c>
      <c r="V142" s="186">
        <f t="shared" ref="V142" si="185">IF(U142/T142&gt;=100%,100%,U142/T142)</f>
        <v>1</v>
      </c>
      <c r="W142" s="880">
        <v>0.5</v>
      </c>
      <c r="X142" s="472">
        <v>0</v>
      </c>
      <c r="Y142" s="671">
        <v>0</v>
      </c>
      <c r="Z142" s="367">
        <v>0</v>
      </c>
      <c r="AA142" s="672">
        <v>0</v>
      </c>
      <c r="AB142" s="273" t="e">
        <f t="shared" si="172"/>
        <v>#DIV/0!</v>
      </c>
      <c r="AC142" s="604">
        <v>0</v>
      </c>
      <c r="AD142" s="637" t="e">
        <f t="shared" si="178"/>
        <v>#DIV/0!</v>
      </c>
      <c r="AE142" s="156">
        <f>+AA142-AC142</f>
        <v>0</v>
      </c>
      <c r="AF142" s="174"/>
      <c r="AG142" s="174"/>
      <c r="AH142" s="614" t="e">
        <f>+AG142/AF142</f>
        <v>#DIV/0!</v>
      </c>
      <c r="AI142" s="250">
        <v>80000000</v>
      </c>
      <c r="AJ142" s="250">
        <f t="shared" ref="AJ142:AJ143" si="186">+SUM(Z142:AA142)</f>
        <v>0</v>
      </c>
      <c r="AK142" s="914">
        <f t="shared" si="180"/>
        <v>0</v>
      </c>
      <c r="AL142" s="173"/>
      <c r="AM142" s="157"/>
      <c r="AN142" s="152" t="s">
        <v>30</v>
      </c>
      <c r="AO142" s="586" t="s">
        <v>913</v>
      </c>
      <c r="AP142" s="558"/>
      <c r="AQ142" s="93"/>
    </row>
    <row r="143" spans="1:43" ht="36.75" customHeight="1">
      <c r="A143" s="344" t="s">
        <v>963</v>
      </c>
      <c r="B143" s="444" t="s">
        <v>871</v>
      </c>
      <c r="C143" s="400">
        <v>1</v>
      </c>
      <c r="D143" s="400">
        <v>1</v>
      </c>
      <c r="E143" s="182">
        <v>1</v>
      </c>
      <c r="F143" s="182">
        <v>1</v>
      </c>
      <c r="G143" s="147"/>
      <c r="H143" s="180">
        <f t="shared" ref="H143" si="187">IF((E143+G143)/C143&gt;=100%,100%,(E143+G143)/C143)</f>
        <v>1</v>
      </c>
      <c r="I143" s="642">
        <f t="shared" ref="I143" si="188">IF(F143/D143&gt;=100%,100%,F143/D143)</f>
        <v>1</v>
      </c>
      <c r="J143" s="181"/>
      <c r="K143" s="181"/>
      <c r="L143" s="101"/>
      <c r="M143" s="104"/>
      <c r="N143" s="146"/>
      <c r="O143" s="181"/>
      <c r="P143" s="181"/>
      <c r="Q143" s="181"/>
      <c r="R143" s="150"/>
      <c r="S143" s="181"/>
      <c r="T143" s="298">
        <v>1</v>
      </c>
      <c r="U143" s="242">
        <f t="shared" ref="U143" si="189">SUM(E143:F143)</f>
        <v>2</v>
      </c>
      <c r="V143" s="186">
        <f t="shared" ref="V143" si="190">IF(U143/T143&gt;=100%,100%,U143/T143)</f>
        <v>1</v>
      </c>
      <c r="W143" s="472">
        <v>0.5</v>
      </c>
      <c r="X143" s="472">
        <v>1</v>
      </c>
      <c r="Y143" s="671">
        <v>1010000000</v>
      </c>
      <c r="Z143" s="367">
        <v>0</v>
      </c>
      <c r="AA143" s="672">
        <v>1008941098</v>
      </c>
      <c r="AB143" s="273">
        <f t="shared" si="172"/>
        <v>0.99895158217821778</v>
      </c>
      <c r="AC143" s="604">
        <v>541679251</v>
      </c>
      <c r="AD143" s="637">
        <f t="shared" si="178"/>
        <v>0.53631609009900993</v>
      </c>
      <c r="AE143" s="156">
        <f>+AA143-AC143</f>
        <v>467261847</v>
      </c>
      <c r="AF143" s="174">
        <v>393039239</v>
      </c>
      <c r="AG143" s="174">
        <v>392716735</v>
      </c>
      <c r="AH143" s="614">
        <f>+AG143/AF143</f>
        <v>0.99917946106139288</v>
      </c>
      <c r="AI143" s="250">
        <v>3780000000</v>
      </c>
      <c r="AJ143" s="250">
        <f t="shared" si="186"/>
        <v>1008941098</v>
      </c>
      <c r="AK143" s="911">
        <f t="shared" si="180"/>
        <v>0.26691563439153437</v>
      </c>
      <c r="AL143" s="173"/>
      <c r="AM143" s="157"/>
      <c r="AN143" s="152" t="s">
        <v>30</v>
      </c>
      <c r="AO143" s="586" t="s">
        <v>913</v>
      </c>
      <c r="AP143" s="558"/>
      <c r="AQ143" s="93"/>
    </row>
    <row r="144" spans="1:43" ht="52.5" customHeight="1">
      <c r="A144" s="315" t="s">
        <v>472</v>
      </c>
      <c r="B144" s="138"/>
      <c r="C144" s="223"/>
      <c r="D144" s="223"/>
      <c r="E144" s="139"/>
      <c r="F144" s="139"/>
      <c r="G144" s="139"/>
      <c r="H144" s="161">
        <f>+SUMPRODUCT(H145:H145,W145:W145)</f>
        <v>1</v>
      </c>
      <c r="I144" s="161">
        <f>+SUMPRODUCT(I145:I145,X145:X145)</f>
        <v>1</v>
      </c>
      <c r="J144" s="176"/>
      <c r="K144" s="176"/>
      <c r="L144" s="141"/>
      <c r="M144" s="142"/>
      <c r="N144" s="142"/>
      <c r="O144" s="176"/>
      <c r="P144" s="176"/>
      <c r="Q144" s="176"/>
      <c r="R144" s="163"/>
      <c r="S144" s="176"/>
      <c r="T144" s="235"/>
      <c r="U144" s="258"/>
      <c r="V144" s="177">
        <f>+SUMPRODUCT(V145:V145,W145:W145)</f>
        <v>0.5</v>
      </c>
      <c r="W144" s="471">
        <v>0.2</v>
      </c>
      <c r="X144" s="471">
        <v>0.2</v>
      </c>
      <c r="Y144" s="144">
        <f>SUM(Y145)</f>
        <v>125000000</v>
      </c>
      <c r="Z144" s="144">
        <f>SUM(Z145)</f>
        <v>125000000</v>
      </c>
      <c r="AA144" s="144">
        <f>SUM(AA145)</f>
        <v>124935396</v>
      </c>
      <c r="AB144" s="272">
        <f t="shared" si="172"/>
        <v>0.99948316800000003</v>
      </c>
      <c r="AC144" s="144">
        <f>SUM(AC145)</f>
        <v>122102289</v>
      </c>
      <c r="AD144" s="636">
        <f t="shared" si="178"/>
        <v>0.97681831200000002</v>
      </c>
      <c r="AE144" s="144">
        <f>SUM(AE145)</f>
        <v>2833107</v>
      </c>
      <c r="AF144" s="144">
        <f>SUM(AF145)</f>
        <v>58344505</v>
      </c>
      <c r="AG144" s="144">
        <f>SUM(AG145)</f>
        <v>58298433</v>
      </c>
      <c r="AH144" s="613">
        <f t="shared" si="179"/>
        <v>0.99921034551582877</v>
      </c>
      <c r="AI144" s="144">
        <f t="shared" ref="AI144:AJ144" si="191">SUM(AI145)</f>
        <v>500000000</v>
      </c>
      <c r="AJ144" s="144">
        <f t="shared" si="191"/>
        <v>249935396</v>
      </c>
      <c r="AK144" s="910">
        <f t="shared" si="180"/>
        <v>0.49987079200000001</v>
      </c>
      <c r="AL144" s="179"/>
      <c r="AM144" s="165"/>
      <c r="AN144" s="553"/>
      <c r="AO144" s="144"/>
      <c r="AP144" s="557"/>
      <c r="AQ144" s="98"/>
    </row>
    <row r="145" spans="1:43" ht="59.25" customHeight="1" thickBot="1">
      <c r="A145" s="345" t="s">
        <v>604</v>
      </c>
      <c r="B145" s="445" t="s">
        <v>791</v>
      </c>
      <c r="C145" s="841">
        <v>1</v>
      </c>
      <c r="D145" s="217">
        <v>1</v>
      </c>
      <c r="E145" s="860">
        <v>1</v>
      </c>
      <c r="F145" s="678">
        <v>1</v>
      </c>
      <c r="G145" s="147"/>
      <c r="H145" s="180">
        <f t="shared" ref="H145" si="192">IF((E145+G145)/C145&gt;=100%,100%,(E145+G145)/C145)</f>
        <v>1</v>
      </c>
      <c r="I145" s="642">
        <f t="shared" ref="I145" si="193">IF(F145/D145&gt;=100%,100%,F145/D145)</f>
        <v>1</v>
      </c>
      <c r="J145" s="181"/>
      <c r="K145" s="181"/>
      <c r="L145" s="101"/>
      <c r="M145" s="104"/>
      <c r="N145" s="146"/>
      <c r="O145" s="181"/>
      <c r="P145" s="181"/>
      <c r="Q145" s="181"/>
      <c r="R145" s="150"/>
      <c r="S145" s="181"/>
      <c r="T145" s="236">
        <v>4</v>
      </c>
      <c r="U145" s="242">
        <f t="shared" ref="U145" si="194">SUM(E145:F145)</f>
        <v>2</v>
      </c>
      <c r="V145" s="186">
        <f t="shared" ref="V145" si="195">IF(U145/T145&gt;=100%,100%,U145/T145)</f>
        <v>0.5</v>
      </c>
      <c r="W145" s="477">
        <v>1</v>
      </c>
      <c r="X145" s="472">
        <v>1</v>
      </c>
      <c r="Y145" s="533">
        <v>125000000</v>
      </c>
      <c r="Z145" s="367">
        <v>125000000</v>
      </c>
      <c r="AA145" s="174">
        <v>124935396</v>
      </c>
      <c r="AB145" s="273">
        <f t="shared" si="172"/>
        <v>0.99948316800000003</v>
      </c>
      <c r="AC145" s="269">
        <v>122102289</v>
      </c>
      <c r="AD145" s="637">
        <f t="shared" si="178"/>
        <v>0.97681831200000002</v>
      </c>
      <c r="AE145" s="156">
        <f>+AA145-AC145</f>
        <v>2833107</v>
      </c>
      <c r="AF145" s="174">
        <v>58344505</v>
      </c>
      <c r="AG145" s="174">
        <v>58298433</v>
      </c>
      <c r="AH145" s="614">
        <f t="shared" si="179"/>
        <v>0.99921034551582877</v>
      </c>
      <c r="AI145" s="250">
        <v>500000000</v>
      </c>
      <c r="AJ145" s="250">
        <f t="shared" ref="AJ145" si="196">+SUM(Z145:AA145)</f>
        <v>249935396</v>
      </c>
      <c r="AK145" s="911">
        <f t="shared" si="180"/>
        <v>0.49987079200000001</v>
      </c>
      <c r="AL145" s="173"/>
      <c r="AM145" s="157"/>
      <c r="AN145" s="152" t="s">
        <v>302</v>
      </c>
      <c r="AO145" s="585" t="s">
        <v>908</v>
      </c>
      <c r="AP145" s="558"/>
      <c r="AQ145" s="93"/>
    </row>
    <row r="146" spans="1:43" ht="42.75" customHeight="1" thickBot="1">
      <c r="A146" s="313" t="s">
        <v>418</v>
      </c>
      <c r="B146" s="423"/>
      <c r="C146" s="166"/>
      <c r="D146" s="225"/>
      <c r="E146" s="869"/>
      <c r="F146" s="166"/>
      <c r="G146" s="166"/>
      <c r="H146" s="125">
        <f>(H147*W147)+(H150*W150)+(H157*W157)+(H167*W167)+(H190*W190)+(H202*W202)+(H208*W208)</f>
        <v>0.81629524452173907</v>
      </c>
      <c r="I146" s="693">
        <f>(I147*X147)+(I150*X150)+(I157*X157)+(I167*X167)+(I190*X190)+(I202*X202)+(I208*X208)</f>
        <v>0.74787999999999988</v>
      </c>
      <c r="J146" s="192"/>
      <c r="K146" s="192"/>
      <c r="L146" s="102"/>
      <c r="M146" s="100"/>
      <c r="N146" s="100"/>
      <c r="O146" s="192"/>
      <c r="P146" s="192"/>
      <c r="Q146" s="192"/>
      <c r="R146" s="185"/>
      <c r="S146" s="192"/>
      <c r="T146" s="247"/>
      <c r="U146" s="260"/>
      <c r="V146" s="464">
        <f>(V147*W147)+(V150*W150)+(V157*W157)+(V167*W167)+(V190*W190)+(V202*W202)+(V208*W208)</f>
        <v>0.78576690952380956</v>
      </c>
      <c r="W146" s="877">
        <v>0.15</v>
      </c>
      <c r="X146" s="474">
        <v>0.15</v>
      </c>
      <c r="Y146" s="127">
        <f>+Y147+Y150+Y157+Y167+Y190+Y202+Y208</f>
        <v>11090821444</v>
      </c>
      <c r="Z146" s="127">
        <f>+Z147+Z150+Z157+Z167+Z190+Z202+Z208</f>
        <v>0</v>
      </c>
      <c r="AA146" s="607">
        <f>+AA147+AA150+AA157+AA167+AA190+AA202+AA208</f>
        <v>10746837803.18</v>
      </c>
      <c r="AB146" s="274">
        <f t="shared" si="172"/>
        <v>0.96898483646528355</v>
      </c>
      <c r="AC146" s="607">
        <f>+AC147+AC150+AC157+AC167+AC190+AC202+AC208</f>
        <v>6159301541.6099997</v>
      </c>
      <c r="AD146" s="638">
        <f t="shared" si="178"/>
        <v>0.55535124902241639</v>
      </c>
      <c r="AE146" s="127">
        <f>+AE147+AE150+AE157+AE167+AE190+AE202+AE208</f>
        <v>575248046.54999995</v>
      </c>
      <c r="AF146" s="127">
        <f>+AF147+AF150+AF157+AF167+AF190+AF202+AF208</f>
        <v>1274668691.8400002</v>
      </c>
      <c r="AG146" s="127">
        <f>+AG147+AG150+AG157+AG167+AG190+AG202+AG208</f>
        <v>1209290667.2</v>
      </c>
      <c r="AH146" s="616">
        <f t="shared" si="179"/>
        <v>0.94870979019212742</v>
      </c>
      <c r="AI146" s="127">
        <f t="shared" ref="AI146:AJ146" si="197">+AI147+AI150+AI157+AI167+AI190+AI202+AI208</f>
        <v>26440000000</v>
      </c>
      <c r="AJ146" s="127">
        <f t="shared" si="197"/>
        <v>10746837803.18</v>
      </c>
      <c r="AK146" s="675">
        <f t="shared" si="180"/>
        <v>0.40646133900075643</v>
      </c>
      <c r="AL146" s="281"/>
      <c r="AM146" s="569"/>
      <c r="AN146" s="128"/>
      <c r="AO146" s="127"/>
      <c r="AP146" s="559"/>
      <c r="AQ146" s="99"/>
    </row>
    <row r="147" spans="1:43" ht="30.75" customHeight="1" thickBot="1">
      <c r="A147" s="314" t="s">
        <v>430</v>
      </c>
      <c r="B147" s="413"/>
      <c r="C147" s="129"/>
      <c r="D147" s="222"/>
      <c r="E147" s="862"/>
      <c r="F147" s="129"/>
      <c r="G147" s="129"/>
      <c r="H147" s="130">
        <f>+(H148*W148)</f>
        <v>0</v>
      </c>
      <c r="I147" s="130">
        <f>+(I148*X148)</f>
        <v>1</v>
      </c>
      <c r="J147" s="193"/>
      <c r="K147" s="193"/>
      <c r="L147" s="132"/>
      <c r="M147" s="133"/>
      <c r="N147" s="133"/>
      <c r="O147" s="193"/>
      <c r="P147" s="193"/>
      <c r="Q147" s="193"/>
      <c r="R147" s="159"/>
      <c r="S147" s="193"/>
      <c r="T147" s="239"/>
      <c r="U147" s="257"/>
      <c r="V147" s="465">
        <f>+(V148*W148)</f>
        <v>0.33333333333333331</v>
      </c>
      <c r="W147" s="883">
        <v>0.05</v>
      </c>
      <c r="X147" s="470">
        <v>0.05</v>
      </c>
      <c r="Y147" s="135">
        <f>+Y148</f>
        <v>175000000</v>
      </c>
      <c r="Z147" s="135">
        <f>+Z148</f>
        <v>0</v>
      </c>
      <c r="AA147" s="135">
        <f>+AA148</f>
        <v>174909553</v>
      </c>
      <c r="AB147" s="271">
        <f t="shared" si="172"/>
        <v>0.99948316000000004</v>
      </c>
      <c r="AC147" s="135">
        <f>+AC148</f>
        <v>162374348</v>
      </c>
      <c r="AD147" s="634">
        <f t="shared" si="178"/>
        <v>0.92785341714285718</v>
      </c>
      <c r="AE147" s="135">
        <f>+AE148</f>
        <v>12535205</v>
      </c>
      <c r="AF147" s="135">
        <f>+AF148</f>
        <v>13028223.199999999</v>
      </c>
      <c r="AG147" s="135">
        <f>+AG148</f>
        <v>12945295.199999999</v>
      </c>
      <c r="AH147" s="612">
        <f t="shared" si="179"/>
        <v>0.9936347421496432</v>
      </c>
      <c r="AI147" s="135">
        <f t="shared" ref="AI147:AJ147" si="198">+AI148</f>
        <v>600000000</v>
      </c>
      <c r="AJ147" s="135">
        <f t="shared" si="198"/>
        <v>174909553</v>
      </c>
      <c r="AK147" s="915">
        <f t="shared" si="180"/>
        <v>0.29151592166666668</v>
      </c>
      <c r="AL147" s="172"/>
      <c r="AM147" s="160" t="s">
        <v>293</v>
      </c>
      <c r="AN147" s="136"/>
      <c r="AO147" s="135"/>
      <c r="AP147" s="556"/>
      <c r="AQ147" s="97"/>
    </row>
    <row r="148" spans="1:43" ht="54.75" customHeight="1" thickBot="1">
      <c r="A148" s="315" t="s">
        <v>473</v>
      </c>
      <c r="B148" s="138"/>
      <c r="C148" s="139"/>
      <c r="D148" s="223"/>
      <c r="E148" s="861"/>
      <c r="F148" s="139"/>
      <c r="G148" s="139"/>
      <c r="H148" s="161">
        <f>+SUMPRODUCT(H149:H149,W149:W149)</f>
        <v>0</v>
      </c>
      <c r="I148" s="161">
        <f>+SUMPRODUCT(I149:I149,X149:X149)</f>
        <v>1</v>
      </c>
      <c r="J148" s="194"/>
      <c r="K148" s="194"/>
      <c r="L148" s="141"/>
      <c r="M148" s="142"/>
      <c r="N148" s="142"/>
      <c r="O148" s="194"/>
      <c r="P148" s="194"/>
      <c r="Q148" s="194"/>
      <c r="R148" s="163"/>
      <c r="S148" s="194"/>
      <c r="T148" s="240"/>
      <c r="U148" s="258"/>
      <c r="V148" s="177">
        <f>+SUMPRODUCT(V149:V149,W149:W149)</f>
        <v>0.33333333333333331</v>
      </c>
      <c r="W148" s="879">
        <v>1</v>
      </c>
      <c r="X148" s="471">
        <v>1</v>
      </c>
      <c r="Y148" s="144">
        <f>SUM(Y149)</f>
        <v>175000000</v>
      </c>
      <c r="Z148" s="144">
        <f>SUM(Z149)</f>
        <v>0</v>
      </c>
      <c r="AA148" s="144">
        <f>SUM(AA149)</f>
        <v>174909553</v>
      </c>
      <c r="AB148" s="272">
        <f t="shared" si="172"/>
        <v>0.99948316000000004</v>
      </c>
      <c r="AC148" s="144">
        <f>SUM(AC149)</f>
        <v>162374348</v>
      </c>
      <c r="AD148" s="636">
        <f t="shared" si="178"/>
        <v>0.92785341714285718</v>
      </c>
      <c r="AE148" s="144">
        <f>SUM(AE149)</f>
        <v>12535205</v>
      </c>
      <c r="AF148" s="144">
        <f>SUM(AF149)</f>
        <v>13028223.199999999</v>
      </c>
      <c r="AG148" s="144">
        <f>SUM(AG149)</f>
        <v>12945295.199999999</v>
      </c>
      <c r="AH148" s="613">
        <f t="shared" si="179"/>
        <v>0.9936347421496432</v>
      </c>
      <c r="AI148" s="144">
        <f t="shared" ref="AI148:AJ148" si="199">SUM(AI149)</f>
        <v>600000000</v>
      </c>
      <c r="AJ148" s="144">
        <f t="shared" si="199"/>
        <v>174909553</v>
      </c>
      <c r="AK148" s="910">
        <f t="shared" si="180"/>
        <v>0.29151592166666668</v>
      </c>
      <c r="AL148" s="179"/>
      <c r="AM148" s="165"/>
      <c r="AN148" s="553"/>
      <c r="AO148" s="144"/>
      <c r="AP148" s="557"/>
      <c r="AQ148" s="98"/>
    </row>
    <row r="149" spans="1:43" ht="32.25" customHeight="1" thickBot="1">
      <c r="A149" s="346" t="s">
        <v>605</v>
      </c>
      <c r="B149" s="446" t="s">
        <v>872</v>
      </c>
      <c r="C149" s="842">
        <v>1</v>
      </c>
      <c r="D149" s="218">
        <v>1</v>
      </c>
      <c r="E149" s="867">
        <v>0</v>
      </c>
      <c r="F149" s="147">
        <v>1</v>
      </c>
      <c r="G149" s="147"/>
      <c r="H149" s="180">
        <f t="shared" ref="H149" si="200">IF((E149+G149)/C149&gt;=100%,100%,(E149+G149)/C149)</f>
        <v>0</v>
      </c>
      <c r="I149" s="642">
        <f t="shared" ref="I149" si="201">IF(F149/D149&gt;=100%,100%,F149/D149)</f>
        <v>1</v>
      </c>
      <c r="J149" s="195"/>
      <c r="K149" s="195"/>
      <c r="L149" s="101"/>
      <c r="M149" s="104"/>
      <c r="N149" s="146"/>
      <c r="O149" s="195"/>
      <c r="P149" s="195"/>
      <c r="Q149" s="195"/>
      <c r="R149" s="150"/>
      <c r="S149" s="195"/>
      <c r="T149" s="241">
        <v>3</v>
      </c>
      <c r="U149" s="242">
        <f t="shared" ref="U149" si="202">SUM(E149:F149)</f>
        <v>1</v>
      </c>
      <c r="V149" s="186">
        <f t="shared" ref="V149" si="203">IF(U149/T149&gt;=100%,100%,U149/T149)</f>
        <v>0.33333333333333331</v>
      </c>
      <c r="W149" s="888">
        <v>1</v>
      </c>
      <c r="X149" s="472">
        <v>1</v>
      </c>
      <c r="Y149" s="537">
        <v>175000000</v>
      </c>
      <c r="Z149" s="370">
        <v>0</v>
      </c>
      <c r="AA149" s="174">
        <v>174909553</v>
      </c>
      <c r="AB149" s="273">
        <f t="shared" si="172"/>
        <v>0.99948316000000004</v>
      </c>
      <c r="AC149" s="269">
        <v>162374348</v>
      </c>
      <c r="AD149" s="637">
        <f t="shared" si="178"/>
        <v>0.92785341714285718</v>
      </c>
      <c r="AE149" s="156">
        <f>+AA149-AC149</f>
        <v>12535205</v>
      </c>
      <c r="AF149" s="174">
        <v>13028223.199999999</v>
      </c>
      <c r="AG149" s="174">
        <v>12945295.199999999</v>
      </c>
      <c r="AH149" s="614">
        <f t="shared" si="179"/>
        <v>0.9936347421496432</v>
      </c>
      <c r="AI149" s="250">
        <v>600000000</v>
      </c>
      <c r="AJ149" s="250">
        <f t="shared" ref="AJ149" si="204">+SUM(Z149:AA149)</f>
        <v>174909553</v>
      </c>
      <c r="AK149" s="911">
        <f t="shared" si="180"/>
        <v>0.29151592166666668</v>
      </c>
      <c r="AL149" s="173"/>
      <c r="AM149" s="157"/>
      <c r="AN149" s="152" t="s">
        <v>21</v>
      </c>
      <c r="AO149" s="587" t="s">
        <v>890</v>
      </c>
      <c r="AP149" s="558"/>
      <c r="AQ149" s="93"/>
    </row>
    <row r="150" spans="1:43" ht="42.75" customHeight="1" thickBot="1">
      <c r="A150" s="314" t="s">
        <v>431</v>
      </c>
      <c r="B150" s="413"/>
      <c r="C150" s="835"/>
      <c r="D150" s="222"/>
      <c r="E150" s="862"/>
      <c r="F150" s="129"/>
      <c r="G150" s="129"/>
      <c r="H150" s="130">
        <f>+(H151*W151)+(H153*W153)+(H155*W155)</f>
        <v>1</v>
      </c>
      <c r="I150" s="130">
        <f>+(I151*X151)+(I153*X153)+(I155*X155)</f>
        <v>1</v>
      </c>
      <c r="J150" s="193"/>
      <c r="K150" s="193"/>
      <c r="L150" s="132"/>
      <c r="M150" s="133"/>
      <c r="N150" s="133"/>
      <c r="O150" s="193"/>
      <c r="P150" s="193"/>
      <c r="Q150" s="193"/>
      <c r="R150" s="159"/>
      <c r="S150" s="193"/>
      <c r="T150" s="239"/>
      <c r="U150" s="257"/>
      <c r="V150" s="465">
        <f>+(V151*W151)+(V153*W153)+(V155*W155)</f>
        <v>0.5</v>
      </c>
      <c r="W150" s="883">
        <v>0.1</v>
      </c>
      <c r="X150" s="470">
        <v>0.1</v>
      </c>
      <c r="Y150" s="135">
        <f>+Y151+Y153+Y155</f>
        <v>430000000</v>
      </c>
      <c r="Z150" s="135">
        <f>+Z151+Z153+Z155</f>
        <v>0</v>
      </c>
      <c r="AA150" s="135">
        <f>+AA151+AA153+AA155</f>
        <v>429686303</v>
      </c>
      <c r="AB150" s="271">
        <f t="shared" si="172"/>
        <v>0.99927047209302322</v>
      </c>
      <c r="AC150" s="135">
        <f>+AC151+AC153+AC155</f>
        <v>320743627</v>
      </c>
      <c r="AD150" s="634">
        <f t="shared" si="178"/>
        <v>0.74591541162790698</v>
      </c>
      <c r="AE150" s="135">
        <f>+AE151+AE153+AE155</f>
        <v>108942676</v>
      </c>
      <c r="AF150" s="135">
        <f>+AF151+AF153+AF155</f>
        <v>26514085</v>
      </c>
      <c r="AG150" s="135">
        <f>+AG151+AG153+AG155</f>
        <v>26213355</v>
      </c>
      <c r="AH150" s="612">
        <f t="shared" si="179"/>
        <v>0.98865772663850171</v>
      </c>
      <c r="AI150" s="135">
        <f t="shared" ref="AI150:AJ150" si="205">+AI151+AI153+AI155</f>
        <v>1540000000</v>
      </c>
      <c r="AJ150" s="135">
        <f t="shared" si="205"/>
        <v>429686303</v>
      </c>
      <c r="AK150" s="915">
        <f t="shared" si="180"/>
        <v>0.27901707987012986</v>
      </c>
      <c r="AL150" s="172"/>
      <c r="AM150" s="160" t="s">
        <v>298</v>
      </c>
      <c r="AN150" s="136"/>
      <c r="AO150" s="135"/>
      <c r="AP150" s="556"/>
      <c r="AQ150" s="97"/>
    </row>
    <row r="151" spans="1:43" ht="78.75" customHeight="1" thickBot="1">
      <c r="A151" s="315" t="s">
        <v>474</v>
      </c>
      <c r="B151" s="138"/>
      <c r="C151" s="826"/>
      <c r="D151" s="223"/>
      <c r="E151" s="861"/>
      <c r="F151" s="139"/>
      <c r="G151" s="139"/>
      <c r="H151" s="140">
        <f>+SUMPRODUCT(H152:H152,W152:W152)</f>
        <v>1</v>
      </c>
      <c r="I151" s="161">
        <f>+SUMPRODUCT(I152:I152,X152:X152)</f>
        <v>1</v>
      </c>
      <c r="J151" s="176"/>
      <c r="K151" s="176"/>
      <c r="L151" s="141"/>
      <c r="M151" s="142"/>
      <c r="N151" s="142"/>
      <c r="O151" s="176"/>
      <c r="P151" s="176"/>
      <c r="Q151" s="176"/>
      <c r="R151" s="163"/>
      <c r="S151" s="176"/>
      <c r="T151" s="235"/>
      <c r="U151" s="258"/>
      <c r="V151" s="177">
        <f>+SUMPRODUCT(V152:V152,W152:W152)</f>
        <v>0.5</v>
      </c>
      <c r="W151" s="879">
        <v>0.3</v>
      </c>
      <c r="X151" s="471">
        <v>0.3</v>
      </c>
      <c r="Y151" s="144">
        <f>SUM(Y152)</f>
        <v>100000000</v>
      </c>
      <c r="Z151" s="144">
        <f>SUM(Z152)</f>
        <v>0</v>
      </c>
      <c r="AA151" s="144">
        <f>SUM(AA152)</f>
        <v>99948316</v>
      </c>
      <c r="AB151" s="272">
        <f t="shared" si="172"/>
        <v>0.99948316000000004</v>
      </c>
      <c r="AC151" s="144">
        <f>SUM(AC152)</f>
        <v>32949328</v>
      </c>
      <c r="AD151" s="636">
        <f t="shared" si="178"/>
        <v>0.32949328</v>
      </c>
      <c r="AE151" s="144">
        <f>SUM(AE152)</f>
        <v>66998988</v>
      </c>
      <c r="AF151" s="144">
        <f>SUM(AF152)</f>
        <v>10690907</v>
      </c>
      <c r="AG151" s="144">
        <f>SUM(AG152)</f>
        <v>10626406</v>
      </c>
      <c r="AH151" s="613">
        <f t="shared" si="179"/>
        <v>0.99396674201730495</v>
      </c>
      <c r="AI151" s="144">
        <f t="shared" ref="AI151:AJ151" si="206">SUM(AI152)</f>
        <v>510000000</v>
      </c>
      <c r="AJ151" s="144">
        <f t="shared" si="206"/>
        <v>99948316</v>
      </c>
      <c r="AK151" s="910">
        <f t="shared" si="180"/>
        <v>0.19597709019607842</v>
      </c>
      <c r="AL151" s="179"/>
      <c r="AM151" s="165"/>
      <c r="AN151" s="553"/>
      <c r="AO151" s="144"/>
      <c r="AP151" s="557"/>
      <c r="AQ151" s="98"/>
    </row>
    <row r="152" spans="1:43" ht="52.5" customHeight="1" thickBot="1">
      <c r="A152" s="347" t="s">
        <v>606</v>
      </c>
      <c r="B152" s="447" t="s">
        <v>873</v>
      </c>
      <c r="C152" s="839">
        <v>1</v>
      </c>
      <c r="D152" s="217">
        <v>1</v>
      </c>
      <c r="E152" s="867">
        <v>1</v>
      </c>
      <c r="F152" s="679">
        <v>1</v>
      </c>
      <c r="G152" s="147"/>
      <c r="H152" s="180">
        <f t="shared" ref="H152" si="207">IF((E152+G152)/C152&gt;=100%,100%,(E152+G152)/C152)</f>
        <v>1</v>
      </c>
      <c r="I152" s="642">
        <f t="shared" ref="I152" si="208">IF(F152/D152&gt;=100%,100%,F152/D152)</f>
        <v>1</v>
      </c>
      <c r="J152" s="181"/>
      <c r="K152" s="181"/>
      <c r="L152" s="101"/>
      <c r="M152" s="104"/>
      <c r="N152" s="146"/>
      <c r="O152" s="181"/>
      <c r="P152" s="181"/>
      <c r="Q152" s="181"/>
      <c r="R152" s="150"/>
      <c r="S152" s="181"/>
      <c r="T152" s="236">
        <v>4</v>
      </c>
      <c r="U152" s="242">
        <f t="shared" ref="U152" si="209">SUM(E152:F152)</f>
        <v>2</v>
      </c>
      <c r="V152" s="186">
        <f t="shared" ref="V152" si="210">IF(U152/T152&gt;=100%,100%,U152/T152)</f>
        <v>0.5</v>
      </c>
      <c r="W152" s="888">
        <v>1</v>
      </c>
      <c r="X152" s="472">
        <v>1</v>
      </c>
      <c r="Y152" s="538">
        <v>100000000</v>
      </c>
      <c r="Z152" s="372">
        <v>0</v>
      </c>
      <c r="AA152" s="174">
        <v>99948316</v>
      </c>
      <c r="AB152" s="273">
        <f t="shared" si="172"/>
        <v>0.99948316000000004</v>
      </c>
      <c r="AC152" s="269">
        <v>32949328</v>
      </c>
      <c r="AD152" s="637">
        <f t="shared" si="178"/>
        <v>0.32949328</v>
      </c>
      <c r="AE152" s="156">
        <f>+AA152-AC152</f>
        <v>66998988</v>
      </c>
      <c r="AF152" s="174">
        <v>10690907</v>
      </c>
      <c r="AG152" s="174">
        <v>10626406</v>
      </c>
      <c r="AH152" s="614">
        <f t="shared" si="179"/>
        <v>0.99396674201730495</v>
      </c>
      <c r="AI152" s="250">
        <v>510000000</v>
      </c>
      <c r="AJ152" s="250">
        <f t="shared" ref="AJ152:AJ156" si="211">+SUM(Z152:AA152)</f>
        <v>99948316</v>
      </c>
      <c r="AK152" s="911">
        <f t="shared" si="180"/>
        <v>0.19597709019607842</v>
      </c>
      <c r="AL152" s="173"/>
      <c r="AM152" s="157"/>
      <c r="AN152" s="152" t="s">
        <v>21</v>
      </c>
      <c r="AO152" s="588" t="s">
        <v>914</v>
      </c>
      <c r="AP152" s="558"/>
      <c r="AQ152" s="93"/>
    </row>
    <row r="153" spans="1:43" ht="78.75" customHeight="1" thickBot="1">
      <c r="A153" s="315" t="s">
        <v>475</v>
      </c>
      <c r="B153" s="138"/>
      <c r="C153" s="826"/>
      <c r="D153" s="223"/>
      <c r="E153" s="861"/>
      <c r="F153" s="139"/>
      <c r="G153" s="139"/>
      <c r="H153" s="140">
        <f>+SUMPRODUCT(H154:H154,W154:W154)</f>
        <v>1</v>
      </c>
      <c r="I153" s="161">
        <f>+SUMPRODUCT(I154:I154,X154:X154)</f>
        <v>1</v>
      </c>
      <c r="J153" s="176"/>
      <c r="K153" s="176"/>
      <c r="L153" s="141"/>
      <c r="M153" s="142"/>
      <c r="N153" s="142"/>
      <c r="O153" s="176"/>
      <c r="P153" s="176"/>
      <c r="Q153" s="176"/>
      <c r="R153" s="163"/>
      <c r="S153" s="176"/>
      <c r="T153" s="235"/>
      <c r="U153" s="258"/>
      <c r="V153" s="177">
        <f>+SUMPRODUCT(V154:V154,W154:W154)</f>
        <v>0.5</v>
      </c>
      <c r="W153" s="879">
        <v>0.4</v>
      </c>
      <c r="X153" s="471">
        <v>0.4</v>
      </c>
      <c r="Y153" s="144">
        <f>SUM(Y154)</f>
        <v>155000000</v>
      </c>
      <c r="Z153" s="144">
        <f>SUM(Z154)</f>
        <v>0</v>
      </c>
      <c r="AA153" s="144">
        <f>SUM(AA154)</f>
        <v>154828434</v>
      </c>
      <c r="AB153" s="272">
        <f t="shared" si="172"/>
        <v>0.99889312258064511</v>
      </c>
      <c r="AC153" s="144">
        <f>SUM(AC154)</f>
        <v>149632817</v>
      </c>
      <c r="AD153" s="636">
        <f t="shared" si="178"/>
        <v>0.96537301290322586</v>
      </c>
      <c r="AE153" s="144">
        <f>SUM(AE154)</f>
        <v>5195617</v>
      </c>
      <c r="AF153" s="144">
        <f>SUM(AF154)</f>
        <v>5351746</v>
      </c>
      <c r="AG153" s="144">
        <f>SUM(AG154)</f>
        <v>5278031</v>
      </c>
      <c r="AH153" s="613">
        <f t="shared" si="179"/>
        <v>0.98622599054588911</v>
      </c>
      <c r="AI153" s="144">
        <f>SUM(AI154)</f>
        <v>630000000</v>
      </c>
      <c r="AJ153" s="144">
        <f>SUM(AJ154)</f>
        <v>154828434</v>
      </c>
      <c r="AK153" s="910">
        <f t="shared" si="180"/>
        <v>0.24575941904761905</v>
      </c>
      <c r="AL153" s="179"/>
      <c r="AM153" s="165"/>
      <c r="AN153" s="553"/>
      <c r="AO153" s="144"/>
      <c r="AP153" s="557"/>
      <c r="AQ153" s="98"/>
    </row>
    <row r="154" spans="1:43" ht="45.75" customHeight="1" thickBot="1">
      <c r="A154" s="348" t="s">
        <v>607</v>
      </c>
      <c r="B154" s="447" t="s">
        <v>873</v>
      </c>
      <c r="C154" s="839">
        <v>1</v>
      </c>
      <c r="D154" s="217">
        <v>1</v>
      </c>
      <c r="E154" s="867">
        <v>1</v>
      </c>
      <c r="F154" s="680">
        <v>1</v>
      </c>
      <c r="G154" s="147"/>
      <c r="H154" s="180">
        <f t="shared" ref="H154" si="212">IF((E154+G154)/C154&gt;=100%,100%,(E154+G154)/C154)</f>
        <v>1</v>
      </c>
      <c r="I154" s="642">
        <f t="shared" ref="I154" si="213">IF(F154/D154&gt;=100%,100%,F154/D154)</f>
        <v>1</v>
      </c>
      <c r="J154" s="181"/>
      <c r="K154" s="181"/>
      <c r="L154" s="101"/>
      <c r="M154" s="104"/>
      <c r="N154" s="146"/>
      <c r="O154" s="181"/>
      <c r="P154" s="181"/>
      <c r="Q154" s="181"/>
      <c r="R154" s="150"/>
      <c r="S154" s="181"/>
      <c r="T154" s="236">
        <v>4</v>
      </c>
      <c r="U154" s="242">
        <f t="shared" ref="U154" si="214">SUM(E154:F154)</f>
        <v>2</v>
      </c>
      <c r="V154" s="186">
        <f t="shared" ref="V154" si="215">IF(U154/T154&gt;=100%,100%,U154/T154)</f>
        <v>0.5</v>
      </c>
      <c r="W154" s="888">
        <v>1</v>
      </c>
      <c r="X154" s="472">
        <v>1</v>
      </c>
      <c r="Y154" s="539">
        <v>155000000</v>
      </c>
      <c r="Z154" s="372">
        <v>0</v>
      </c>
      <c r="AA154" s="174">
        <v>154828434</v>
      </c>
      <c r="AB154" s="273">
        <f t="shared" si="172"/>
        <v>0.99889312258064511</v>
      </c>
      <c r="AC154" s="269">
        <v>149632817</v>
      </c>
      <c r="AD154" s="637">
        <f t="shared" si="178"/>
        <v>0.96537301290322586</v>
      </c>
      <c r="AE154" s="156">
        <f>+AA154-AC154</f>
        <v>5195617</v>
      </c>
      <c r="AF154" s="174">
        <v>5351746</v>
      </c>
      <c r="AG154" s="174">
        <v>5278031</v>
      </c>
      <c r="AH154" s="614">
        <f t="shared" si="179"/>
        <v>0.98622599054588911</v>
      </c>
      <c r="AI154" s="250">
        <v>630000000</v>
      </c>
      <c r="AJ154" s="250">
        <f t="shared" si="211"/>
        <v>154828434</v>
      </c>
      <c r="AK154" s="911">
        <f t="shared" si="180"/>
        <v>0.24575941904761905</v>
      </c>
      <c r="AL154" s="173"/>
      <c r="AM154" s="157"/>
      <c r="AN154" s="152" t="s">
        <v>21</v>
      </c>
      <c r="AO154" s="589" t="s">
        <v>914</v>
      </c>
      <c r="AP154" s="558"/>
      <c r="AQ154" s="93"/>
    </row>
    <row r="155" spans="1:43" ht="78.75" customHeight="1" thickBot="1">
      <c r="A155" s="315" t="s">
        <v>476</v>
      </c>
      <c r="B155" s="138"/>
      <c r="C155" s="826"/>
      <c r="D155" s="223"/>
      <c r="E155" s="861"/>
      <c r="F155" s="139"/>
      <c r="G155" s="139"/>
      <c r="H155" s="161">
        <f>+SUMPRODUCT(H156:H156,W156:W156)</f>
        <v>1</v>
      </c>
      <c r="I155" s="161">
        <f>+SUMPRODUCT(I156:I156,X156:X156)</f>
        <v>1</v>
      </c>
      <c r="J155" s="176"/>
      <c r="K155" s="176"/>
      <c r="L155" s="141"/>
      <c r="M155" s="142"/>
      <c r="N155" s="142"/>
      <c r="O155" s="176"/>
      <c r="P155" s="176"/>
      <c r="Q155" s="176"/>
      <c r="R155" s="163"/>
      <c r="S155" s="176"/>
      <c r="T155" s="235"/>
      <c r="U155" s="258"/>
      <c r="V155" s="177">
        <f>+SUMPRODUCT(V156:V156,W156:W156)</f>
        <v>0.5</v>
      </c>
      <c r="W155" s="879">
        <v>0.3</v>
      </c>
      <c r="X155" s="471">
        <v>0.3</v>
      </c>
      <c r="Y155" s="144">
        <f>SUM(Y156)</f>
        <v>175000000</v>
      </c>
      <c r="Z155" s="144">
        <f>SUM(Z156)</f>
        <v>0</v>
      </c>
      <c r="AA155" s="144">
        <f>SUM(AA156)</f>
        <v>174909553</v>
      </c>
      <c r="AB155" s="272">
        <f t="shared" si="172"/>
        <v>0.99948316000000004</v>
      </c>
      <c r="AC155" s="144">
        <f>SUM(AC156)</f>
        <v>138161482</v>
      </c>
      <c r="AD155" s="636">
        <f t="shared" si="178"/>
        <v>0.7894941828571429</v>
      </c>
      <c r="AE155" s="144">
        <f>SUM(AE156)</f>
        <v>36748071</v>
      </c>
      <c r="AF155" s="144">
        <f>SUM(AF156)</f>
        <v>10471432</v>
      </c>
      <c r="AG155" s="144">
        <f>SUM(AG156)</f>
        <v>10308918</v>
      </c>
      <c r="AH155" s="613">
        <f t="shared" si="179"/>
        <v>0.98448025064766687</v>
      </c>
      <c r="AI155" s="144">
        <f t="shared" ref="AI155:AJ155" si="216">SUM(AI156)</f>
        <v>400000000</v>
      </c>
      <c r="AJ155" s="144">
        <f t="shared" si="216"/>
        <v>174909553</v>
      </c>
      <c r="AK155" s="910">
        <f t="shared" si="180"/>
        <v>0.43727388249999999</v>
      </c>
      <c r="AL155" s="179"/>
      <c r="AM155" s="165"/>
      <c r="AN155" s="553"/>
      <c r="AO155" s="144"/>
      <c r="AP155" s="557"/>
      <c r="AQ155" s="98"/>
    </row>
    <row r="156" spans="1:43" ht="51">
      <c r="A156" s="349" t="s">
        <v>608</v>
      </c>
      <c r="B156" s="448" t="s">
        <v>792</v>
      </c>
      <c r="C156" s="843">
        <v>1</v>
      </c>
      <c r="D156" s="219">
        <v>1</v>
      </c>
      <c r="E156" s="858">
        <v>0</v>
      </c>
      <c r="F156" s="147">
        <v>1</v>
      </c>
      <c r="G156" s="147">
        <v>1</v>
      </c>
      <c r="H156" s="180">
        <f t="shared" ref="H156" si="217">IF((E156+G156)/C156&gt;=100%,100%,(E156+G156)/C156)</f>
        <v>1</v>
      </c>
      <c r="I156" s="642">
        <f t="shared" ref="I156" si="218">IF(F156/D156&gt;=100%,100%,F156/D156)</f>
        <v>1</v>
      </c>
      <c r="J156" s="181"/>
      <c r="K156" s="181"/>
      <c r="L156" s="101"/>
      <c r="M156" s="104"/>
      <c r="N156" s="146"/>
      <c r="O156" s="181"/>
      <c r="P156" s="181"/>
      <c r="Q156" s="181"/>
      <c r="R156" s="150"/>
      <c r="S156" s="181"/>
      <c r="T156" s="236">
        <v>2</v>
      </c>
      <c r="U156" s="242">
        <f t="shared" ref="U156" si="219">SUM(E156:F156)</f>
        <v>1</v>
      </c>
      <c r="V156" s="186">
        <f t="shared" ref="V156" si="220">IF(U156/T156&gt;=100%,100%,U156/T156)</f>
        <v>0.5</v>
      </c>
      <c r="W156" s="880">
        <v>1</v>
      </c>
      <c r="X156" s="472">
        <v>1</v>
      </c>
      <c r="Y156" s="539">
        <v>175000000</v>
      </c>
      <c r="Z156" s="372">
        <v>0</v>
      </c>
      <c r="AA156" s="174">
        <v>174909553</v>
      </c>
      <c r="AB156" s="273">
        <f t="shared" si="172"/>
        <v>0.99948316000000004</v>
      </c>
      <c r="AC156" s="269">
        <v>138161482</v>
      </c>
      <c r="AD156" s="637">
        <f t="shared" si="178"/>
        <v>0.7894941828571429</v>
      </c>
      <c r="AE156" s="156">
        <f>+AA156-AC156</f>
        <v>36748071</v>
      </c>
      <c r="AF156" s="174">
        <v>10471432</v>
      </c>
      <c r="AG156" s="174">
        <v>10308918</v>
      </c>
      <c r="AH156" s="614">
        <f t="shared" si="179"/>
        <v>0.98448025064766687</v>
      </c>
      <c r="AI156" s="250">
        <v>400000000</v>
      </c>
      <c r="AJ156" s="250">
        <f t="shared" si="211"/>
        <v>174909553</v>
      </c>
      <c r="AK156" s="911">
        <f t="shared" si="180"/>
        <v>0.43727388249999999</v>
      </c>
      <c r="AL156" s="173"/>
      <c r="AM156" s="157"/>
      <c r="AN156" s="152" t="s">
        <v>302</v>
      </c>
      <c r="AO156" s="588" t="s">
        <v>914</v>
      </c>
    </row>
    <row r="157" spans="1:43" ht="42.75" customHeight="1" thickBot="1">
      <c r="A157" s="314" t="s">
        <v>432</v>
      </c>
      <c r="B157" s="413"/>
      <c r="C157" s="844"/>
      <c r="D157" s="222"/>
      <c r="E157" s="871"/>
      <c r="F157" s="129"/>
      <c r="G157" s="129"/>
      <c r="H157" s="130">
        <f>+(H158*W158)+(H161*W161)+(H163*W163)+(H165*W165)</f>
        <v>1</v>
      </c>
      <c r="I157" s="130">
        <f>+(I158*X158)+(I161*X161)+(I163*X163)+(I165*X165)</f>
        <v>0.48399999999999999</v>
      </c>
      <c r="J157" s="193"/>
      <c r="K157" s="193"/>
      <c r="L157" s="132"/>
      <c r="M157" s="133"/>
      <c r="N157" s="133"/>
      <c r="O157" s="193"/>
      <c r="P157" s="193"/>
      <c r="Q157" s="193"/>
      <c r="R157" s="159"/>
      <c r="S157" s="193"/>
      <c r="T157" s="239"/>
      <c r="U157" s="257"/>
      <c r="V157" s="465">
        <f>+(V158*W158)+(V161*W161)+(V163*W163)+(V165*W165)</f>
        <v>1</v>
      </c>
      <c r="W157" s="897">
        <v>0.14000000000000001</v>
      </c>
      <c r="X157" s="470">
        <v>0.1</v>
      </c>
      <c r="Y157" s="135">
        <f>+Y158+Y161+Y163+Y165</f>
        <v>1750000000</v>
      </c>
      <c r="Z157" s="135">
        <f>+Z158+Z161+Z163+Z165</f>
        <v>0</v>
      </c>
      <c r="AA157" s="135">
        <f>+AA158+AA161+AA163+AA165</f>
        <v>1729588519</v>
      </c>
      <c r="AB157" s="271">
        <f t="shared" si="172"/>
        <v>0.98833629657142852</v>
      </c>
      <c r="AC157" s="135">
        <f>+AC158+AC161+AC163+AC165</f>
        <v>1346126997.02</v>
      </c>
      <c r="AD157" s="634">
        <f t="shared" si="178"/>
        <v>0.76921542686857147</v>
      </c>
      <c r="AE157" s="135">
        <f>+AE158+AE161+AE163+AE165</f>
        <v>33486730</v>
      </c>
      <c r="AF157" s="135">
        <f>+AF158+AF161+AF163+AF165</f>
        <v>39754591</v>
      </c>
      <c r="AG157" s="135">
        <f>+AG158+AG161+AG163+AG165</f>
        <v>35269555</v>
      </c>
      <c r="AH157" s="612">
        <f t="shared" si="179"/>
        <v>0.88718193579201954</v>
      </c>
      <c r="AI157" s="135">
        <f t="shared" ref="AI157:AJ157" si="221">+AI158+AI161+AI163+AI165</f>
        <v>3900000000</v>
      </c>
      <c r="AJ157" s="135">
        <f t="shared" si="221"/>
        <v>1729588519</v>
      </c>
      <c r="AK157" s="915">
        <f t="shared" si="180"/>
        <v>0.44348423564102563</v>
      </c>
      <c r="AL157" s="172"/>
      <c r="AM157" s="160" t="s">
        <v>297</v>
      </c>
      <c r="AN157" s="136"/>
      <c r="AO157" s="135"/>
      <c r="AP157" s="556"/>
      <c r="AQ157" s="97"/>
    </row>
    <row r="158" spans="1:43" ht="54" customHeight="1" thickBot="1">
      <c r="A158" s="315" t="s">
        <v>477</v>
      </c>
      <c r="B158" s="138"/>
      <c r="C158" s="826"/>
      <c r="D158" s="223"/>
      <c r="E158" s="861"/>
      <c r="F158" s="139"/>
      <c r="G158" s="139"/>
      <c r="H158" s="140">
        <f>+(H159*100%)</f>
        <v>1</v>
      </c>
      <c r="I158" s="161">
        <f>+SUMPRODUCT(I159:I160,X159:X160)</f>
        <v>0.46</v>
      </c>
      <c r="J158" s="194"/>
      <c r="K158" s="194"/>
      <c r="L158" s="141"/>
      <c r="M158" s="142"/>
      <c r="N158" s="142"/>
      <c r="O158" s="194"/>
      <c r="P158" s="194"/>
      <c r="Q158" s="194"/>
      <c r="R158" s="163"/>
      <c r="S158" s="194"/>
      <c r="T158" s="240"/>
      <c r="U158" s="258"/>
      <c r="V158" s="177">
        <f>+SUMPRODUCT(V159:V160,W159:W160)</f>
        <v>1</v>
      </c>
      <c r="W158" s="879">
        <v>0.45</v>
      </c>
      <c r="X158" s="471">
        <v>0.4</v>
      </c>
      <c r="Y158" s="144">
        <f>SUM(Y159:Y160)</f>
        <v>1080850000</v>
      </c>
      <c r="Z158" s="144">
        <f>SUM(Z159:Z160)</f>
        <v>0</v>
      </c>
      <c r="AA158" s="144">
        <f>SUM(AA159:AA160)</f>
        <v>1073040332</v>
      </c>
      <c r="AB158" s="272">
        <f t="shared" si="172"/>
        <v>0.99277451265207939</v>
      </c>
      <c r="AC158" s="144">
        <f>SUM(AC159:AC160)</f>
        <v>1029127560.02</v>
      </c>
      <c r="AD158" s="636">
        <f t="shared" si="178"/>
        <v>0.95214651433593933</v>
      </c>
      <c r="AE158" s="144">
        <f>SUM(AE159:AE160)</f>
        <v>5745350</v>
      </c>
      <c r="AF158" s="144">
        <f>SUM(AF159:AF160)</f>
        <v>12819308</v>
      </c>
      <c r="AG158" s="144">
        <f>SUM(AG159:AG160)</f>
        <v>8636378</v>
      </c>
      <c r="AH158" s="613">
        <f t="shared" si="179"/>
        <v>0.6737007957059773</v>
      </c>
      <c r="AI158" s="144">
        <f t="shared" ref="AI158:AJ158" si="222">SUM(AI159:AI160)</f>
        <v>1800000000</v>
      </c>
      <c r="AJ158" s="144">
        <f t="shared" si="222"/>
        <v>1073040332</v>
      </c>
      <c r="AK158" s="910">
        <f t="shared" si="180"/>
        <v>0.59613351777777779</v>
      </c>
      <c r="AL158" s="179"/>
      <c r="AM158" s="165"/>
      <c r="AN158" s="553"/>
      <c r="AO158" s="144"/>
      <c r="AP158" s="557"/>
      <c r="AQ158" s="98"/>
    </row>
    <row r="159" spans="1:43" ht="36" customHeight="1">
      <c r="A159" s="346" t="s">
        <v>609</v>
      </c>
      <c r="B159" s="449" t="s">
        <v>874</v>
      </c>
      <c r="C159" s="843">
        <v>23</v>
      </c>
      <c r="D159" s="219">
        <v>23</v>
      </c>
      <c r="E159" s="858">
        <v>23</v>
      </c>
      <c r="F159" s="147">
        <v>23</v>
      </c>
      <c r="G159" s="147"/>
      <c r="H159" s="180">
        <f t="shared" ref="H159" si="223">IF((E159+G159)/C159&gt;=100%,100%,(E159+G159)/C159)</f>
        <v>1</v>
      </c>
      <c r="I159" s="642">
        <f t="shared" ref="I159:I160" si="224">IF(F159/D159&gt;=100%,100%,F159/D159)</f>
        <v>1</v>
      </c>
      <c r="J159" s="195"/>
      <c r="K159" s="195"/>
      <c r="L159" s="101"/>
      <c r="M159" s="104"/>
      <c r="N159" s="146"/>
      <c r="O159" s="195"/>
      <c r="P159" s="195"/>
      <c r="Q159" s="195"/>
      <c r="R159" s="150"/>
      <c r="S159" s="195"/>
      <c r="T159" s="236">
        <v>23</v>
      </c>
      <c r="U159" s="242">
        <f t="shared" ref="U159" si="225">SUM(E159:F159)</f>
        <v>46</v>
      </c>
      <c r="V159" s="186">
        <f t="shared" ref="V159" si="226">IF(U159/T159&gt;=100%,100%,U159/T159)</f>
        <v>1</v>
      </c>
      <c r="W159" s="884">
        <v>1</v>
      </c>
      <c r="X159" s="472">
        <v>0.46</v>
      </c>
      <c r="Y159" s="540">
        <v>180850000</v>
      </c>
      <c r="Z159" s="373">
        <v>0</v>
      </c>
      <c r="AA159" s="174">
        <v>173506563</v>
      </c>
      <c r="AB159" s="273">
        <f t="shared" si="172"/>
        <v>0.95939487420514236</v>
      </c>
      <c r="AC159" s="269">
        <v>167761213</v>
      </c>
      <c r="AD159" s="637">
        <f t="shared" si="178"/>
        <v>0.9276262814487144</v>
      </c>
      <c r="AE159" s="156">
        <f>+AA159-AC159</f>
        <v>5745350</v>
      </c>
      <c r="AF159" s="174">
        <v>12819308</v>
      </c>
      <c r="AG159" s="174">
        <v>8636378</v>
      </c>
      <c r="AH159" s="614">
        <f t="shared" si="179"/>
        <v>0.6737007957059773</v>
      </c>
      <c r="AI159" s="250">
        <v>800000000</v>
      </c>
      <c r="AJ159" s="250">
        <f t="shared" ref="AJ159:AJ160" si="227">+SUM(Z159:AA159)</f>
        <v>173506563</v>
      </c>
      <c r="AK159" s="911">
        <f t="shared" si="180"/>
        <v>0.21688320375</v>
      </c>
      <c r="AL159" s="173"/>
      <c r="AM159" s="157"/>
      <c r="AN159" s="152" t="s">
        <v>27</v>
      </c>
      <c r="AO159" s="590" t="s">
        <v>915</v>
      </c>
      <c r="AP159" s="558"/>
      <c r="AQ159" s="93"/>
    </row>
    <row r="160" spans="1:43" ht="36" customHeight="1" thickBot="1">
      <c r="A160" s="346" t="s">
        <v>610</v>
      </c>
      <c r="B160" s="450" t="s">
        <v>793</v>
      </c>
      <c r="C160" s="845">
        <v>0</v>
      </c>
      <c r="D160" s="219">
        <v>1</v>
      </c>
      <c r="E160" s="860">
        <v>0</v>
      </c>
      <c r="F160" s="678">
        <v>0</v>
      </c>
      <c r="G160" s="147"/>
      <c r="H160" s="180">
        <v>0</v>
      </c>
      <c r="I160" s="642">
        <f t="shared" si="224"/>
        <v>0</v>
      </c>
      <c r="K160" s="195"/>
      <c r="L160" s="101"/>
      <c r="M160" s="104"/>
      <c r="N160" s="146"/>
      <c r="O160" s="195"/>
      <c r="P160" s="195"/>
      <c r="Q160" s="195"/>
      <c r="R160" s="150"/>
      <c r="S160" s="195"/>
      <c r="T160" s="236">
        <v>1</v>
      </c>
      <c r="U160" s="242">
        <f t="shared" ref="U160" si="228">SUM(E160:F160)</f>
        <v>0</v>
      </c>
      <c r="V160" s="186">
        <f t="shared" ref="V160" si="229">IF(U160/T160&gt;=100%,100%,U160/T160)</f>
        <v>0</v>
      </c>
      <c r="W160" s="885">
        <v>0</v>
      </c>
      <c r="X160" s="673">
        <v>0.6</v>
      </c>
      <c r="Y160" s="540">
        <v>900000000</v>
      </c>
      <c r="Z160" s="374" t="s">
        <v>887</v>
      </c>
      <c r="AA160" s="174">
        <v>899533769</v>
      </c>
      <c r="AB160" s="273">
        <f t="shared" si="172"/>
        <v>0.99948196555555557</v>
      </c>
      <c r="AC160" s="269">
        <v>861366347.01999998</v>
      </c>
      <c r="AD160" s="637">
        <f t="shared" si="178"/>
        <v>0.95707371891111104</v>
      </c>
      <c r="AE160" s="550"/>
      <c r="AF160" s="174"/>
      <c r="AG160" s="174"/>
      <c r="AH160" s="614" t="e">
        <f t="shared" si="179"/>
        <v>#DIV/0!</v>
      </c>
      <c r="AI160" s="250">
        <v>1000000000</v>
      </c>
      <c r="AJ160" s="250">
        <f t="shared" si="227"/>
        <v>899533769</v>
      </c>
      <c r="AK160" s="911">
        <f t="shared" si="180"/>
        <v>0.89953376900000004</v>
      </c>
      <c r="AL160" s="173"/>
      <c r="AM160" s="157"/>
      <c r="AN160" s="152" t="s">
        <v>302</v>
      </c>
      <c r="AO160" s="590" t="s">
        <v>890</v>
      </c>
      <c r="AP160" s="558"/>
      <c r="AQ160" s="93"/>
    </row>
    <row r="161" spans="1:43" ht="54" customHeight="1" thickBot="1">
      <c r="A161" s="315" t="s">
        <v>478</v>
      </c>
      <c r="B161" s="138"/>
      <c r="C161" s="826"/>
      <c r="D161" s="223"/>
      <c r="E161" s="861"/>
      <c r="F161" s="139"/>
      <c r="G161" s="139"/>
      <c r="H161" s="140">
        <f>+SUMPRODUCT(H162:H162,W162:W162)</f>
        <v>1</v>
      </c>
      <c r="I161" s="161">
        <f>+SUMPRODUCT(I162:I162,X162:X162)</f>
        <v>1</v>
      </c>
      <c r="J161" s="194"/>
      <c r="K161" s="194"/>
      <c r="L161" s="141"/>
      <c r="M161" s="142"/>
      <c r="N161" s="142"/>
      <c r="O161" s="194"/>
      <c r="P161" s="194"/>
      <c r="Q161" s="194"/>
      <c r="R161" s="163"/>
      <c r="S161" s="194"/>
      <c r="T161" s="240"/>
      <c r="U161" s="258"/>
      <c r="V161" s="177">
        <f>+SUMPRODUCT(V162:V162,W162:W162)</f>
        <v>1</v>
      </c>
      <c r="W161" s="879">
        <v>0.2</v>
      </c>
      <c r="X161" s="471">
        <v>0.15</v>
      </c>
      <c r="Y161" s="144">
        <f>SUM(Y162)</f>
        <v>100000000</v>
      </c>
      <c r="Z161" s="144">
        <f>SUM(Z162)</f>
        <v>0</v>
      </c>
      <c r="AA161" s="144">
        <f>SUM(AA162)</f>
        <v>99948316</v>
      </c>
      <c r="AB161" s="272">
        <f t="shared" si="172"/>
        <v>0.99948316000000004</v>
      </c>
      <c r="AC161" s="144">
        <f>SUM(AC162)</f>
        <v>97780035</v>
      </c>
      <c r="AD161" s="636">
        <f t="shared" si="178"/>
        <v>0.97780034999999998</v>
      </c>
      <c r="AE161" s="144">
        <f>SUM(AE162)</f>
        <v>2168281</v>
      </c>
      <c r="AF161" s="144">
        <f>SUM(AF162)</f>
        <v>19128457</v>
      </c>
      <c r="AG161" s="144">
        <f>SUM(AG162)</f>
        <v>19082385</v>
      </c>
      <c r="AH161" s="613">
        <f t="shared" si="179"/>
        <v>0.9975914419025016</v>
      </c>
      <c r="AI161" s="144">
        <f t="shared" ref="AI161:AJ161" si="230">SUM(AI162)</f>
        <v>400000000</v>
      </c>
      <c r="AJ161" s="144">
        <f t="shared" si="230"/>
        <v>99948316</v>
      </c>
      <c r="AK161" s="910">
        <f t="shared" si="180"/>
        <v>0.24987079000000001</v>
      </c>
      <c r="AL161" s="179"/>
      <c r="AM161" s="165"/>
      <c r="AN161" s="553"/>
      <c r="AO161" s="144"/>
      <c r="AP161" s="557"/>
      <c r="AQ161" s="98"/>
    </row>
    <row r="162" spans="1:43" ht="36" customHeight="1" thickBot="1">
      <c r="A162" s="350" t="s">
        <v>611</v>
      </c>
      <c r="B162" s="451" t="s">
        <v>794</v>
      </c>
      <c r="C162" s="846">
        <v>24</v>
      </c>
      <c r="D162" s="219">
        <v>24</v>
      </c>
      <c r="E162" s="867">
        <v>24</v>
      </c>
      <c r="F162" s="147">
        <v>24</v>
      </c>
      <c r="G162" s="147"/>
      <c r="H162" s="180">
        <f t="shared" ref="H162" si="231">IF((E162+G162)/C162&gt;=100%,100%,(E162+G162)/C162)</f>
        <v>1</v>
      </c>
      <c r="I162" s="642">
        <f t="shared" ref="I162:I164" si="232">IF(F162/D162&gt;=100%,100%,F162/D162)</f>
        <v>1</v>
      </c>
      <c r="J162" s="195"/>
      <c r="K162" s="195"/>
      <c r="L162" s="101"/>
      <c r="M162" s="104"/>
      <c r="N162" s="146"/>
      <c r="O162" s="195"/>
      <c r="P162" s="195"/>
      <c r="Q162" s="195"/>
      <c r="R162" s="150"/>
      <c r="S162" s="195"/>
      <c r="T162" s="236">
        <v>24</v>
      </c>
      <c r="U162" s="242">
        <f t="shared" ref="U162" si="233">SUM(E162:F162)</f>
        <v>48</v>
      </c>
      <c r="V162" s="186">
        <f t="shared" ref="V162" si="234">IF(U162/T162&gt;=100%,100%,U162/T162)</f>
        <v>1</v>
      </c>
      <c r="W162" s="888">
        <v>1</v>
      </c>
      <c r="X162" s="472">
        <v>1</v>
      </c>
      <c r="Y162" s="539">
        <v>100000000</v>
      </c>
      <c r="Z162" s="372">
        <v>0</v>
      </c>
      <c r="AA162" s="174">
        <v>99948316</v>
      </c>
      <c r="AB162" s="273">
        <f t="shared" si="172"/>
        <v>0.99948316000000004</v>
      </c>
      <c r="AC162" s="269">
        <v>97780035</v>
      </c>
      <c r="AD162" s="637">
        <f t="shared" si="178"/>
        <v>0.97780034999999998</v>
      </c>
      <c r="AE162" s="156">
        <f>+AA162-AC162</f>
        <v>2168281</v>
      </c>
      <c r="AF162" s="174">
        <v>19128457</v>
      </c>
      <c r="AG162" s="174">
        <v>19082385</v>
      </c>
      <c r="AH162" s="614">
        <f t="shared" si="179"/>
        <v>0.9975914419025016</v>
      </c>
      <c r="AI162" s="250">
        <v>400000000</v>
      </c>
      <c r="AJ162" s="250">
        <f t="shared" ref="AJ162" si="235">+SUM(Z162:AA162)</f>
        <v>99948316</v>
      </c>
      <c r="AK162" s="911">
        <f t="shared" si="180"/>
        <v>0.24987079000000001</v>
      </c>
      <c r="AL162" s="173"/>
      <c r="AM162" s="157"/>
      <c r="AN162" s="152" t="s">
        <v>302</v>
      </c>
      <c r="AO162" s="589" t="s">
        <v>890</v>
      </c>
      <c r="AP162" s="558"/>
      <c r="AQ162" s="93"/>
    </row>
    <row r="163" spans="1:43" ht="54" customHeight="1" thickBot="1">
      <c r="A163" s="315" t="s">
        <v>479</v>
      </c>
      <c r="B163" s="138"/>
      <c r="C163" s="826"/>
      <c r="D163" s="223"/>
      <c r="E163" s="861"/>
      <c r="F163" s="139"/>
      <c r="G163" s="139"/>
      <c r="H163" s="140">
        <f>+SUMPRODUCT(H164:H164,W164:W164)</f>
        <v>0</v>
      </c>
      <c r="I163" s="161">
        <f>+SUMPRODUCT(I164:I164,X164:X164)</f>
        <v>0</v>
      </c>
      <c r="J163" s="194"/>
      <c r="K163" s="194"/>
      <c r="L163" s="141"/>
      <c r="M163" s="142"/>
      <c r="N163" s="142"/>
      <c r="O163" s="194"/>
      <c r="P163" s="194"/>
      <c r="Q163" s="194"/>
      <c r="R163" s="163"/>
      <c r="S163" s="194"/>
      <c r="T163" s="240"/>
      <c r="U163" s="258"/>
      <c r="V163" s="177">
        <f>+SUMPRODUCT(V164:V164,W164:W164)</f>
        <v>0</v>
      </c>
      <c r="W163" s="879">
        <v>0</v>
      </c>
      <c r="X163" s="471">
        <v>0.3</v>
      </c>
      <c r="Y163" s="144">
        <f>SUM(Y164)</f>
        <v>344150000</v>
      </c>
      <c r="Z163" s="144">
        <f>SUM(Z164)</f>
        <v>0</v>
      </c>
      <c r="AA163" s="144">
        <f>SUM(AA164)</f>
        <v>337660472</v>
      </c>
      <c r="AB163" s="272">
        <f t="shared" si="172"/>
        <v>0.98114331541479005</v>
      </c>
      <c r="AC163" s="144">
        <f>SUM(AC164)</f>
        <v>25853102</v>
      </c>
      <c r="AD163" s="188">
        <f t="shared" si="178"/>
        <v>7.512160976318466E-2</v>
      </c>
      <c r="AE163" s="144">
        <f>SUM(AE164)</f>
        <v>0</v>
      </c>
      <c r="AF163" s="144">
        <f>SUM(AF164)</f>
        <v>0</v>
      </c>
      <c r="AG163" s="144">
        <f>SUM(AG164)</f>
        <v>0</v>
      </c>
      <c r="AH163" s="613" t="e">
        <f t="shared" si="179"/>
        <v>#DIV/0!</v>
      </c>
      <c r="AI163" s="144">
        <f t="shared" ref="AI163:AJ163" si="236">SUM(AI164)</f>
        <v>1200000000</v>
      </c>
      <c r="AJ163" s="144">
        <f t="shared" si="236"/>
        <v>337660472</v>
      </c>
      <c r="AK163" s="910">
        <f t="shared" si="180"/>
        <v>0.28138372666666667</v>
      </c>
      <c r="AL163" s="179"/>
      <c r="AM163" s="165"/>
      <c r="AN163" s="553"/>
      <c r="AO163" s="144"/>
      <c r="AP163" s="557"/>
      <c r="AQ163" s="98"/>
    </row>
    <row r="164" spans="1:43" ht="36" customHeight="1" thickBot="1">
      <c r="A164" s="346" t="s">
        <v>612</v>
      </c>
      <c r="B164" s="450" t="s">
        <v>795</v>
      </c>
      <c r="C164" s="842">
        <v>0</v>
      </c>
      <c r="D164" s="218">
        <v>1</v>
      </c>
      <c r="E164" s="867">
        <v>0</v>
      </c>
      <c r="F164" s="147">
        <v>0</v>
      </c>
      <c r="G164" s="147"/>
      <c r="H164" s="180">
        <v>0</v>
      </c>
      <c r="I164" s="642">
        <f t="shared" si="232"/>
        <v>0</v>
      </c>
      <c r="J164" s="195"/>
      <c r="K164" s="195"/>
      <c r="L164" s="101"/>
      <c r="M164" s="104"/>
      <c r="N164" s="146"/>
      <c r="O164" s="195"/>
      <c r="P164" s="195"/>
      <c r="Q164" s="195"/>
      <c r="R164" s="150"/>
      <c r="S164" s="195"/>
      <c r="T164" s="241">
        <v>3</v>
      </c>
      <c r="U164" s="242">
        <f t="shared" ref="U164" si="237">SUM(E164:F164)</f>
        <v>0</v>
      </c>
      <c r="V164" s="186">
        <f t="shared" ref="V164" si="238">IF(U164/T164&gt;=100%,100%,U164/T164)</f>
        <v>0</v>
      </c>
      <c r="W164" s="888">
        <v>0</v>
      </c>
      <c r="X164" s="673">
        <v>1</v>
      </c>
      <c r="Y164" s="525">
        <v>344150000</v>
      </c>
      <c r="Z164" s="482">
        <v>0</v>
      </c>
      <c r="AA164" s="174">
        <v>337660472</v>
      </c>
      <c r="AB164" s="273">
        <f t="shared" si="172"/>
        <v>0.98114331541479005</v>
      </c>
      <c r="AC164" s="269">
        <v>25853102</v>
      </c>
      <c r="AD164" s="189">
        <f t="shared" si="178"/>
        <v>7.512160976318466E-2</v>
      </c>
      <c r="AE164" s="550"/>
      <c r="AF164" s="174"/>
      <c r="AG164" s="174"/>
      <c r="AH164" s="614" t="e">
        <f t="shared" si="179"/>
        <v>#DIV/0!</v>
      </c>
      <c r="AI164" s="250">
        <v>1200000000</v>
      </c>
      <c r="AJ164" s="250">
        <f t="shared" ref="AJ164:AJ166" si="239">+SUM(Z164:AA164)</f>
        <v>337660472</v>
      </c>
      <c r="AK164" s="911">
        <f t="shared" si="180"/>
        <v>0.28138372666666667</v>
      </c>
      <c r="AL164" s="173"/>
      <c r="AM164" s="157"/>
      <c r="AN164" s="152" t="s">
        <v>302</v>
      </c>
      <c r="AO164" s="590" t="s">
        <v>915</v>
      </c>
      <c r="AP164" s="558"/>
      <c r="AQ164" s="93"/>
    </row>
    <row r="165" spans="1:43" ht="54" customHeight="1" thickBot="1">
      <c r="A165" s="315" t="s">
        <v>480</v>
      </c>
      <c r="B165" s="138"/>
      <c r="C165" s="826"/>
      <c r="D165" s="223"/>
      <c r="E165" s="861"/>
      <c r="F165" s="139"/>
      <c r="G165" s="139"/>
      <c r="H165" s="161">
        <f>+SUMPRODUCT(H166:H166,W166:W166)</f>
        <v>1</v>
      </c>
      <c r="I165" s="161">
        <f>+SUMPRODUCT(I166:I166,X166:X166)</f>
        <v>1</v>
      </c>
      <c r="J165" s="194"/>
      <c r="K165" s="194"/>
      <c r="L165" s="141"/>
      <c r="M165" s="142"/>
      <c r="N165" s="142"/>
      <c r="O165" s="194"/>
      <c r="P165" s="194"/>
      <c r="Q165" s="194"/>
      <c r="R165" s="163"/>
      <c r="S165" s="194"/>
      <c r="T165" s="240"/>
      <c r="U165" s="258"/>
      <c r="V165" s="177">
        <f>+SUMPRODUCT(V166:V166,W166:W166)</f>
        <v>1</v>
      </c>
      <c r="W165" s="879">
        <v>0.35</v>
      </c>
      <c r="X165" s="471">
        <v>0.15</v>
      </c>
      <c r="Y165" s="144">
        <f>SUM(Y166)</f>
        <v>225000000</v>
      </c>
      <c r="Z165" s="144">
        <f>SUM(Z166)</f>
        <v>0</v>
      </c>
      <c r="AA165" s="144">
        <f>SUM(AA166)</f>
        <v>218939399</v>
      </c>
      <c r="AB165" s="272">
        <f t="shared" si="172"/>
        <v>0.97306399555555556</v>
      </c>
      <c r="AC165" s="144">
        <f>SUM(AC166)</f>
        <v>193366300</v>
      </c>
      <c r="AD165" s="636">
        <f t="shared" si="178"/>
        <v>0.85940577777777782</v>
      </c>
      <c r="AE165" s="144">
        <f>SUM(AE166)</f>
        <v>25573099</v>
      </c>
      <c r="AF165" s="144">
        <f>SUM(AF166)</f>
        <v>7806826</v>
      </c>
      <c r="AG165" s="144">
        <f>SUM(AG166)</f>
        <v>7550792</v>
      </c>
      <c r="AH165" s="613">
        <f t="shared" si="179"/>
        <v>0.96720382905933855</v>
      </c>
      <c r="AI165" s="144">
        <f t="shared" ref="AI165:AJ165" si="240">SUM(AI166)</f>
        <v>500000000</v>
      </c>
      <c r="AJ165" s="144">
        <f t="shared" si="240"/>
        <v>218939399</v>
      </c>
      <c r="AK165" s="910">
        <f t="shared" si="180"/>
        <v>0.43787879800000001</v>
      </c>
      <c r="AL165" s="179"/>
      <c r="AM165" s="165"/>
      <c r="AN165" s="553"/>
      <c r="AO165" s="144"/>
      <c r="AP165" s="557"/>
      <c r="AQ165" s="98"/>
    </row>
    <row r="166" spans="1:43" ht="36" customHeight="1" thickBot="1">
      <c r="A166" s="350" t="s">
        <v>613</v>
      </c>
      <c r="B166" s="451" t="s">
        <v>796</v>
      </c>
      <c r="C166" s="842">
        <v>1</v>
      </c>
      <c r="D166" s="218">
        <v>1</v>
      </c>
      <c r="E166" s="867">
        <v>1</v>
      </c>
      <c r="F166" s="147">
        <v>1</v>
      </c>
      <c r="G166" s="147"/>
      <c r="H166" s="180">
        <f t="shared" ref="H166" si="241">IF((E166+G166)/C166&gt;=100%,100%,(E166+G166)/C166)</f>
        <v>1</v>
      </c>
      <c r="I166" s="642">
        <f t="shared" ref="I166" si="242">IF(F166/D166&gt;=100%,100%,F166/D166)</f>
        <v>1</v>
      </c>
      <c r="J166" s="195"/>
      <c r="K166" s="195"/>
      <c r="L166" s="101"/>
      <c r="M166" s="104"/>
      <c r="N166" s="146"/>
      <c r="O166" s="195"/>
      <c r="P166" s="195"/>
      <c r="Q166" s="195"/>
      <c r="R166" s="150"/>
      <c r="S166" s="195"/>
      <c r="T166" s="241">
        <v>2</v>
      </c>
      <c r="U166" s="242">
        <f t="shared" ref="U166" si="243">SUM(E166:F166)</f>
        <v>2</v>
      </c>
      <c r="V166" s="186">
        <f t="shared" ref="V166" si="244">IF(U166/T166&gt;=100%,100%,U166/T166)</f>
        <v>1</v>
      </c>
      <c r="W166" s="888">
        <v>1</v>
      </c>
      <c r="X166" s="472">
        <v>1</v>
      </c>
      <c r="Y166" s="539">
        <v>225000000</v>
      </c>
      <c r="Z166" s="482">
        <v>0</v>
      </c>
      <c r="AA166" s="174">
        <v>218939399</v>
      </c>
      <c r="AB166" s="273">
        <f t="shared" si="172"/>
        <v>0.97306399555555556</v>
      </c>
      <c r="AC166" s="269">
        <v>193366300</v>
      </c>
      <c r="AD166" s="637">
        <f t="shared" si="178"/>
        <v>0.85940577777777782</v>
      </c>
      <c r="AE166" s="156">
        <f>+AA166-AC166</f>
        <v>25573099</v>
      </c>
      <c r="AF166" s="174">
        <v>7806826</v>
      </c>
      <c r="AG166" s="174">
        <v>7550792</v>
      </c>
      <c r="AH166" s="614">
        <f t="shared" si="179"/>
        <v>0.96720382905933855</v>
      </c>
      <c r="AI166" s="250">
        <v>500000000</v>
      </c>
      <c r="AJ166" s="250">
        <f t="shared" si="239"/>
        <v>218939399</v>
      </c>
      <c r="AK166" s="911">
        <f t="shared" si="180"/>
        <v>0.43787879800000001</v>
      </c>
      <c r="AL166" s="173"/>
      <c r="AM166" s="157"/>
      <c r="AN166" s="152" t="s">
        <v>302</v>
      </c>
      <c r="AO166" s="591" t="s">
        <v>890</v>
      </c>
      <c r="AP166" s="558"/>
      <c r="AQ166" s="93"/>
    </row>
    <row r="167" spans="1:43" ht="42.75" customHeight="1" thickBot="1">
      <c r="A167" s="314" t="s">
        <v>433</v>
      </c>
      <c r="B167" s="413"/>
      <c r="C167" s="835"/>
      <c r="D167" s="222"/>
      <c r="E167" s="862"/>
      <c r="F167" s="129"/>
      <c r="G167" s="129"/>
      <c r="H167" s="130">
        <f>+(H168*W168)+(H176*W176)+(H178*W178)+(H183*W183)</f>
        <v>0.74499565217391306</v>
      </c>
      <c r="I167" s="130">
        <f>+(I168*X168)+(I176*X176)+(I178*X178)+(I183*X183)</f>
        <v>0.69240000000000002</v>
      </c>
      <c r="J167" s="193"/>
      <c r="K167" s="193"/>
      <c r="L167" s="132"/>
      <c r="M167" s="133"/>
      <c r="N167" s="133"/>
      <c r="O167" s="193"/>
      <c r="P167" s="193"/>
      <c r="Q167" s="193"/>
      <c r="R167" s="159"/>
      <c r="S167" s="193"/>
      <c r="T167" s="239"/>
      <c r="U167" s="257"/>
      <c r="V167" s="465">
        <f>+(V168*W168)+(V176*W176)+(V178*W178)+(V183*W183)</f>
        <v>0.58823809523809523</v>
      </c>
      <c r="W167" s="883">
        <v>0.24</v>
      </c>
      <c r="X167" s="470">
        <v>0.2</v>
      </c>
      <c r="Y167" s="135">
        <f>+Y168+Y176+Y178+Y183</f>
        <v>1792247465</v>
      </c>
      <c r="Z167" s="135">
        <f>+Z168+Z176+Z178+Z183</f>
        <v>0</v>
      </c>
      <c r="AA167" s="135">
        <f>+AA168+AA176+AA178+AA183</f>
        <v>1504902492.77</v>
      </c>
      <c r="AB167" s="271">
        <f t="shared" si="172"/>
        <v>0.83967338336840669</v>
      </c>
      <c r="AC167" s="135">
        <f>+AC168+AC176+AC178+AC183</f>
        <v>1126432229.22</v>
      </c>
      <c r="AD167" s="187">
        <f t="shared" si="178"/>
        <v>0.6285026209926875</v>
      </c>
      <c r="AE167" s="135">
        <f>+AE168+AE176+AE178+AE183</f>
        <v>368105000.55000001</v>
      </c>
      <c r="AF167" s="135">
        <f>+AF168+AF176+AF178+AF183</f>
        <v>920765826.63999999</v>
      </c>
      <c r="AG167" s="135">
        <f>+AG168+AG176+AG178+AG183</f>
        <v>901851606</v>
      </c>
      <c r="AH167" s="612">
        <f t="shared" si="179"/>
        <v>0.97945816396225238</v>
      </c>
      <c r="AI167" s="135">
        <f t="shared" ref="AI167:AJ167" si="245">+AI168+AI176+AI178+AI183</f>
        <v>7290000000</v>
      </c>
      <c r="AJ167" s="135">
        <f t="shared" si="245"/>
        <v>1504902492.77</v>
      </c>
      <c r="AK167" s="915">
        <f t="shared" si="180"/>
        <v>0.20643381245130316</v>
      </c>
      <c r="AL167" s="172"/>
      <c r="AM167" s="160" t="s">
        <v>293</v>
      </c>
      <c r="AN167" s="136"/>
      <c r="AO167" s="135"/>
      <c r="AP167" s="556"/>
      <c r="AQ167" s="97"/>
    </row>
    <row r="168" spans="1:43" ht="54" customHeight="1" thickBot="1">
      <c r="A168" s="315" t="s">
        <v>481</v>
      </c>
      <c r="B168" s="138"/>
      <c r="C168" s="826"/>
      <c r="D168" s="223"/>
      <c r="E168" s="861"/>
      <c r="F168" s="139"/>
      <c r="G168" s="139"/>
      <c r="H168" s="161">
        <f>+SUMPRODUCT(H169:H175,W169:W175)</f>
        <v>0.65400000000000014</v>
      </c>
      <c r="I168" s="161">
        <f>+SUMPRODUCT(I169:I175,X169:X175)</f>
        <v>0.34</v>
      </c>
      <c r="J168" s="194"/>
      <c r="K168" s="194"/>
      <c r="L168" s="141"/>
      <c r="M168" s="142"/>
      <c r="N168" s="142"/>
      <c r="O168" s="194"/>
      <c r="P168" s="194"/>
      <c r="Q168" s="194"/>
      <c r="R168" s="163"/>
      <c r="S168" s="194"/>
      <c r="T168" s="240"/>
      <c r="U168" s="258"/>
      <c r="V168" s="177">
        <f>+SUMPRODUCT(V169:V175,W169:W175)</f>
        <v>0.75</v>
      </c>
      <c r="W168" s="879">
        <v>0.45</v>
      </c>
      <c r="X168" s="471">
        <v>0.45</v>
      </c>
      <c r="Y168" s="144">
        <f>SUM(Y169:Y175)</f>
        <v>835400000</v>
      </c>
      <c r="Z168" s="144">
        <f>SUM(Z169:Z175)</f>
        <v>0</v>
      </c>
      <c r="AA168" s="602">
        <f>SUM(AA169:AA175)</f>
        <v>554785815.76999998</v>
      </c>
      <c r="AB168" s="272">
        <f t="shared" si="172"/>
        <v>0.66409602079243479</v>
      </c>
      <c r="AC168" s="144">
        <f>SUM(AC169:AC175)</f>
        <v>513925057.22000003</v>
      </c>
      <c r="AD168" s="188">
        <f t="shared" si="178"/>
        <v>0.61518441132391677</v>
      </c>
      <c r="AE168" s="144">
        <f>SUM(AE169:AE175)</f>
        <v>30495495.550000004</v>
      </c>
      <c r="AF168" s="144">
        <f>SUM(AF169:AF175)</f>
        <v>175877624.63999999</v>
      </c>
      <c r="AG168" s="144">
        <f>SUM(AG169:AG175)</f>
        <v>159476974</v>
      </c>
      <c r="AH168" s="613">
        <f t="shared" si="179"/>
        <v>0.90674964667296298</v>
      </c>
      <c r="AI168" s="144">
        <f t="shared" ref="AI168:AJ168" si="246">SUM(AI169:AI175)</f>
        <v>3445000000</v>
      </c>
      <c r="AJ168" s="144">
        <f t="shared" si="246"/>
        <v>554785815.76999998</v>
      </c>
      <c r="AK168" s="910">
        <f t="shared" si="180"/>
        <v>0.16104087540493467</v>
      </c>
      <c r="AL168" s="179"/>
      <c r="AM168" s="165"/>
      <c r="AN168" s="553"/>
      <c r="AO168" s="144"/>
      <c r="AP168" s="557"/>
      <c r="AQ168" s="98"/>
    </row>
    <row r="169" spans="1:43" ht="36" customHeight="1">
      <c r="A169" s="347" t="s">
        <v>614</v>
      </c>
      <c r="B169" s="449" t="s">
        <v>875</v>
      </c>
      <c r="C169" s="401">
        <v>8</v>
      </c>
      <c r="D169" s="401">
        <v>8</v>
      </c>
      <c r="E169" s="858">
        <v>6</v>
      </c>
      <c r="F169" s="147">
        <v>0</v>
      </c>
      <c r="G169" s="147"/>
      <c r="H169" s="180">
        <f t="shared" ref="H169:H175" si="247">IF((E169+G169)/C169&gt;=100%,100%,(E169+G169)/C169)</f>
        <v>0.75</v>
      </c>
      <c r="I169" s="642">
        <f t="shared" ref="I169:I173" si="248">IF(F169/D169&gt;=100%,100%,F169/D169)</f>
        <v>0</v>
      </c>
      <c r="J169" s="195"/>
      <c r="K169" s="195"/>
      <c r="L169" s="101"/>
      <c r="M169" s="104"/>
      <c r="N169" s="146"/>
      <c r="O169" s="195"/>
      <c r="P169" s="195"/>
      <c r="Q169" s="195"/>
      <c r="R169" s="150"/>
      <c r="S169" s="195"/>
      <c r="T169" s="241">
        <v>8</v>
      </c>
      <c r="U169" s="242">
        <f t="shared" ref="U169" si="249">SUM(E169:F169)</f>
        <v>6</v>
      </c>
      <c r="V169" s="186">
        <f t="shared" ref="V169" si="250">IF(U169/T169&gt;=100%,100%,U169/T169)</f>
        <v>0.75</v>
      </c>
      <c r="W169" s="884">
        <v>0.5</v>
      </c>
      <c r="X169" s="472">
        <v>0.5</v>
      </c>
      <c r="Y169" s="538">
        <v>282300000</v>
      </c>
      <c r="Z169" s="375" t="s">
        <v>887</v>
      </c>
      <c r="AA169" s="174">
        <v>47743163.770000003</v>
      </c>
      <c r="AB169" s="273">
        <f t="shared" si="172"/>
        <v>0.1691220820758059</v>
      </c>
      <c r="AC169" s="269">
        <v>36207519.219999999</v>
      </c>
      <c r="AD169" s="189">
        <f t="shared" si="178"/>
        <v>0.12825901246900459</v>
      </c>
      <c r="AE169" s="156">
        <f>+AA169-AC169</f>
        <v>11535644.550000004</v>
      </c>
      <c r="AF169" s="174">
        <v>20173149.640000001</v>
      </c>
      <c r="AG169" s="174">
        <v>19462674</v>
      </c>
      <c r="AH169" s="614">
        <f t="shared" si="179"/>
        <v>0.96478112477829214</v>
      </c>
      <c r="AI169" s="250">
        <v>1520000000</v>
      </c>
      <c r="AJ169" s="250">
        <f t="shared" ref="AJ169:AJ175" si="251">+SUM(Z169:AA169)</f>
        <v>47743163.770000003</v>
      </c>
      <c r="AK169" s="911">
        <f t="shared" si="180"/>
        <v>3.1409976164473684E-2</v>
      </c>
      <c r="AL169" s="173"/>
      <c r="AM169" s="157"/>
      <c r="AN169" s="152" t="s">
        <v>28</v>
      </c>
      <c r="AO169" s="2246" t="s">
        <v>916</v>
      </c>
      <c r="AP169" s="558"/>
      <c r="AQ169" s="93"/>
    </row>
    <row r="170" spans="1:43" ht="36" customHeight="1">
      <c r="A170" s="347" t="s">
        <v>615</v>
      </c>
      <c r="B170" s="449" t="s">
        <v>877</v>
      </c>
      <c r="C170" s="401">
        <v>0</v>
      </c>
      <c r="D170" s="401">
        <v>1</v>
      </c>
      <c r="E170" s="147">
        <v>0</v>
      </c>
      <c r="F170" s="147">
        <v>0</v>
      </c>
      <c r="G170" s="147"/>
      <c r="H170" s="180">
        <v>0</v>
      </c>
      <c r="I170" s="642">
        <v>0</v>
      </c>
      <c r="J170" s="195"/>
      <c r="K170" s="195"/>
      <c r="L170" s="101"/>
      <c r="M170" s="104"/>
      <c r="N170" s="146"/>
      <c r="O170" s="195"/>
      <c r="P170" s="195"/>
      <c r="Q170" s="195"/>
      <c r="R170" s="150"/>
      <c r="S170" s="195"/>
      <c r="T170" s="241">
        <v>1</v>
      </c>
      <c r="U170" s="242">
        <f t="shared" ref="U170:U175" si="252">SUM(E170:F170)</f>
        <v>0</v>
      </c>
      <c r="V170" s="186">
        <f t="shared" ref="V170:V175" si="253">IF(U170/T170&gt;=100%,100%,U170/T170)</f>
        <v>0</v>
      </c>
      <c r="W170" s="881">
        <v>0</v>
      </c>
      <c r="X170" s="673">
        <v>0.05</v>
      </c>
      <c r="Y170" s="538">
        <v>120000000</v>
      </c>
      <c r="Z170" s="375" t="s">
        <v>887</v>
      </c>
      <c r="AA170" s="174">
        <v>119938087</v>
      </c>
      <c r="AB170" s="273">
        <f t="shared" si="172"/>
        <v>0.99948405833333331</v>
      </c>
      <c r="AC170" s="269">
        <v>109572824</v>
      </c>
      <c r="AD170" s="189">
        <f t="shared" si="178"/>
        <v>0.91310686666666663</v>
      </c>
      <c r="AE170" s="550"/>
      <c r="AF170" s="174"/>
      <c r="AG170" s="174"/>
      <c r="AH170" s="614" t="e">
        <f t="shared" si="179"/>
        <v>#DIV/0!</v>
      </c>
      <c r="AI170" s="250">
        <v>120000000</v>
      </c>
      <c r="AJ170" s="250">
        <f t="shared" si="251"/>
        <v>119938087</v>
      </c>
      <c r="AK170" s="911">
        <f t="shared" si="180"/>
        <v>0.99948405833333331</v>
      </c>
      <c r="AL170" s="173"/>
      <c r="AM170" s="157"/>
      <c r="AN170" s="152" t="s">
        <v>302</v>
      </c>
      <c r="AO170" s="2206"/>
      <c r="AP170" s="558"/>
      <c r="AQ170" s="93"/>
    </row>
    <row r="171" spans="1:43" ht="36" customHeight="1">
      <c r="A171" s="347" t="s">
        <v>616</v>
      </c>
      <c r="B171" s="449" t="s">
        <v>876</v>
      </c>
      <c r="C171" s="401">
        <v>12</v>
      </c>
      <c r="D171" s="401">
        <v>12</v>
      </c>
      <c r="E171" s="147">
        <v>3</v>
      </c>
      <c r="F171" s="147">
        <v>6</v>
      </c>
      <c r="G171" s="147"/>
      <c r="H171" s="180">
        <f t="shared" si="247"/>
        <v>0.25</v>
      </c>
      <c r="I171" s="642">
        <f t="shared" si="248"/>
        <v>0.5</v>
      </c>
      <c r="J171" s="195"/>
      <c r="K171" s="195"/>
      <c r="L171" s="101"/>
      <c r="M171" s="104"/>
      <c r="N171" s="146"/>
      <c r="O171" s="195"/>
      <c r="P171" s="195"/>
      <c r="Q171" s="195"/>
      <c r="R171" s="150"/>
      <c r="S171" s="195"/>
      <c r="T171" s="241">
        <v>12</v>
      </c>
      <c r="U171" s="242">
        <f t="shared" si="252"/>
        <v>9</v>
      </c>
      <c r="V171" s="186">
        <f t="shared" si="253"/>
        <v>0.75</v>
      </c>
      <c r="W171" s="881">
        <v>0.1</v>
      </c>
      <c r="X171" s="472">
        <v>0.05</v>
      </c>
      <c r="Y171" s="538">
        <v>25000000</v>
      </c>
      <c r="Z171" s="371">
        <v>0</v>
      </c>
      <c r="AA171" s="174">
        <v>2387079</v>
      </c>
      <c r="AB171" s="273">
        <f t="shared" si="172"/>
        <v>9.5483159999999997E-2</v>
      </c>
      <c r="AC171" s="269">
        <v>1720148</v>
      </c>
      <c r="AD171" s="189">
        <f t="shared" si="178"/>
        <v>6.8805920000000007E-2</v>
      </c>
      <c r="AE171" s="156">
        <f>+AA171-AC171</f>
        <v>666931</v>
      </c>
      <c r="AF171" s="174">
        <v>13687551</v>
      </c>
      <c r="AG171" s="174">
        <v>658504</v>
      </c>
      <c r="AH171" s="614">
        <f t="shared" si="179"/>
        <v>4.8109702020471011E-2</v>
      </c>
      <c r="AI171" s="250">
        <v>100000000</v>
      </c>
      <c r="AJ171" s="250">
        <f t="shared" si="251"/>
        <v>2387079</v>
      </c>
      <c r="AK171" s="911">
        <f t="shared" si="180"/>
        <v>2.3870789999999999E-2</v>
      </c>
      <c r="AL171" s="173"/>
      <c r="AM171" s="157"/>
      <c r="AN171" s="152" t="s">
        <v>29</v>
      </c>
      <c r="AO171" s="2206"/>
      <c r="AP171" s="558"/>
      <c r="AQ171" s="93"/>
    </row>
    <row r="172" spans="1:43" ht="36" customHeight="1">
      <c r="A172" s="347" t="s">
        <v>617</v>
      </c>
      <c r="B172" s="452" t="s">
        <v>797</v>
      </c>
      <c r="C172" s="401">
        <v>1</v>
      </c>
      <c r="D172" s="401">
        <v>1</v>
      </c>
      <c r="E172" s="147">
        <v>0</v>
      </c>
      <c r="F172" s="147">
        <v>0</v>
      </c>
      <c r="G172" s="147"/>
      <c r="H172" s="180">
        <f t="shared" si="247"/>
        <v>0</v>
      </c>
      <c r="I172" s="642">
        <f t="shared" si="248"/>
        <v>0</v>
      </c>
      <c r="J172" s="195"/>
      <c r="K172" s="195"/>
      <c r="L172" s="101"/>
      <c r="M172" s="104"/>
      <c r="N172" s="146"/>
      <c r="O172" s="195"/>
      <c r="P172" s="195"/>
      <c r="Q172" s="195"/>
      <c r="R172" s="150"/>
      <c r="S172" s="195"/>
      <c r="T172" s="241">
        <v>2</v>
      </c>
      <c r="U172" s="242">
        <f t="shared" si="252"/>
        <v>0</v>
      </c>
      <c r="V172" s="186">
        <f t="shared" si="253"/>
        <v>0</v>
      </c>
      <c r="W172" s="881">
        <v>0.05</v>
      </c>
      <c r="X172" s="472">
        <v>0.05</v>
      </c>
      <c r="Y172" s="542">
        <v>12500000</v>
      </c>
      <c r="Z172" s="375" t="s">
        <v>887</v>
      </c>
      <c r="AA172" s="174">
        <v>12452085</v>
      </c>
      <c r="AB172" s="273">
        <f t="shared" si="172"/>
        <v>0.99616680000000002</v>
      </c>
      <c r="AC172" s="269">
        <v>10295874</v>
      </c>
      <c r="AD172" s="189">
        <f t="shared" si="178"/>
        <v>0.82366992000000006</v>
      </c>
      <c r="AE172" s="156">
        <f>+AA172-AC172</f>
        <v>2156211</v>
      </c>
      <c r="AF172" s="174">
        <v>25854474</v>
      </c>
      <c r="AG172" s="174">
        <v>23595202</v>
      </c>
      <c r="AH172" s="614">
        <f t="shared" si="179"/>
        <v>0.91261582037986921</v>
      </c>
      <c r="AI172" s="250">
        <v>185000000</v>
      </c>
      <c r="AJ172" s="250">
        <f t="shared" si="251"/>
        <v>12452085</v>
      </c>
      <c r="AK172" s="911">
        <f t="shared" si="180"/>
        <v>6.7308567567567562E-2</v>
      </c>
      <c r="AL172" s="173"/>
      <c r="AM172" s="157"/>
      <c r="AN172" s="152" t="s">
        <v>302</v>
      </c>
      <c r="AO172" s="2205"/>
      <c r="AP172" s="558"/>
      <c r="AQ172" s="93"/>
    </row>
    <row r="173" spans="1:43" ht="36" customHeight="1">
      <c r="A173" s="347" t="s">
        <v>618</v>
      </c>
      <c r="B173" s="448" t="s">
        <v>798</v>
      </c>
      <c r="C173" s="402">
        <v>1</v>
      </c>
      <c r="D173" s="402">
        <v>1</v>
      </c>
      <c r="E173" s="182">
        <v>0.68</v>
      </c>
      <c r="F173" s="681">
        <v>0.9</v>
      </c>
      <c r="G173" s="147"/>
      <c r="H173" s="180">
        <f t="shared" si="247"/>
        <v>0.68</v>
      </c>
      <c r="I173" s="642">
        <f t="shared" si="248"/>
        <v>0.9</v>
      </c>
      <c r="J173" s="195"/>
      <c r="K173" s="195"/>
      <c r="L173" s="101"/>
      <c r="M173" s="104"/>
      <c r="N173" s="146"/>
      <c r="O173" s="195"/>
      <c r="P173" s="195"/>
      <c r="Q173" s="195"/>
      <c r="R173" s="150"/>
      <c r="S173" s="195"/>
      <c r="T173" s="208">
        <v>1</v>
      </c>
      <c r="U173" s="242">
        <f t="shared" si="252"/>
        <v>1.58</v>
      </c>
      <c r="V173" s="186">
        <f t="shared" si="253"/>
        <v>1</v>
      </c>
      <c r="W173" s="881">
        <v>0.3</v>
      </c>
      <c r="X173" s="472">
        <v>0.35</v>
      </c>
      <c r="Y173" s="538">
        <v>395600000</v>
      </c>
      <c r="Z173" s="371">
        <v>0</v>
      </c>
      <c r="AA173" s="174">
        <v>372265401</v>
      </c>
      <c r="AB173" s="273">
        <f t="shared" si="172"/>
        <v>0.94101466380181997</v>
      </c>
      <c r="AC173" s="269">
        <v>356128692</v>
      </c>
      <c r="AD173" s="637">
        <f t="shared" si="178"/>
        <v>0.90022419615773508</v>
      </c>
      <c r="AE173" s="156">
        <f>+AA173-AC173</f>
        <v>16136709</v>
      </c>
      <c r="AF173" s="174">
        <v>9530485</v>
      </c>
      <c r="AG173" s="174">
        <v>9323735</v>
      </c>
      <c r="AH173" s="614">
        <f t="shared" si="179"/>
        <v>0.97830645554764528</v>
      </c>
      <c r="AI173" s="250">
        <v>1000000000</v>
      </c>
      <c r="AJ173" s="250">
        <f t="shared" si="251"/>
        <v>372265401</v>
      </c>
      <c r="AK173" s="911">
        <f t="shared" si="180"/>
        <v>0.372265401</v>
      </c>
      <c r="AL173" s="173"/>
      <c r="AM173" s="157"/>
      <c r="AN173" s="152" t="s">
        <v>302</v>
      </c>
      <c r="AO173" s="588" t="s">
        <v>916</v>
      </c>
      <c r="AP173" s="558"/>
      <c r="AQ173" s="93"/>
    </row>
    <row r="174" spans="1:43" ht="36" customHeight="1">
      <c r="A174" s="347" t="s">
        <v>619</v>
      </c>
      <c r="B174" s="453" t="s">
        <v>799</v>
      </c>
      <c r="C174" s="401">
        <v>0</v>
      </c>
      <c r="D174" s="401">
        <v>0</v>
      </c>
      <c r="E174" s="147">
        <v>0</v>
      </c>
      <c r="F174" s="147">
        <v>0</v>
      </c>
      <c r="G174" s="147"/>
      <c r="H174" s="180">
        <v>0</v>
      </c>
      <c r="I174" s="642">
        <v>0</v>
      </c>
      <c r="J174" s="195"/>
      <c r="K174" s="195"/>
      <c r="L174" s="101"/>
      <c r="M174" s="104"/>
      <c r="N174" s="146"/>
      <c r="O174" s="195"/>
      <c r="P174" s="195"/>
      <c r="Q174" s="195"/>
      <c r="R174" s="150"/>
      <c r="S174" s="195"/>
      <c r="T174" s="241">
        <v>1</v>
      </c>
      <c r="U174" s="242">
        <f t="shared" si="252"/>
        <v>0</v>
      </c>
      <c r="V174" s="186">
        <f t="shared" si="253"/>
        <v>0</v>
      </c>
      <c r="W174" s="881">
        <v>0</v>
      </c>
      <c r="X174" s="472">
        <v>0</v>
      </c>
      <c r="Y174" s="541" t="s">
        <v>887</v>
      </c>
      <c r="Z174" s="375" t="s">
        <v>887</v>
      </c>
      <c r="AA174" s="174"/>
      <c r="AB174" s="273" t="e">
        <f t="shared" si="172"/>
        <v>#VALUE!</v>
      </c>
      <c r="AC174" s="269"/>
      <c r="AD174" s="189" t="e">
        <f t="shared" si="178"/>
        <v>#VALUE!</v>
      </c>
      <c r="AE174" s="550"/>
      <c r="AF174" s="174"/>
      <c r="AG174" s="174"/>
      <c r="AH174" s="614" t="e">
        <f t="shared" si="179"/>
        <v>#DIV/0!</v>
      </c>
      <c r="AI174" s="250">
        <v>400000000</v>
      </c>
      <c r="AJ174" s="250">
        <f t="shared" si="251"/>
        <v>0</v>
      </c>
      <c r="AK174" s="911">
        <f t="shared" si="180"/>
        <v>0</v>
      </c>
      <c r="AL174" s="173"/>
      <c r="AM174" s="157"/>
      <c r="AN174" s="152" t="s">
        <v>302</v>
      </c>
      <c r="AO174" s="588" t="s">
        <v>917</v>
      </c>
      <c r="AP174" s="558"/>
      <c r="AQ174" s="93"/>
    </row>
    <row r="175" spans="1:43" ht="36" customHeight="1" thickBot="1">
      <c r="A175" s="347" t="s">
        <v>620</v>
      </c>
      <c r="B175" s="453" t="s">
        <v>800</v>
      </c>
      <c r="C175" s="847">
        <v>1</v>
      </c>
      <c r="D175" s="401">
        <v>0</v>
      </c>
      <c r="E175" s="860">
        <v>0</v>
      </c>
      <c r="F175" s="147">
        <v>0</v>
      </c>
      <c r="G175" s="147">
        <v>1</v>
      </c>
      <c r="H175" s="180">
        <f t="shared" si="247"/>
        <v>1</v>
      </c>
      <c r="I175" s="642">
        <v>0</v>
      </c>
      <c r="J175" s="195"/>
      <c r="K175" s="195"/>
      <c r="L175" s="101"/>
      <c r="M175" s="104"/>
      <c r="N175" s="146"/>
      <c r="O175" s="195"/>
      <c r="P175" s="195"/>
      <c r="Q175" s="195"/>
      <c r="R175" s="150"/>
      <c r="S175" s="195"/>
      <c r="T175" s="241">
        <v>1</v>
      </c>
      <c r="U175" s="242">
        <f t="shared" si="252"/>
        <v>0</v>
      </c>
      <c r="V175" s="186">
        <f t="shared" si="253"/>
        <v>0</v>
      </c>
      <c r="W175" s="885">
        <v>0.05</v>
      </c>
      <c r="X175" s="472">
        <v>0</v>
      </c>
      <c r="Y175" s="542">
        <v>0</v>
      </c>
      <c r="Z175" s="375" t="s">
        <v>887</v>
      </c>
      <c r="AA175" s="174">
        <v>0</v>
      </c>
      <c r="AB175" s="273" t="e">
        <f t="shared" si="172"/>
        <v>#DIV/0!</v>
      </c>
      <c r="AC175" s="269"/>
      <c r="AD175" s="189" t="e">
        <f t="shared" si="178"/>
        <v>#DIV/0!</v>
      </c>
      <c r="AE175" s="156">
        <f>+AA175-AC175</f>
        <v>0</v>
      </c>
      <c r="AF175" s="174">
        <v>106631965</v>
      </c>
      <c r="AG175" s="174">
        <v>106436859</v>
      </c>
      <c r="AH175" s="614">
        <f t="shared" si="179"/>
        <v>0.99817028599257263</v>
      </c>
      <c r="AI175" s="250">
        <v>120000000</v>
      </c>
      <c r="AJ175" s="250">
        <f t="shared" si="251"/>
        <v>0</v>
      </c>
      <c r="AK175" s="914">
        <f t="shared" si="180"/>
        <v>0</v>
      </c>
      <c r="AL175" s="173"/>
      <c r="AM175" s="157"/>
      <c r="AN175" s="152" t="s">
        <v>302</v>
      </c>
      <c r="AO175" s="588" t="s">
        <v>916</v>
      </c>
      <c r="AP175" s="558"/>
      <c r="AQ175" s="93"/>
    </row>
    <row r="176" spans="1:43" ht="54" customHeight="1" thickBot="1">
      <c r="A176" s="315" t="s">
        <v>482</v>
      </c>
      <c r="B176" s="138"/>
      <c r="C176" s="826"/>
      <c r="D176" s="223"/>
      <c r="E176" s="861"/>
      <c r="F176" s="139"/>
      <c r="G176" s="139"/>
      <c r="H176" s="140">
        <f>+SUMPRODUCT(H177:H177,W177:W177)</f>
        <v>1</v>
      </c>
      <c r="I176" s="161">
        <f>+SUMPRODUCT(I177:I177,X177:X177)</f>
        <v>1</v>
      </c>
      <c r="J176" s="194"/>
      <c r="K176" s="194"/>
      <c r="L176" s="141"/>
      <c r="M176" s="142"/>
      <c r="N176" s="142"/>
      <c r="O176" s="194"/>
      <c r="P176" s="194"/>
      <c r="Q176" s="194"/>
      <c r="R176" s="163"/>
      <c r="S176" s="194"/>
      <c r="T176" s="240"/>
      <c r="U176" s="258"/>
      <c r="V176" s="177">
        <f>+SUMPRODUCT(V177:V177,W177:W177)</f>
        <v>0.5714285714285714</v>
      </c>
      <c r="W176" s="879">
        <v>0.05</v>
      </c>
      <c r="X176" s="471">
        <v>0.05</v>
      </c>
      <c r="Y176" s="144">
        <f>SUM(Y177)</f>
        <v>40000000</v>
      </c>
      <c r="Z176" s="144">
        <f>SUM(Z177)</f>
        <v>0</v>
      </c>
      <c r="AA176" s="144">
        <f>SUM(AA177)</f>
        <v>39979542</v>
      </c>
      <c r="AB176" s="272">
        <f t="shared" si="172"/>
        <v>0.99948855000000003</v>
      </c>
      <c r="AC176" s="144">
        <f>SUM(AC177)</f>
        <v>38483834</v>
      </c>
      <c r="AD176" s="636">
        <f t="shared" si="178"/>
        <v>0.96209584999999997</v>
      </c>
      <c r="AE176" s="144">
        <f>SUM(AE177)</f>
        <v>1495708</v>
      </c>
      <c r="AF176" s="144">
        <f>SUM(AF177)</f>
        <v>6975103</v>
      </c>
      <c r="AG176" s="144">
        <f>SUM(AG177)</f>
        <v>6919494</v>
      </c>
      <c r="AH176" s="613">
        <f t="shared" si="179"/>
        <v>0.99202750124263395</v>
      </c>
      <c r="AI176" s="144">
        <f t="shared" ref="AI176:AJ176" si="254">SUM(AI177)</f>
        <v>140000000</v>
      </c>
      <c r="AJ176" s="144">
        <f t="shared" si="254"/>
        <v>39979542</v>
      </c>
      <c r="AK176" s="910">
        <f t="shared" si="180"/>
        <v>0.28556815714285716</v>
      </c>
      <c r="AL176" s="179"/>
      <c r="AM176" s="165"/>
      <c r="AN176" s="553"/>
      <c r="AO176" s="144"/>
      <c r="AP176" s="557"/>
      <c r="AQ176" s="98"/>
    </row>
    <row r="177" spans="1:43" ht="36" customHeight="1" thickBot="1">
      <c r="A177" s="350" t="s">
        <v>621</v>
      </c>
      <c r="B177" s="454" t="s">
        <v>801</v>
      </c>
      <c r="C177" s="842">
        <v>2</v>
      </c>
      <c r="D177" s="218">
        <v>2</v>
      </c>
      <c r="E177" s="867">
        <v>2</v>
      </c>
      <c r="F177" s="147">
        <v>2</v>
      </c>
      <c r="G177" s="147"/>
      <c r="H177" s="180">
        <f t="shared" ref="H177" si="255">IF((E177+G177)/C177&gt;=100%,100%,(E177+G177)/C177)</f>
        <v>1</v>
      </c>
      <c r="I177" s="642">
        <f t="shared" ref="I177" si="256">IF(F177/D177&gt;=100%,100%,F177/D177)</f>
        <v>1</v>
      </c>
      <c r="J177" s="195"/>
      <c r="K177" s="195"/>
      <c r="L177" s="101"/>
      <c r="M177" s="104"/>
      <c r="N177" s="146"/>
      <c r="O177" s="195"/>
      <c r="P177" s="195"/>
      <c r="Q177" s="195"/>
      <c r="R177" s="150"/>
      <c r="S177" s="195"/>
      <c r="T177" s="241">
        <v>7</v>
      </c>
      <c r="U177" s="242">
        <f t="shared" ref="U177" si="257">SUM(E177:F177)</f>
        <v>4</v>
      </c>
      <c r="V177" s="186">
        <f t="shared" ref="V177" si="258">IF(U177/T177&gt;=100%,100%,U177/T177)</f>
        <v>0.5714285714285714</v>
      </c>
      <c r="W177" s="888">
        <v>1</v>
      </c>
      <c r="X177" s="472">
        <v>1</v>
      </c>
      <c r="Y177" s="539">
        <v>40000000</v>
      </c>
      <c r="Z177" s="372">
        <v>0</v>
      </c>
      <c r="AA177" s="174">
        <v>39979542</v>
      </c>
      <c r="AB177" s="273">
        <f t="shared" si="172"/>
        <v>0.99948855000000003</v>
      </c>
      <c r="AC177" s="269">
        <v>38483834</v>
      </c>
      <c r="AD177" s="637">
        <f t="shared" si="178"/>
        <v>0.96209584999999997</v>
      </c>
      <c r="AE177" s="156">
        <f>+AA177-AC177</f>
        <v>1495708</v>
      </c>
      <c r="AF177" s="174">
        <v>6975103</v>
      </c>
      <c r="AG177" s="174">
        <v>6919494</v>
      </c>
      <c r="AH177" s="614">
        <f t="shared" si="179"/>
        <v>0.99202750124263395</v>
      </c>
      <c r="AI177" s="250">
        <v>140000000</v>
      </c>
      <c r="AJ177" s="250">
        <f t="shared" ref="AJ177" si="259">+SUM(Z177:AA177)</f>
        <v>39979542</v>
      </c>
      <c r="AK177" s="911">
        <f t="shared" si="180"/>
        <v>0.28556815714285716</v>
      </c>
      <c r="AL177" s="173"/>
      <c r="AM177" s="157"/>
      <c r="AN177" s="152" t="s">
        <v>302</v>
      </c>
      <c r="AO177" s="589" t="s">
        <v>916</v>
      </c>
      <c r="AP177" s="558"/>
      <c r="AQ177" s="93"/>
    </row>
    <row r="178" spans="1:43" ht="54" customHeight="1" thickBot="1">
      <c r="A178" s="315" t="s">
        <v>483</v>
      </c>
      <c r="B178" s="138"/>
      <c r="C178" s="826"/>
      <c r="D178" s="223"/>
      <c r="E178" s="861"/>
      <c r="F178" s="139"/>
      <c r="G178" s="139"/>
      <c r="H178" s="161">
        <f>+SUMPRODUCT(H179:H182,W179:W182)</f>
        <v>0.96</v>
      </c>
      <c r="I178" s="161">
        <f>+SUMPRODUCT(I179:I182,X179:X182)</f>
        <v>0.94700000000000006</v>
      </c>
      <c r="J178" s="194"/>
      <c r="K178" s="194"/>
      <c r="L178" s="141"/>
      <c r="M178" s="142"/>
      <c r="N178" s="142"/>
      <c r="O178" s="194"/>
      <c r="P178" s="194"/>
      <c r="Q178" s="194"/>
      <c r="R178" s="163"/>
      <c r="S178" s="194"/>
      <c r="T178" s="240"/>
      <c r="U178" s="258"/>
      <c r="V178" s="177">
        <f>+SUMPRODUCT(V179:V182,W179:W182)</f>
        <v>0.43583333333333329</v>
      </c>
      <c r="W178" s="879">
        <v>0.2</v>
      </c>
      <c r="X178" s="471">
        <v>0.2</v>
      </c>
      <c r="Y178" s="144">
        <f>SUM(Y179:Y182)</f>
        <v>409747465</v>
      </c>
      <c r="Z178" s="144">
        <f>SUM(Z179:Z182)</f>
        <v>0</v>
      </c>
      <c r="AA178" s="144">
        <f>SUM(AA179:AA182)</f>
        <v>406996428</v>
      </c>
      <c r="AB178" s="272">
        <f t="shared" si="172"/>
        <v>0.99328601825517093</v>
      </c>
      <c r="AC178" s="144">
        <f>SUM(AC179:AC182)</f>
        <v>159945156</v>
      </c>
      <c r="AD178" s="188">
        <f t="shared" si="178"/>
        <v>0.39035056873384194</v>
      </c>
      <c r="AE178" s="144">
        <f>SUM(AE179:AE182)</f>
        <v>247051272</v>
      </c>
      <c r="AF178" s="144">
        <f>SUM(AF179:AF182)</f>
        <v>360334377</v>
      </c>
      <c r="AG178" s="144">
        <f>SUM(AG179:AG182)</f>
        <v>359442703</v>
      </c>
      <c r="AH178" s="613">
        <f t="shared" si="179"/>
        <v>0.9975254262237655</v>
      </c>
      <c r="AI178" s="144">
        <f t="shared" ref="AI178:AJ178" si="260">SUM(AI179:AI182)</f>
        <v>1445000000</v>
      </c>
      <c r="AJ178" s="144">
        <f t="shared" si="260"/>
        <v>406996428</v>
      </c>
      <c r="AK178" s="910">
        <f t="shared" si="180"/>
        <v>0.28165842768166088</v>
      </c>
      <c r="AL178" s="179"/>
      <c r="AM178" s="165"/>
      <c r="AN178" s="553"/>
      <c r="AO178" s="144"/>
      <c r="AP178" s="557"/>
      <c r="AQ178" s="98"/>
    </row>
    <row r="179" spans="1:43" ht="36" customHeight="1">
      <c r="A179" s="347" t="s">
        <v>622</v>
      </c>
      <c r="B179" s="449" t="s">
        <v>878</v>
      </c>
      <c r="C179" s="401">
        <v>1</v>
      </c>
      <c r="D179" s="401">
        <v>1</v>
      </c>
      <c r="E179" s="858">
        <v>0</v>
      </c>
      <c r="F179" s="147">
        <v>1</v>
      </c>
      <c r="G179" s="147">
        <v>1</v>
      </c>
      <c r="H179" s="180">
        <f t="shared" ref="H179" si="261">IF((E179+G179)/C179&gt;=100%,100%,(E179+G179)/C179)</f>
        <v>1</v>
      </c>
      <c r="I179" s="642">
        <f t="shared" ref="I179" si="262">IF(F179/D179&gt;=100%,100%,F179/D179)</f>
        <v>1</v>
      </c>
      <c r="J179" s="195"/>
      <c r="K179" s="195"/>
      <c r="L179" s="101"/>
      <c r="M179" s="104"/>
      <c r="N179" s="146"/>
      <c r="O179" s="195"/>
      <c r="P179" s="195"/>
      <c r="Q179" s="195"/>
      <c r="R179" s="150"/>
      <c r="S179" s="195"/>
      <c r="T179" s="241">
        <v>3</v>
      </c>
      <c r="U179" s="242">
        <f t="shared" ref="U179" si="263">SUM(E179:F179)</f>
        <v>1</v>
      </c>
      <c r="V179" s="186">
        <f t="shared" ref="V179" si="264">IF(U179/T179&gt;=100%,100%,U179/T179)</f>
        <v>0.33333333333333331</v>
      </c>
      <c r="W179" s="494">
        <v>0.7</v>
      </c>
      <c r="X179" s="494">
        <v>0.7</v>
      </c>
      <c r="Y179" s="542">
        <v>300000000</v>
      </c>
      <c r="Z179" s="375" t="s">
        <v>887</v>
      </c>
      <c r="AA179" s="174">
        <v>299984495</v>
      </c>
      <c r="AB179" s="273">
        <f t="shared" si="172"/>
        <v>0.99994831666666661</v>
      </c>
      <c r="AC179" s="269">
        <v>55530944</v>
      </c>
      <c r="AD179" s="189">
        <f t="shared" si="178"/>
        <v>0.18510314666666666</v>
      </c>
      <c r="AE179" s="156">
        <f>+AA179-AC179</f>
        <v>244453551</v>
      </c>
      <c r="AF179" s="174">
        <v>355209834</v>
      </c>
      <c r="AG179" s="174">
        <v>354555261</v>
      </c>
      <c r="AH179" s="614">
        <f t="shared" si="179"/>
        <v>0.99815722162692155</v>
      </c>
      <c r="AI179" s="250">
        <v>1120000000</v>
      </c>
      <c r="AJ179" s="250">
        <f t="shared" ref="AJ179:AJ189" si="265">+SUM(Z179:AA179)</f>
        <v>299984495</v>
      </c>
      <c r="AK179" s="911">
        <f t="shared" si="180"/>
        <v>0.26784329910714288</v>
      </c>
      <c r="AL179" s="173"/>
      <c r="AM179" s="157"/>
      <c r="AN179" s="152" t="s">
        <v>22</v>
      </c>
      <c r="AO179" s="588" t="s">
        <v>890</v>
      </c>
      <c r="AP179" s="558"/>
      <c r="AQ179" s="93"/>
    </row>
    <row r="180" spans="1:43" ht="36" customHeight="1">
      <c r="A180" s="347" t="s">
        <v>623</v>
      </c>
      <c r="B180" s="299" t="s">
        <v>802</v>
      </c>
      <c r="C180" s="402">
        <v>1</v>
      </c>
      <c r="D180" s="402">
        <v>1</v>
      </c>
      <c r="E180" s="182">
        <v>1</v>
      </c>
      <c r="F180" s="182">
        <v>0.86</v>
      </c>
      <c r="G180" s="147"/>
      <c r="H180" s="180">
        <f t="shared" ref="H180:H182" si="266">IF((E180+G180)/C180&gt;=100%,100%,(E180+G180)/C180)</f>
        <v>1</v>
      </c>
      <c r="I180" s="642">
        <f t="shared" ref="I180:I182" si="267">IF(F180/D180&gt;=100%,100%,F180/D180)</f>
        <v>0.86</v>
      </c>
      <c r="J180" s="195"/>
      <c r="K180" s="195"/>
      <c r="L180" s="101"/>
      <c r="M180" s="104"/>
      <c r="N180" s="146"/>
      <c r="O180" s="195"/>
      <c r="P180" s="195"/>
      <c r="Q180" s="195"/>
      <c r="R180" s="150"/>
      <c r="S180" s="195"/>
      <c r="T180" s="208">
        <v>1</v>
      </c>
      <c r="U180" s="242">
        <f t="shared" ref="U180:U182" si="268">SUM(E180:F180)</f>
        <v>1.8599999999999999</v>
      </c>
      <c r="V180" s="186">
        <f t="shared" ref="V180:V182" si="269">IF(U180/T180&gt;=100%,100%,U180/T180)</f>
        <v>1</v>
      </c>
      <c r="W180" s="495">
        <v>0.15</v>
      </c>
      <c r="X180" s="495">
        <v>0.2</v>
      </c>
      <c r="Y180" s="538">
        <v>40000000</v>
      </c>
      <c r="Z180" s="371">
        <v>0</v>
      </c>
      <c r="AA180" s="174">
        <v>39979542</v>
      </c>
      <c r="AB180" s="273">
        <f t="shared" si="172"/>
        <v>0.99948855000000003</v>
      </c>
      <c r="AC180" s="269">
        <v>38483885</v>
      </c>
      <c r="AD180" s="637">
        <f t="shared" si="178"/>
        <v>0.962097125</v>
      </c>
      <c r="AE180" s="156">
        <f>+AA180-AC180</f>
        <v>1495657</v>
      </c>
      <c r="AF180" s="174">
        <v>1387411</v>
      </c>
      <c r="AG180" s="174">
        <v>1331802</v>
      </c>
      <c r="AH180" s="614">
        <f t="shared" si="179"/>
        <v>0.95991887047169155</v>
      </c>
      <c r="AI180" s="250">
        <v>140000000</v>
      </c>
      <c r="AJ180" s="250">
        <f t="shared" si="265"/>
        <v>39979542</v>
      </c>
      <c r="AK180" s="911">
        <f t="shared" si="180"/>
        <v>0.28556815714285716</v>
      </c>
      <c r="AL180" s="173"/>
      <c r="AM180" s="157"/>
      <c r="AN180" s="152" t="s">
        <v>302</v>
      </c>
      <c r="AO180" s="588" t="s">
        <v>890</v>
      </c>
      <c r="AP180" s="558"/>
      <c r="AQ180" s="93"/>
    </row>
    <row r="181" spans="1:43" ht="36" customHeight="1">
      <c r="A181" s="351" t="s">
        <v>624</v>
      </c>
      <c r="B181" s="448" t="s">
        <v>803</v>
      </c>
      <c r="C181" s="401">
        <v>2</v>
      </c>
      <c r="D181" s="401">
        <v>0</v>
      </c>
      <c r="E181" s="147">
        <v>0</v>
      </c>
      <c r="F181" s="147">
        <v>0</v>
      </c>
      <c r="G181" s="147">
        <v>1</v>
      </c>
      <c r="H181" s="180">
        <f t="shared" si="266"/>
        <v>0.5</v>
      </c>
      <c r="I181" s="642">
        <v>0</v>
      </c>
      <c r="J181" s="195"/>
      <c r="K181" s="195"/>
      <c r="L181" s="101"/>
      <c r="M181" s="104"/>
      <c r="N181" s="146"/>
      <c r="O181" s="195"/>
      <c r="P181" s="195"/>
      <c r="Q181" s="195"/>
      <c r="R181" s="150"/>
      <c r="S181" s="195"/>
      <c r="T181" s="241">
        <v>2</v>
      </c>
      <c r="U181" s="242">
        <f t="shared" si="268"/>
        <v>0</v>
      </c>
      <c r="V181" s="186">
        <f t="shared" si="269"/>
        <v>0</v>
      </c>
      <c r="W181" s="496">
        <v>0.08</v>
      </c>
      <c r="X181" s="496">
        <v>0</v>
      </c>
      <c r="Y181" s="631">
        <v>0</v>
      </c>
      <c r="Z181" s="691" t="s">
        <v>887</v>
      </c>
      <c r="AA181" s="174">
        <v>0</v>
      </c>
      <c r="AB181" s="273" t="e">
        <f t="shared" si="172"/>
        <v>#DIV/0!</v>
      </c>
      <c r="AC181" s="269">
        <v>0</v>
      </c>
      <c r="AD181" s="189" t="e">
        <f t="shared" si="178"/>
        <v>#DIV/0!</v>
      </c>
      <c r="AE181" s="156">
        <f>+AA181-AC181</f>
        <v>0</v>
      </c>
      <c r="AF181" s="174"/>
      <c r="AG181" s="174"/>
      <c r="AH181" s="614" t="e">
        <f t="shared" si="179"/>
        <v>#DIV/0!</v>
      </c>
      <c r="AI181" s="250">
        <v>85000000</v>
      </c>
      <c r="AJ181" s="250">
        <f t="shared" si="265"/>
        <v>0</v>
      </c>
      <c r="AK181" s="911">
        <f t="shared" si="180"/>
        <v>0</v>
      </c>
      <c r="AL181" s="173"/>
      <c r="AM181" s="157"/>
      <c r="AN181" s="152" t="s">
        <v>302</v>
      </c>
      <c r="AO181" s="2246" t="s">
        <v>890</v>
      </c>
      <c r="AP181" s="558"/>
      <c r="AQ181" s="93"/>
    </row>
    <row r="182" spans="1:43" ht="36" customHeight="1" thickBot="1">
      <c r="A182" s="351" t="s">
        <v>625</v>
      </c>
      <c r="B182" s="453" t="s">
        <v>804</v>
      </c>
      <c r="C182" s="847">
        <v>2</v>
      </c>
      <c r="D182" s="401">
        <v>4</v>
      </c>
      <c r="E182" s="860">
        <v>0</v>
      </c>
      <c r="F182" s="147">
        <v>3</v>
      </c>
      <c r="G182" s="147">
        <v>2</v>
      </c>
      <c r="H182" s="180">
        <f t="shared" si="266"/>
        <v>1</v>
      </c>
      <c r="I182" s="642">
        <f t="shared" si="267"/>
        <v>0.75</v>
      </c>
      <c r="J182" s="195"/>
      <c r="K182" s="195"/>
      <c r="L182" s="101"/>
      <c r="M182" s="104"/>
      <c r="N182" s="146"/>
      <c r="O182" s="195"/>
      <c r="P182" s="195"/>
      <c r="Q182" s="195"/>
      <c r="R182" s="150"/>
      <c r="S182" s="195"/>
      <c r="T182" s="241">
        <v>4</v>
      </c>
      <c r="U182" s="242">
        <f t="shared" si="268"/>
        <v>3</v>
      </c>
      <c r="V182" s="186">
        <f t="shared" si="269"/>
        <v>0.75</v>
      </c>
      <c r="W182" s="495">
        <v>7.0000000000000007E-2</v>
      </c>
      <c r="X182" s="496">
        <v>0.1</v>
      </c>
      <c r="Y182" s="632">
        <v>69747465</v>
      </c>
      <c r="Z182" s="691" t="s">
        <v>887</v>
      </c>
      <c r="AA182" s="174">
        <v>67032391</v>
      </c>
      <c r="AB182" s="273">
        <f t="shared" si="172"/>
        <v>0.96107279311154892</v>
      </c>
      <c r="AC182" s="269">
        <v>65930327</v>
      </c>
      <c r="AD182" s="189">
        <f t="shared" si="178"/>
        <v>0.94527201812997796</v>
      </c>
      <c r="AE182" s="156">
        <f>+AA182-AC182</f>
        <v>1102064</v>
      </c>
      <c r="AF182" s="174">
        <v>3737132</v>
      </c>
      <c r="AG182" s="174">
        <v>3555640</v>
      </c>
      <c r="AH182" s="614">
        <f t="shared" si="179"/>
        <v>0.95143548582174775</v>
      </c>
      <c r="AI182" s="250">
        <v>100000000</v>
      </c>
      <c r="AJ182" s="250">
        <f t="shared" si="265"/>
        <v>67032391</v>
      </c>
      <c r="AK182" s="911">
        <f t="shared" si="180"/>
        <v>0.67032391000000002</v>
      </c>
      <c r="AL182" s="173"/>
      <c r="AM182" s="157"/>
      <c r="AN182" s="152" t="s">
        <v>302</v>
      </c>
      <c r="AO182" s="2205"/>
      <c r="AP182" s="558"/>
      <c r="AQ182" s="93"/>
    </row>
    <row r="183" spans="1:43" ht="54" customHeight="1" thickBot="1">
      <c r="A183" s="315" t="s">
        <v>484</v>
      </c>
      <c r="B183" s="138"/>
      <c r="C183" s="826"/>
      <c r="D183" s="223"/>
      <c r="E183" s="861"/>
      <c r="F183" s="139"/>
      <c r="G183" s="139"/>
      <c r="H183" s="161">
        <f>+SUMPRODUCT(H184:H189,W184:W189)</f>
        <v>0.69565217391304346</v>
      </c>
      <c r="I183" s="161">
        <f>+SUMPRODUCT(I184:I189,X184:X189)</f>
        <v>1</v>
      </c>
      <c r="J183" s="194"/>
      <c r="K183" s="194"/>
      <c r="L183" s="141"/>
      <c r="M183" s="142"/>
      <c r="N183" s="142"/>
      <c r="O183" s="194"/>
      <c r="P183" s="194"/>
      <c r="Q183" s="194"/>
      <c r="R183" s="163"/>
      <c r="S183" s="194"/>
      <c r="T183" s="240"/>
      <c r="U183" s="258"/>
      <c r="V183" s="177">
        <f>+SUMPRODUCT(V184:V189,W184:W189)</f>
        <v>0.45000000000000007</v>
      </c>
      <c r="W183" s="879">
        <v>0.3</v>
      </c>
      <c r="X183" s="471">
        <v>0.3</v>
      </c>
      <c r="Y183" s="144">
        <f>SUM(Y184:Y189)</f>
        <v>507100000</v>
      </c>
      <c r="Z183" s="144">
        <f>SUM(Z184:Z189)</f>
        <v>0</v>
      </c>
      <c r="AA183" s="144">
        <f>SUM(AA184:AA189)</f>
        <v>503140707</v>
      </c>
      <c r="AB183" s="272">
        <f t="shared" si="172"/>
        <v>0.99219228357325973</v>
      </c>
      <c r="AC183" s="144">
        <f>SUM(AC184:AC189)</f>
        <v>414078182</v>
      </c>
      <c r="AD183" s="636">
        <f t="shared" si="178"/>
        <v>0.81656119503056601</v>
      </c>
      <c r="AE183" s="144">
        <f>SUM(AE184:AE189)</f>
        <v>89062525</v>
      </c>
      <c r="AF183" s="144">
        <f>SUM(AF184:AF189)</f>
        <v>377578722</v>
      </c>
      <c r="AG183" s="144">
        <f>SUM(AG184:AG189)</f>
        <v>376012435</v>
      </c>
      <c r="AH183" s="613">
        <f t="shared" si="179"/>
        <v>0.99585176041779178</v>
      </c>
      <c r="AI183" s="144">
        <f t="shared" ref="AI183:AJ183" si="270">SUM(AI184:AI189)</f>
        <v>2260000000</v>
      </c>
      <c r="AJ183" s="144">
        <f t="shared" si="270"/>
        <v>503140707</v>
      </c>
      <c r="AK183" s="910">
        <f t="shared" si="180"/>
        <v>0.2226286314159292</v>
      </c>
      <c r="AL183" s="179"/>
      <c r="AM183" s="165"/>
      <c r="AN183" s="553"/>
      <c r="AO183" s="144"/>
      <c r="AP183" s="557"/>
      <c r="AQ183" s="98"/>
    </row>
    <row r="184" spans="1:43" ht="36" customHeight="1">
      <c r="A184" s="350" t="s">
        <v>626</v>
      </c>
      <c r="B184" s="454" t="s">
        <v>776</v>
      </c>
      <c r="C184" s="403">
        <v>2</v>
      </c>
      <c r="D184" s="403">
        <v>0</v>
      </c>
      <c r="E184" s="858">
        <v>0</v>
      </c>
      <c r="F184" s="147">
        <v>0</v>
      </c>
      <c r="G184" s="147"/>
      <c r="H184" s="180">
        <f t="shared" ref="H184:H189" si="271">IF((E184+G184)/C184&gt;=100%,100%,(E184+G184)/C184)</f>
        <v>0</v>
      </c>
      <c r="I184" s="642">
        <v>0</v>
      </c>
      <c r="J184" s="195"/>
      <c r="K184" s="195"/>
      <c r="L184" s="101"/>
      <c r="M184" s="104"/>
      <c r="N184" s="146"/>
      <c r="O184" s="195"/>
      <c r="P184" s="195"/>
      <c r="Q184" s="195"/>
      <c r="R184" s="150"/>
      <c r="S184" s="195"/>
      <c r="T184" s="241">
        <v>4</v>
      </c>
      <c r="U184" s="242">
        <f t="shared" ref="U184" si="272">SUM(E184:F184)</f>
        <v>0</v>
      </c>
      <c r="V184" s="186">
        <f t="shared" ref="V184" si="273">IF(U184/T184&gt;=100%,100%,U184/T184)</f>
        <v>0</v>
      </c>
      <c r="W184" s="497">
        <v>0.3</v>
      </c>
      <c r="X184" s="497">
        <v>0</v>
      </c>
      <c r="Y184" s="539">
        <v>0</v>
      </c>
      <c r="Z184" s="375" t="s">
        <v>887</v>
      </c>
      <c r="AA184" s="174">
        <v>0</v>
      </c>
      <c r="AB184" s="273" t="e">
        <f t="shared" si="172"/>
        <v>#DIV/0!</v>
      </c>
      <c r="AC184" s="269">
        <v>0</v>
      </c>
      <c r="AD184" s="637" t="e">
        <f t="shared" si="178"/>
        <v>#DIV/0!</v>
      </c>
      <c r="AE184" s="156">
        <f t="shared" ref="AE184:AE189" si="274">+AA184-AC184</f>
        <v>0</v>
      </c>
      <c r="AF184" s="174">
        <v>13509604</v>
      </c>
      <c r="AG184" s="174">
        <v>12862284</v>
      </c>
      <c r="AH184" s="614">
        <f t="shared" si="179"/>
        <v>0.95208445784199147</v>
      </c>
      <c r="AI184" s="250">
        <v>800000000</v>
      </c>
      <c r="AJ184" s="250">
        <f t="shared" si="265"/>
        <v>0</v>
      </c>
      <c r="AK184" s="911">
        <f t="shared" si="180"/>
        <v>0</v>
      </c>
      <c r="AL184" s="173"/>
      <c r="AM184" s="157"/>
      <c r="AN184" s="152" t="s">
        <v>302</v>
      </c>
      <c r="AO184" s="592" t="s">
        <v>918</v>
      </c>
      <c r="AP184" s="558"/>
      <c r="AQ184" s="93"/>
    </row>
    <row r="185" spans="1:43" ht="36" customHeight="1">
      <c r="A185" s="350" t="s">
        <v>627</v>
      </c>
      <c r="B185" s="454" t="s">
        <v>879</v>
      </c>
      <c r="C185" s="403">
        <v>23</v>
      </c>
      <c r="D185" s="403">
        <v>22</v>
      </c>
      <c r="E185" s="147">
        <v>22</v>
      </c>
      <c r="F185" s="147">
        <v>22</v>
      </c>
      <c r="G185" s="147"/>
      <c r="H185" s="180">
        <f t="shared" si="271"/>
        <v>0.95652173913043481</v>
      </c>
      <c r="I185" s="642">
        <f t="shared" ref="I185:I189" si="275">IF(F185/D185&gt;=100%,100%,F185/D185)</f>
        <v>1</v>
      </c>
      <c r="J185" s="195"/>
      <c r="K185" s="195"/>
      <c r="L185" s="101"/>
      <c r="M185" s="104"/>
      <c r="N185" s="146"/>
      <c r="O185" s="195"/>
      <c r="P185" s="195"/>
      <c r="Q185" s="195"/>
      <c r="R185" s="150"/>
      <c r="S185" s="195"/>
      <c r="T185" s="241">
        <v>23</v>
      </c>
      <c r="U185" s="242">
        <f t="shared" ref="U185:U189" si="276">SUM(E185:F185)</f>
        <v>44</v>
      </c>
      <c r="V185" s="186">
        <f t="shared" ref="V185:V189" si="277">IF(U185/T185&gt;=100%,100%,U185/T185)</f>
        <v>1</v>
      </c>
      <c r="W185" s="498">
        <v>0.1</v>
      </c>
      <c r="X185" s="498">
        <v>0.2</v>
      </c>
      <c r="Y185" s="605">
        <v>60800000</v>
      </c>
      <c r="Z185" s="372">
        <v>0</v>
      </c>
      <c r="AA185" s="174">
        <v>60592560</v>
      </c>
      <c r="AB185" s="273">
        <f t="shared" si="172"/>
        <v>0.99658815789473687</v>
      </c>
      <c r="AC185" s="269">
        <v>57729805</v>
      </c>
      <c r="AD185" s="637">
        <f t="shared" si="178"/>
        <v>0.94950337171052634</v>
      </c>
      <c r="AE185" s="156">
        <f t="shared" si="274"/>
        <v>2862755</v>
      </c>
      <c r="AF185" s="174">
        <v>1744687</v>
      </c>
      <c r="AG185" s="174">
        <v>1675176</v>
      </c>
      <c r="AH185" s="614">
        <f t="shared" si="179"/>
        <v>0.96015846968539342</v>
      </c>
      <c r="AI185" s="250">
        <v>560000000</v>
      </c>
      <c r="AJ185" s="250">
        <f t="shared" si="265"/>
        <v>60592560</v>
      </c>
      <c r="AK185" s="911">
        <f t="shared" si="180"/>
        <v>0.10820100000000001</v>
      </c>
      <c r="AL185" s="173"/>
      <c r="AM185" s="157"/>
      <c r="AN185" s="152" t="s">
        <v>20</v>
      </c>
      <c r="AO185" s="592" t="s">
        <v>919</v>
      </c>
      <c r="AP185" s="558"/>
      <c r="AQ185" s="93"/>
    </row>
    <row r="186" spans="1:43" ht="36" customHeight="1">
      <c r="A186" s="350" t="s">
        <v>628</v>
      </c>
      <c r="B186" s="454" t="s">
        <v>805</v>
      </c>
      <c r="C186" s="404">
        <v>1</v>
      </c>
      <c r="D186" s="404">
        <v>1</v>
      </c>
      <c r="E186" s="182">
        <v>1</v>
      </c>
      <c r="F186" s="182">
        <v>1</v>
      </c>
      <c r="G186" s="147"/>
      <c r="H186" s="180">
        <f t="shared" si="271"/>
        <v>1</v>
      </c>
      <c r="I186" s="642">
        <f t="shared" si="275"/>
        <v>1</v>
      </c>
      <c r="J186" s="195"/>
      <c r="K186" s="195"/>
      <c r="L186" s="101"/>
      <c r="M186" s="104"/>
      <c r="N186" s="146"/>
      <c r="O186" s="195"/>
      <c r="P186" s="195"/>
      <c r="Q186" s="195"/>
      <c r="R186" s="150"/>
      <c r="S186" s="195"/>
      <c r="T186" s="208">
        <v>1</v>
      </c>
      <c r="U186" s="242">
        <f t="shared" si="276"/>
        <v>2</v>
      </c>
      <c r="V186" s="186">
        <f t="shared" si="277"/>
        <v>1</v>
      </c>
      <c r="W186" s="499">
        <v>0.1</v>
      </c>
      <c r="X186" s="499">
        <v>0.2</v>
      </c>
      <c r="Y186" s="605">
        <v>56300000</v>
      </c>
      <c r="Z186" s="372">
        <v>0</v>
      </c>
      <c r="AA186" s="174">
        <v>53149498</v>
      </c>
      <c r="AB186" s="273">
        <f t="shared" si="172"/>
        <v>0.94404081705150977</v>
      </c>
      <c r="AC186" s="269">
        <v>50628865</v>
      </c>
      <c r="AD186" s="637">
        <f t="shared" si="178"/>
        <v>0.89926936056838369</v>
      </c>
      <c r="AE186" s="156">
        <f t="shared" si="274"/>
        <v>2520633</v>
      </c>
      <c r="AF186" s="174">
        <v>1744687</v>
      </c>
      <c r="AG186" s="174">
        <v>1675176</v>
      </c>
      <c r="AH186" s="614">
        <f t="shared" si="179"/>
        <v>0.96015846968539342</v>
      </c>
      <c r="AI186" s="250">
        <v>0</v>
      </c>
      <c r="AJ186" s="250">
        <f t="shared" si="265"/>
        <v>53149498</v>
      </c>
      <c r="AK186" s="911" t="e">
        <f t="shared" si="180"/>
        <v>#DIV/0!</v>
      </c>
      <c r="AL186" s="173"/>
      <c r="AM186" s="157"/>
      <c r="AN186" s="152" t="s">
        <v>302</v>
      </c>
      <c r="AO186" s="592" t="s">
        <v>909</v>
      </c>
      <c r="AP186" s="558"/>
      <c r="AQ186" s="93"/>
    </row>
    <row r="187" spans="1:43" ht="36" customHeight="1">
      <c r="A187" s="350" t="s">
        <v>629</v>
      </c>
      <c r="B187" s="455" t="s">
        <v>880</v>
      </c>
      <c r="C187" s="404">
        <v>1</v>
      </c>
      <c r="D187" s="404">
        <v>1</v>
      </c>
      <c r="E187" s="182">
        <v>1</v>
      </c>
      <c r="F187" s="681">
        <v>1</v>
      </c>
      <c r="G187" s="147"/>
      <c r="H187" s="180">
        <f t="shared" si="271"/>
        <v>1</v>
      </c>
      <c r="I187" s="642">
        <f t="shared" si="275"/>
        <v>1</v>
      </c>
      <c r="J187" s="195"/>
      <c r="K187" s="195"/>
      <c r="L187" s="101"/>
      <c r="M187" s="104"/>
      <c r="N187" s="146"/>
      <c r="O187" s="195"/>
      <c r="P187" s="195"/>
      <c r="Q187" s="195"/>
      <c r="R187" s="150"/>
      <c r="S187" s="195"/>
      <c r="T187" s="208">
        <v>1</v>
      </c>
      <c r="U187" s="242">
        <f t="shared" si="276"/>
        <v>2</v>
      </c>
      <c r="V187" s="186">
        <f t="shared" si="277"/>
        <v>1</v>
      </c>
      <c r="W187" s="500">
        <v>0.1</v>
      </c>
      <c r="X187" s="500">
        <v>0.2</v>
      </c>
      <c r="Y187" s="605">
        <v>40000000</v>
      </c>
      <c r="Z187" s="372">
        <v>0</v>
      </c>
      <c r="AA187" s="174">
        <v>39979542</v>
      </c>
      <c r="AB187" s="273">
        <f t="shared" si="172"/>
        <v>0.99948855000000003</v>
      </c>
      <c r="AC187" s="269">
        <v>38483885</v>
      </c>
      <c r="AD187" s="637">
        <f t="shared" si="178"/>
        <v>0.962097125</v>
      </c>
      <c r="AE187" s="156">
        <f t="shared" si="274"/>
        <v>1495657</v>
      </c>
      <c r="AF187" s="174">
        <v>1523231</v>
      </c>
      <c r="AG187" s="174">
        <v>1472867</v>
      </c>
      <c r="AH187" s="614">
        <f t="shared" si="179"/>
        <v>0.96693607207311305</v>
      </c>
      <c r="AI187" s="250">
        <v>0</v>
      </c>
      <c r="AJ187" s="250">
        <f t="shared" si="265"/>
        <v>39979542</v>
      </c>
      <c r="AK187" s="911" t="e">
        <f t="shared" si="180"/>
        <v>#DIV/0!</v>
      </c>
      <c r="AL187" s="173"/>
      <c r="AM187" s="157"/>
      <c r="AN187" s="152" t="s">
        <v>29</v>
      </c>
      <c r="AO187" s="592" t="s">
        <v>901</v>
      </c>
      <c r="AP187" s="558"/>
      <c r="AQ187" s="93"/>
    </row>
    <row r="188" spans="1:43" ht="36" customHeight="1">
      <c r="A188" s="350" t="s">
        <v>630</v>
      </c>
      <c r="B188" s="454" t="s">
        <v>806</v>
      </c>
      <c r="C188" s="403">
        <v>1</v>
      </c>
      <c r="D188" s="403">
        <v>0</v>
      </c>
      <c r="E188" s="147">
        <v>0</v>
      </c>
      <c r="F188" s="147">
        <v>0</v>
      </c>
      <c r="G188" s="147">
        <v>1</v>
      </c>
      <c r="H188" s="180">
        <f t="shared" si="271"/>
        <v>1</v>
      </c>
      <c r="I188" s="642">
        <v>0</v>
      </c>
      <c r="J188" s="195"/>
      <c r="K188" s="195"/>
      <c r="L188" s="101"/>
      <c r="M188" s="104"/>
      <c r="N188" s="146"/>
      <c r="O188" s="195"/>
      <c r="P188" s="195"/>
      <c r="Q188" s="195"/>
      <c r="R188" s="150"/>
      <c r="S188" s="195"/>
      <c r="T188" s="241">
        <v>1</v>
      </c>
      <c r="U188" s="242">
        <f t="shared" si="276"/>
        <v>0</v>
      </c>
      <c r="V188" s="186">
        <f t="shared" si="277"/>
        <v>0</v>
      </c>
      <c r="W188" s="500">
        <v>0.1</v>
      </c>
      <c r="X188" s="500">
        <v>0</v>
      </c>
      <c r="Y188" s="539">
        <v>0</v>
      </c>
      <c r="Z188" s="372" t="s">
        <v>887</v>
      </c>
      <c r="AA188" s="174">
        <v>0</v>
      </c>
      <c r="AB188" s="273" t="e">
        <f t="shared" si="172"/>
        <v>#DIV/0!</v>
      </c>
      <c r="AC188" s="269">
        <v>0</v>
      </c>
      <c r="AD188" s="637" t="e">
        <f t="shared" si="178"/>
        <v>#DIV/0!</v>
      </c>
      <c r="AE188" s="156">
        <f t="shared" si="274"/>
        <v>0</v>
      </c>
      <c r="AF188" s="174">
        <v>46864370</v>
      </c>
      <c r="AG188" s="174">
        <v>46676104</v>
      </c>
      <c r="AH188" s="614">
        <f t="shared" si="179"/>
        <v>0.99598274766096295</v>
      </c>
      <c r="AI188" s="250">
        <v>100000000</v>
      </c>
      <c r="AJ188" s="250">
        <f t="shared" si="265"/>
        <v>0</v>
      </c>
      <c r="AK188" s="914">
        <f t="shared" si="180"/>
        <v>0</v>
      </c>
      <c r="AL188" s="173"/>
      <c r="AM188" s="157"/>
      <c r="AN188" s="152" t="s">
        <v>302</v>
      </c>
      <c r="AO188" s="592" t="s">
        <v>919</v>
      </c>
      <c r="AP188" s="558"/>
      <c r="AQ188" s="93"/>
    </row>
    <row r="189" spans="1:43" ht="36" customHeight="1">
      <c r="A189" s="350" t="s">
        <v>631</v>
      </c>
      <c r="B189" s="454" t="s">
        <v>807</v>
      </c>
      <c r="C189" s="403">
        <v>2</v>
      </c>
      <c r="D189" s="403">
        <v>2</v>
      </c>
      <c r="E189" s="147">
        <v>0</v>
      </c>
      <c r="F189" s="147">
        <v>2</v>
      </c>
      <c r="G189" s="147">
        <v>2</v>
      </c>
      <c r="H189" s="180">
        <f t="shared" si="271"/>
        <v>1</v>
      </c>
      <c r="I189" s="642">
        <f t="shared" si="275"/>
        <v>1</v>
      </c>
      <c r="J189" s="195"/>
      <c r="K189" s="195"/>
      <c r="L189" s="101"/>
      <c r="M189" s="104"/>
      <c r="N189" s="146"/>
      <c r="O189" s="195"/>
      <c r="P189" s="195"/>
      <c r="Q189" s="195"/>
      <c r="R189" s="150"/>
      <c r="S189" s="195"/>
      <c r="T189" s="241">
        <v>4</v>
      </c>
      <c r="U189" s="242">
        <f t="shared" si="276"/>
        <v>2</v>
      </c>
      <c r="V189" s="186">
        <f t="shared" si="277"/>
        <v>0.5</v>
      </c>
      <c r="W189" s="500">
        <v>0.3</v>
      </c>
      <c r="X189" s="500">
        <v>0.4</v>
      </c>
      <c r="Y189" s="539">
        <v>350000000</v>
      </c>
      <c r="Z189" s="372" t="s">
        <v>887</v>
      </c>
      <c r="AA189" s="174">
        <v>349419107</v>
      </c>
      <c r="AB189" s="273">
        <f t="shared" si="172"/>
        <v>0.99834030571428567</v>
      </c>
      <c r="AC189" s="269">
        <v>267235627</v>
      </c>
      <c r="AD189" s="189">
        <f t="shared" si="178"/>
        <v>0.76353036285714282</v>
      </c>
      <c r="AE189" s="156">
        <f t="shared" si="274"/>
        <v>82183480</v>
      </c>
      <c r="AF189" s="174">
        <v>312192143</v>
      </c>
      <c r="AG189" s="174">
        <v>311650828</v>
      </c>
      <c r="AH189" s="614">
        <f t="shared" si="179"/>
        <v>0.99826608384567839</v>
      </c>
      <c r="AI189" s="250">
        <v>800000000</v>
      </c>
      <c r="AJ189" s="250">
        <f t="shared" si="265"/>
        <v>349419107</v>
      </c>
      <c r="AK189" s="911">
        <f t="shared" si="180"/>
        <v>0.43677388374999998</v>
      </c>
      <c r="AL189" s="173"/>
      <c r="AM189" s="157"/>
      <c r="AN189" s="152" t="s">
        <v>302</v>
      </c>
      <c r="AO189" s="592" t="s">
        <v>919</v>
      </c>
      <c r="AP189" s="558"/>
      <c r="AQ189" s="93"/>
    </row>
    <row r="190" spans="1:43" ht="42.75" customHeight="1" thickBot="1">
      <c r="A190" s="314" t="s">
        <v>434</v>
      </c>
      <c r="B190" s="413"/>
      <c r="C190" s="844"/>
      <c r="D190" s="222"/>
      <c r="E190" s="871"/>
      <c r="F190" s="129"/>
      <c r="G190" s="129"/>
      <c r="H190" s="130">
        <f>+(H191*W191)+(H200*W200)</f>
        <v>0.74998719999999996</v>
      </c>
      <c r="I190" s="130">
        <f>+(I191*X191)+(I200*X200)</f>
        <v>0.68399999999999928</v>
      </c>
      <c r="J190" s="193"/>
      <c r="K190" s="193"/>
      <c r="L190" s="132"/>
      <c r="M190" s="133"/>
      <c r="N190" s="133"/>
      <c r="O190" s="193"/>
      <c r="P190" s="193"/>
      <c r="Q190" s="193"/>
      <c r="R190" s="159"/>
      <c r="S190" s="193"/>
      <c r="T190" s="239"/>
      <c r="U190" s="257"/>
      <c r="V190" s="465">
        <f>+(V191*W191)+(V200*W200)</f>
        <v>0.88939000000000012</v>
      </c>
      <c r="W190" s="897">
        <v>0.28999999999999998</v>
      </c>
      <c r="X190" s="470">
        <v>0.25</v>
      </c>
      <c r="Y190" s="135">
        <f>+Y191+Y200</f>
        <v>1760000000</v>
      </c>
      <c r="Z190" s="135">
        <f>+Z191+Z200</f>
        <v>0</v>
      </c>
      <c r="AA190" s="135">
        <f>+AA191+AA200</f>
        <v>1754989156</v>
      </c>
      <c r="AB190" s="271">
        <f t="shared" si="172"/>
        <v>0.99715292954545454</v>
      </c>
      <c r="AC190" s="135">
        <f>+AC191+AC200</f>
        <v>1716641085</v>
      </c>
      <c r="AD190" s="634">
        <f t="shared" si="178"/>
        <v>0.97536425284090911</v>
      </c>
      <c r="AE190" s="135">
        <f>+AE191+AE200</f>
        <v>33283429</v>
      </c>
      <c r="AF190" s="135">
        <f>+AF191+AF200</f>
        <v>246129289</v>
      </c>
      <c r="AG190" s="135">
        <f>+AG191+AG200</f>
        <v>207989706</v>
      </c>
      <c r="AH190" s="612">
        <f t="shared" si="179"/>
        <v>0.84504248496813394</v>
      </c>
      <c r="AI190" s="135">
        <f t="shared" ref="AI190:AJ190" si="278">+AI191+AI200</f>
        <v>7110000000</v>
      </c>
      <c r="AJ190" s="135">
        <f t="shared" si="278"/>
        <v>1754989156</v>
      </c>
      <c r="AK190" s="915">
        <f t="shared" si="180"/>
        <v>0.24683391786216596</v>
      </c>
      <c r="AL190" s="172"/>
      <c r="AM190" s="160" t="s">
        <v>293</v>
      </c>
      <c r="AN190" s="136"/>
      <c r="AO190" s="135"/>
      <c r="AP190" s="556"/>
      <c r="AQ190" s="97"/>
    </row>
    <row r="191" spans="1:43" ht="54" customHeight="1" thickBot="1">
      <c r="A191" s="315" t="s">
        <v>485</v>
      </c>
      <c r="B191" s="138"/>
      <c r="C191" s="826"/>
      <c r="D191" s="223"/>
      <c r="E191" s="861"/>
      <c r="F191" s="139"/>
      <c r="G191" s="139"/>
      <c r="H191" s="161">
        <f>+SUMPRODUCT(H192:H199,W192:W199)</f>
        <v>0.72220799999999996</v>
      </c>
      <c r="I191" s="161">
        <f>+SUMPRODUCT(I192:I199,X192:X199)</f>
        <v>0.75999999999999923</v>
      </c>
      <c r="J191" s="194"/>
      <c r="K191" s="194"/>
      <c r="L191" s="141"/>
      <c r="M191" s="142"/>
      <c r="N191" s="142"/>
      <c r="O191" s="194"/>
      <c r="P191" s="194"/>
      <c r="Q191" s="194"/>
      <c r="R191" s="163"/>
      <c r="S191" s="194"/>
      <c r="T191" s="240"/>
      <c r="U191" s="258"/>
      <c r="V191" s="177">
        <f>+SUMPRODUCT(V192:V199,W192:W199)</f>
        <v>0.8771000000000001</v>
      </c>
      <c r="W191" s="879">
        <v>0.9</v>
      </c>
      <c r="X191" s="471">
        <v>0.9</v>
      </c>
      <c r="Y191" s="144">
        <f>SUM(Y192:Y199)</f>
        <v>1760000000</v>
      </c>
      <c r="Z191" s="144">
        <f>SUM(Z192:Z199)</f>
        <v>0</v>
      </c>
      <c r="AA191" s="144">
        <f>SUM(AA192:AA199)</f>
        <v>1754989156</v>
      </c>
      <c r="AB191" s="272">
        <f t="shared" si="172"/>
        <v>0.99715292954545454</v>
      </c>
      <c r="AC191" s="144">
        <f>SUM(AC192:AC199)</f>
        <v>1716641085</v>
      </c>
      <c r="AD191" s="636">
        <f t="shared" si="178"/>
        <v>0.97536425284090911</v>
      </c>
      <c r="AE191" s="144">
        <f>SUM(AE192:AE199)</f>
        <v>33283429</v>
      </c>
      <c r="AF191" s="144">
        <f>SUM(AF192:AF199)</f>
        <v>223306445</v>
      </c>
      <c r="AG191" s="144">
        <f>SUM(AG192:AG199)</f>
        <v>191552733</v>
      </c>
      <c r="AH191" s="613">
        <f t="shared" si="179"/>
        <v>0.85780208000713998</v>
      </c>
      <c r="AI191" s="144">
        <f t="shared" ref="AI191:AJ191" si="279">SUM(AI192:AI199)</f>
        <v>6860000000</v>
      </c>
      <c r="AJ191" s="144">
        <f t="shared" si="279"/>
        <v>1754989156</v>
      </c>
      <c r="AK191" s="910">
        <f t="shared" si="180"/>
        <v>0.25582932303206996</v>
      </c>
      <c r="AL191" s="179"/>
      <c r="AM191" s="165"/>
      <c r="AN191" s="553"/>
      <c r="AO191" s="144"/>
      <c r="AP191" s="557"/>
      <c r="AQ191" s="98"/>
    </row>
    <row r="192" spans="1:43" ht="36" customHeight="1">
      <c r="A192" s="346" t="s">
        <v>632</v>
      </c>
      <c r="B192" s="450" t="s">
        <v>808</v>
      </c>
      <c r="C192" s="405">
        <v>1</v>
      </c>
      <c r="D192" s="405">
        <v>1</v>
      </c>
      <c r="E192" s="863">
        <v>0.82</v>
      </c>
      <c r="F192" s="182">
        <v>0.88500000000000001</v>
      </c>
      <c r="G192" s="182"/>
      <c r="H192" s="180">
        <f>IF((E192+G192)/C192&gt;=100%,100%,(E192+G192)/C192)</f>
        <v>0.82</v>
      </c>
      <c r="I192" s="642">
        <f t="shared" ref="I192" si="280">IF(F192/D192&gt;=100%,100%,F192/D192)</f>
        <v>0.88500000000000001</v>
      </c>
      <c r="J192" s="195"/>
      <c r="K192" s="195"/>
      <c r="L192" s="101"/>
      <c r="M192" s="104"/>
      <c r="N192" s="146"/>
      <c r="O192" s="195"/>
      <c r="P192" s="195"/>
      <c r="Q192" s="195"/>
      <c r="R192" s="150"/>
      <c r="S192" s="195"/>
      <c r="T192" s="300">
        <v>1</v>
      </c>
      <c r="U192" s="242">
        <f t="shared" ref="U192" si="281">SUM(E192:F192)</f>
        <v>1.7050000000000001</v>
      </c>
      <c r="V192" s="186">
        <f t="shared" ref="V192" si="282">IF(U192/T192&gt;=100%,100%,U192/T192)</f>
        <v>1</v>
      </c>
      <c r="W192" s="884">
        <v>0.3</v>
      </c>
      <c r="X192" s="472">
        <f>+W192*1.11111111111111</f>
        <v>0.33333333333333298</v>
      </c>
      <c r="Y192" s="606">
        <v>600000000</v>
      </c>
      <c r="Z192" s="373">
        <v>0</v>
      </c>
      <c r="AA192" s="174">
        <v>599128503</v>
      </c>
      <c r="AB192" s="273">
        <f t="shared" si="172"/>
        <v>0.998547505</v>
      </c>
      <c r="AC192" s="269">
        <v>592162763</v>
      </c>
      <c r="AD192" s="637">
        <f t="shared" si="178"/>
        <v>0.98693793833333332</v>
      </c>
      <c r="AE192" s="156">
        <f>+AA192-AC192</f>
        <v>6965740</v>
      </c>
      <c r="AF192" s="174">
        <v>58870804</v>
      </c>
      <c r="AG192" s="174">
        <v>38190552</v>
      </c>
      <c r="AH192" s="614">
        <f t="shared" si="179"/>
        <v>0.64871803007820306</v>
      </c>
      <c r="AI192" s="250">
        <f>4900000000/2</f>
        <v>2450000000</v>
      </c>
      <c r="AJ192" s="250">
        <f t="shared" ref="AJ192:AJ201" si="283">+SUM(Z192:AA192)</f>
        <v>599128503</v>
      </c>
      <c r="AK192" s="914">
        <f t="shared" si="180"/>
        <v>0.24454224612244899</v>
      </c>
      <c r="AL192" s="173"/>
      <c r="AM192" s="157"/>
      <c r="AN192" s="152" t="s">
        <v>25</v>
      </c>
      <c r="AO192" s="590" t="s">
        <v>890</v>
      </c>
      <c r="AP192" s="558"/>
      <c r="AQ192" s="93"/>
    </row>
    <row r="193" spans="1:43" ht="36" customHeight="1">
      <c r="A193" s="346" t="s">
        <v>633</v>
      </c>
      <c r="B193" s="450" t="s">
        <v>809</v>
      </c>
      <c r="C193" s="405">
        <v>1</v>
      </c>
      <c r="D193" s="405">
        <v>1</v>
      </c>
      <c r="E193" s="872">
        <v>0.43</v>
      </c>
      <c r="F193" s="182">
        <v>0.33500000000000002</v>
      </c>
      <c r="G193" s="182"/>
      <c r="H193" s="180">
        <f t="shared" ref="H193:H197" si="284">IF((E193+G193)/C193&gt;=100%,100%,(E193+G193)/C193)</f>
        <v>0.43</v>
      </c>
      <c r="I193" s="642">
        <f t="shared" ref="I193:I199" si="285">IF(F193/D193&gt;=100%,100%,F193/D193)</f>
        <v>0.33500000000000002</v>
      </c>
      <c r="J193" s="195"/>
      <c r="K193" s="195"/>
      <c r="L193" s="101"/>
      <c r="M193" s="104"/>
      <c r="N193" s="146"/>
      <c r="O193" s="195"/>
      <c r="P193" s="195"/>
      <c r="Q193" s="195"/>
      <c r="R193" s="150"/>
      <c r="S193" s="195"/>
      <c r="T193" s="300">
        <v>1</v>
      </c>
      <c r="U193" s="242">
        <f t="shared" ref="U193:U196" si="286">SUM(E193:F193)</f>
        <v>0.76500000000000001</v>
      </c>
      <c r="V193" s="186">
        <f t="shared" ref="V193:V196" si="287">IF(U193/T193&gt;=100%,100%,U193/T193)</f>
        <v>0.76500000000000001</v>
      </c>
      <c r="W193" s="881">
        <v>0.14000000000000001</v>
      </c>
      <c r="X193" s="472">
        <f>+W193*1.11111111111111</f>
        <v>0.15555555555555542</v>
      </c>
      <c r="Y193" s="606">
        <v>600000000</v>
      </c>
      <c r="Z193" s="373">
        <v>0</v>
      </c>
      <c r="AA193" s="174">
        <v>598749760</v>
      </c>
      <c r="AB193" s="273">
        <f t="shared" si="172"/>
        <v>0.99791626666666666</v>
      </c>
      <c r="AC193" s="269">
        <v>582148055</v>
      </c>
      <c r="AD193" s="637">
        <f t="shared" si="178"/>
        <v>0.97024675833333329</v>
      </c>
      <c r="AE193" s="156">
        <f>+AA193-AC193</f>
        <v>16601705</v>
      </c>
      <c r="AF193" s="174">
        <v>69851127</v>
      </c>
      <c r="AG193" s="174">
        <v>69018893</v>
      </c>
      <c r="AH193" s="614">
        <f t="shared" si="179"/>
        <v>0.98808560382998545</v>
      </c>
      <c r="AI193" s="250">
        <f>4900000000/2</f>
        <v>2450000000</v>
      </c>
      <c r="AJ193" s="250">
        <f t="shared" si="283"/>
        <v>598749760</v>
      </c>
      <c r="AK193" s="911">
        <f t="shared" si="180"/>
        <v>0.24438765714285715</v>
      </c>
      <c r="AL193" s="173"/>
      <c r="AM193" s="157"/>
      <c r="AN193" s="152" t="s">
        <v>26</v>
      </c>
      <c r="AO193" s="590" t="s">
        <v>890</v>
      </c>
      <c r="AP193" s="558"/>
      <c r="AQ193" s="93"/>
    </row>
    <row r="194" spans="1:43" ht="36" customHeight="1">
      <c r="A194" s="346" t="s">
        <v>634</v>
      </c>
      <c r="B194" s="456" t="s">
        <v>882</v>
      </c>
      <c r="C194" s="405">
        <v>1</v>
      </c>
      <c r="D194" s="405">
        <v>1</v>
      </c>
      <c r="E194" s="872">
        <v>0.81</v>
      </c>
      <c r="F194" s="681">
        <v>0.83</v>
      </c>
      <c r="G194" s="876"/>
      <c r="H194" s="180">
        <f t="shared" si="284"/>
        <v>0.81</v>
      </c>
      <c r="I194" s="642">
        <f t="shared" si="285"/>
        <v>0.83</v>
      </c>
      <c r="J194" s="195"/>
      <c r="K194" s="195"/>
      <c r="L194" s="101"/>
      <c r="M194" s="104"/>
      <c r="N194" s="146"/>
      <c r="O194" s="195"/>
      <c r="P194" s="195"/>
      <c r="Q194" s="195"/>
      <c r="R194" s="150"/>
      <c r="S194" s="195"/>
      <c r="T194" s="300">
        <v>1</v>
      </c>
      <c r="U194" s="242">
        <f t="shared" si="286"/>
        <v>1.6400000000000001</v>
      </c>
      <c r="V194" s="186">
        <f t="shared" si="287"/>
        <v>1</v>
      </c>
      <c r="W194" s="881">
        <v>0.08</v>
      </c>
      <c r="X194" s="472">
        <f>+W194*1.11111111111111</f>
        <v>8.8888888888888809E-2</v>
      </c>
      <c r="Y194" s="540">
        <v>60000000</v>
      </c>
      <c r="Z194" s="373">
        <v>0</v>
      </c>
      <c r="AA194" s="174">
        <v>59969313</v>
      </c>
      <c r="AB194" s="273">
        <f t="shared" si="172"/>
        <v>0.99948855000000003</v>
      </c>
      <c r="AC194" s="269">
        <v>58380176</v>
      </c>
      <c r="AD194" s="637">
        <f t="shared" si="178"/>
        <v>0.97300293333333332</v>
      </c>
      <c r="AE194" s="156">
        <f>+AA194-AC194</f>
        <v>1589137</v>
      </c>
      <c r="AF194" s="174">
        <v>21047670</v>
      </c>
      <c r="AG194" s="174">
        <v>16010209</v>
      </c>
      <c r="AH194" s="614">
        <f t="shared" si="179"/>
        <v>0.76066419703463617</v>
      </c>
      <c r="AI194" s="250">
        <v>240000000</v>
      </c>
      <c r="AJ194" s="250">
        <f t="shared" si="283"/>
        <v>59969313</v>
      </c>
      <c r="AK194" s="911">
        <f t="shared" si="180"/>
        <v>0.24987213750000001</v>
      </c>
      <c r="AL194" s="173"/>
      <c r="AM194" s="157"/>
      <c r="AN194" s="152" t="s">
        <v>302</v>
      </c>
      <c r="AO194" s="590" t="s">
        <v>901</v>
      </c>
      <c r="AP194" s="558"/>
      <c r="AQ194" s="93"/>
    </row>
    <row r="195" spans="1:43" ht="36" customHeight="1">
      <c r="A195" s="346" t="s">
        <v>635</v>
      </c>
      <c r="B195" s="450" t="s">
        <v>760</v>
      </c>
      <c r="C195" s="406">
        <v>1</v>
      </c>
      <c r="D195" s="406">
        <v>0</v>
      </c>
      <c r="E195" s="859">
        <v>1</v>
      </c>
      <c r="F195" s="147">
        <v>0</v>
      </c>
      <c r="G195" s="147"/>
      <c r="H195" s="180">
        <f t="shared" si="284"/>
        <v>1</v>
      </c>
      <c r="I195" s="642">
        <v>0</v>
      </c>
      <c r="J195" s="195"/>
      <c r="K195" s="195"/>
      <c r="L195" s="101"/>
      <c r="M195" s="104"/>
      <c r="N195" s="146"/>
      <c r="O195" s="195"/>
      <c r="P195" s="195"/>
      <c r="Q195" s="195"/>
      <c r="R195" s="150"/>
      <c r="S195" s="195"/>
      <c r="T195" s="302">
        <v>1</v>
      </c>
      <c r="U195" s="242">
        <f t="shared" si="286"/>
        <v>1</v>
      </c>
      <c r="V195" s="186">
        <f t="shared" si="287"/>
        <v>1</v>
      </c>
      <c r="W195" s="881">
        <v>0.1</v>
      </c>
      <c r="X195" s="472">
        <v>0</v>
      </c>
      <c r="Y195" s="540">
        <v>0</v>
      </c>
      <c r="Z195" s="373" t="s">
        <v>887</v>
      </c>
      <c r="AA195" s="174">
        <v>0</v>
      </c>
      <c r="AB195" s="273" t="e">
        <f t="shared" si="172"/>
        <v>#DIV/0!</v>
      </c>
      <c r="AC195" s="269">
        <v>0</v>
      </c>
      <c r="AD195" s="637" t="e">
        <f t="shared" si="178"/>
        <v>#DIV/0!</v>
      </c>
      <c r="AE195" s="156">
        <f>+AA195-AC195</f>
        <v>0</v>
      </c>
      <c r="AF195" s="174">
        <v>13442511</v>
      </c>
      <c r="AG195" s="174">
        <v>11538257</v>
      </c>
      <c r="AH195" s="614">
        <f t="shared" si="179"/>
        <v>0.85834090074391611</v>
      </c>
      <c r="AI195" s="250">
        <v>250000000</v>
      </c>
      <c r="AJ195" s="250">
        <f t="shared" si="283"/>
        <v>0</v>
      </c>
      <c r="AK195" s="914">
        <f t="shared" si="180"/>
        <v>0</v>
      </c>
      <c r="AL195" s="173"/>
      <c r="AM195" s="157"/>
      <c r="AN195" s="152" t="s">
        <v>302</v>
      </c>
      <c r="AO195" s="590" t="s">
        <v>890</v>
      </c>
      <c r="AP195" s="558"/>
      <c r="AQ195" s="93"/>
    </row>
    <row r="196" spans="1:43" ht="36" customHeight="1">
      <c r="A196" s="346" t="s">
        <v>636</v>
      </c>
      <c r="B196" s="450" t="s">
        <v>810</v>
      </c>
      <c r="C196" s="405">
        <v>0</v>
      </c>
      <c r="D196" s="405">
        <v>1</v>
      </c>
      <c r="E196" s="301">
        <v>0</v>
      </c>
      <c r="F196" s="182">
        <v>1</v>
      </c>
      <c r="G196" s="147"/>
      <c r="H196" s="180">
        <v>0</v>
      </c>
      <c r="I196" s="642">
        <f t="shared" si="285"/>
        <v>1</v>
      </c>
      <c r="J196" s="195"/>
      <c r="K196" s="195"/>
      <c r="L196" s="101"/>
      <c r="M196" s="104"/>
      <c r="N196" s="146"/>
      <c r="O196" s="195"/>
      <c r="P196" s="195"/>
      <c r="Q196" s="195"/>
      <c r="R196" s="150"/>
      <c r="S196" s="195"/>
      <c r="T196" s="300">
        <v>1</v>
      </c>
      <c r="U196" s="242">
        <f t="shared" si="286"/>
        <v>1</v>
      </c>
      <c r="V196" s="186">
        <f t="shared" si="287"/>
        <v>1</v>
      </c>
      <c r="W196" s="881">
        <v>0</v>
      </c>
      <c r="X196" s="472">
        <f>+W196*1.11111111111111</f>
        <v>0</v>
      </c>
      <c r="Y196" s="540">
        <v>200000000</v>
      </c>
      <c r="Z196" s="373" t="s">
        <v>887</v>
      </c>
      <c r="AA196" s="174">
        <v>197296632</v>
      </c>
      <c r="AB196" s="273">
        <f t="shared" si="172"/>
        <v>0.98648316000000003</v>
      </c>
      <c r="AC196" s="269">
        <v>192231990</v>
      </c>
      <c r="AD196" s="189">
        <f t="shared" si="178"/>
        <v>0.96115994999999999</v>
      </c>
      <c r="AE196" s="550"/>
      <c r="AF196" s="174"/>
      <c r="AG196" s="174"/>
      <c r="AH196" s="614" t="e">
        <f t="shared" si="179"/>
        <v>#DIV/0!</v>
      </c>
      <c r="AI196" s="250">
        <v>200000000</v>
      </c>
      <c r="AJ196" s="250">
        <f t="shared" si="283"/>
        <v>197296632</v>
      </c>
      <c r="AK196" s="911">
        <f t="shared" si="180"/>
        <v>0.98648316000000003</v>
      </c>
      <c r="AL196" s="173"/>
      <c r="AM196" s="157"/>
      <c r="AN196" s="152" t="s">
        <v>302</v>
      </c>
      <c r="AO196" s="590" t="s">
        <v>890</v>
      </c>
      <c r="AP196" s="558"/>
      <c r="AQ196" s="93"/>
    </row>
    <row r="197" spans="1:43" ht="36" customHeight="1">
      <c r="A197" s="346" t="s">
        <v>637</v>
      </c>
      <c r="B197" s="450" t="s">
        <v>811</v>
      </c>
      <c r="C197" s="405">
        <v>1</v>
      </c>
      <c r="D197" s="405">
        <v>1</v>
      </c>
      <c r="E197" s="872">
        <v>0.83499999999999996</v>
      </c>
      <c r="F197" s="182">
        <v>0.83</v>
      </c>
      <c r="G197" s="147"/>
      <c r="H197" s="180">
        <f t="shared" si="284"/>
        <v>0.83499999999999996</v>
      </c>
      <c r="I197" s="642">
        <f t="shared" si="285"/>
        <v>0.83</v>
      </c>
      <c r="J197" s="195"/>
      <c r="K197" s="195"/>
      <c r="L197" s="101"/>
      <c r="M197" s="104"/>
      <c r="N197" s="146"/>
      <c r="O197" s="195"/>
      <c r="P197" s="195"/>
      <c r="Q197" s="195"/>
      <c r="R197" s="150"/>
      <c r="S197" s="195"/>
      <c r="T197" s="300">
        <v>1</v>
      </c>
      <c r="U197" s="242">
        <f t="shared" ref="U197:U199" si="288">SUM(E197:F197)</f>
        <v>1.665</v>
      </c>
      <c r="V197" s="186">
        <f t="shared" ref="V197:V199" si="289">IF(U197/T197&gt;=100%,100%,U197/T197)</f>
        <v>1</v>
      </c>
      <c r="W197" s="881">
        <v>0.12</v>
      </c>
      <c r="X197" s="472">
        <f>+W197*1.11111111111111</f>
        <v>0.13333333333333319</v>
      </c>
      <c r="Y197" s="543">
        <v>100000000</v>
      </c>
      <c r="Z197" s="373">
        <v>0</v>
      </c>
      <c r="AA197" s="174">
        <v>99948316</v>
      </c>
      <c r="AB197" s="273">
        <f t="shared" si="172"/>
        <v>0.99948316000000004</v>
      </c>
      <c r="AC197" s="269">
        <v>98111509</v>
      </c>
      <c r="AD197" s="637">
        <f t="shared" si="178"/>
        <v>0.98111508999999997</v>
      </c>
      <c r="AE197" s="156">
        <f>+AA197-AC197</f>
        <v>1836807</v>
      </c>
      <c r="AF197" s="174">
        <v>8803289</v>
      </c>
      <c r="AG197" s="174">
        <v>7899554</v>
      </c>
      <c r="AH197" s="614">
        <f t="shared" si="179"/>
        <v>0.89734120963199093</v>
      </c>
      <c r="AI197" s="250">
        <v>435000000</v>
      </c>
      <c r="AJ197" s="250">
        <f t="shared" si="283"/>
        <v>99948316</v>
      </c>
      <c r="AK197" s="911">
        <f t="shared" si="180"/>
        <v>0.22976624367816093</v>
      </c>
      <c r="AL197" s="173"/>
      <c r="AM197" s="157"/>
      <c r="AN197" s="152" t="s">
        <v>302</v>
      </c>
      <c r="AO197" s="590" t="s">
        <v>890</v>
      </c>
      <c r="AP197" s="558"/>
      <c r="AQ197" s="93"/>
    </row>
    <row r="198" spans="1:43" ht="36" customHeight="1">
      <c r="A198" s="346" t="s">
        <v>638</v>
      </c>
      <c r="B198" s="456" t="s">
        <v>881</v>
      </c>
      <c r="C198" s="405">
        <v>1</v>
      </c>
      <c r="D198" s="405">
        <v>1</v>
      </c>
      <c r="E198" s="872">
        <v>0.94379999999999997</v>
      </c>
      <c r="F198" s="681">
        <v>0.66</v>
      </c>
      <c r="G198" s="147"/>
      <c r="H198" s="180">
        <f>IF((E198+G198)/C198&gt;=100%,100%,(E198+G198)/C198)</f>
        <v>0.94379999999999997</v>
      </c>
      <c r="I198" s="642">
        <f t="shared" si="285"/>
        <v>0.66</v>
      </c>
      <c r="J198" s="195"/>
      <c r="K198" s="195"/>
      <c r="L198" s="101"/>
      <c r="M198" s="104"/>
      <c r="N198" s="146"/>
      <c r="O198" s="195"/>
      <c r="P198" s="195"/>
      <c r="Q198" s="195"/>
      <c r="R198" s="150"/>
      <c r="S198" s="195"/>
      <c r="T198" s="300">
        <v>1</v>
      </c>
      <c r="U198" s="242">
        <f t="shared" si="288"/>
        <v>1.6038000000000001</v>
      </c>
      <c r="V198" s="186">
        <f t="shared" si="289"/>
        <v>1</v>
      </c>
      <c r="W198" s="881">
        <v>0.16</v>
      </c>
      <c r="X198" s="472">
        <f>+W198*1.11111111111111</f>
        <v>0.17777777777777762</v>
      </c>
      <c r="Y198" s="543">
        <v>100000000</v>
      </c>
      <c r="Z198" s="373">
        <v>0</v>
      </c>
      <c r="AA198" s="174">
        <v>99948316</v>
      </c>
      <c r="AB198" s="273">
        <f t="shared" si="172"/>
        <v>0.99948316000000004</v>
      </c>
      <c r="AC198" s="269">
        <v>98189367</v>
      </c>
      <c r="AD198" s="637">
        <f t="shared" si="178"/>
        <v>0.98189367000000005</v>
      </c>
      <c r="AE198" s="156">
        <f>+AA198-AC198</f>
        <v>1758949</v>
      </c>
      <c r="AF198" s="174">
        <v>5732235</v>
      </c>
      <c r="AG198" s="174">
        <v>4857313</v>
      </c>
      <c r="AH198" s="614">
        <f t="shared" si="179"/>
        <v>0.84736808592111101</v>
      </c>
      <c r="AI198" s="250">
        <v>435000000</v>
      </c>
      <c r="AJ198" s="250">
        <f t="shared" si="283"/>
        <v>99948316</v>
      </c>
      <c r="AK198" s="911">
        <f t="shared" si="180"/>
        <v>0.22976624367816093</v>
      </c>
      <c r="AL198" s="173"/>
      <c r="AM198" s="157"/>
      <c r="AN198" s="152" t="s">
        <v>302</v>
      </c>
      <c r="AO198" s="590" t="s">
        <v>920</v>
      </c>
      <c r="AP198" s="558"/>
      <c r="AQ198" s="93"/>
    </row>
    <row r="199" spans="1:43" ht="36" customHeight="1" thickBot="1">
      <c r="A199" s="346" t="s">
        <v>639</v>
      </c>
      <c r="B199" s="450" t="s">
        <v>812</v>
      </c>
      <c r="C199" s="848">
        <v>1</v>
      </c>
      <c r="D199" s="909">
        <v>0.1</v>
      </c>
      <c r="E199" s="866">
        <v>0</v>
      </c>
      <c r="F199" s="906">
        <v>0.1</v>
      </c>
      <c r="G199" s="147"/>
      <c r="H199" s="180">
        <f t="shared" ref="H199" si="290">IF((E199+G199)/C199&gt;=100%,100%,(E199+G199)/C199)</f>
        <v>0</v>
      </c>
      <c r="I199" s="642">
        <f t="shared" si="285"/>
        <v>1</v>
      </c>
      <c r="J199" s="195"/>
      <c r="K199" s="195"/>
      <c r="L199" s="101"/>
      <c r="M199" s="104"/>
      <c r="N199" s="146"/>
      <c r="O199" s="195"/>
      <c r="P199" s="195"/>
      <c r="Q199" s="195"/>
      <c r="R199" s="150"/>
      <c r="S199" s="195"/>
      <c r="T199" s="302">
        <v>1</v>
      </c>
      <c r="U199" s="242">
        <f t="shared" si="288"/>
        <v>0.1</v>
      </c>
      <c r="V199" s="186">
        <f t="shared" si="289"/>
        <v>0.1</v>
      </c>
      <c r="W199" s="885">
        <v>0.1</v>
      </c>
      <c r="X199" s="472">
        <f>+W199*1.11111111111111</f>
        <v>0.11111111111111101</v>
      </c>
      <c r="Y199" s="543">
        <v>100000000</v>
      </c>
      <c r="Z199" s="373" t="s">
        <v>887</v>
      </c>
      <c r="AA199" s="174">
        <v>99948316</v>
      </c>
      <c r="AB199" s="273">
        <f t="shared" si="172"/>
        <v>0.99948316000000004</v>
      </c>
      <c r="AC199" s="269">
        <v>95417225</v>
      </c>
      <c r="AD199" s="637">
        <f t="shared" si="178"/>
        <v>0.95417225000000006</v>
      </c>
      <c r="AE199" s="156">
        <f>+AA199-AC199</f>
        <v>4531091</v>
      </c>
      <c r="AF199" s="174">
        <v>45558809</v>
      </c>
      <c r="AG199" s="174">
        <v>44037955</v>
      </c>
      <c r="AH199" s="614">
        <f t="shared" si="179"/>
        <v>0.96661778406015841</v>
      </c>
      <c r="AI199" s="250">
        <v>400000000</v>
      </c>
      <c r="AJ199" s="250">
        <f t="shared" si="283"/>
        <v>99948316</v>
      </c>
      <c r="AK199" s="911">
        <f t="shared" si="180"/>
        <v>0.24987079000000001</v>
      </c>
      <c r="AL199" s="173"/>
      <c r="AM199" s="157"/>
      <c r="AN199" s="152" t="s">
        <v>302</v>
      </c>
      <c r="AO199" s="590" t="s">
        <v>920</v>
      </c>
      <c r="AP199" s="558"/>
      <c r="AQ199" s="93"/>
    </row>
    <row r="200" spans="1:43" ht="54" customHeight="1" thickBot="1">
      <c r="A200" s="315" t="s">
        <v>486</v>
      </c>
      <c r="B200" s="138"/>
      <c r="C200" s="826"/>
      <c r="D200" s="223"/>
      <c r="E200" s="861"/>
      <c r="F200" s="139"/>
      <c r="G200" s="139"/>
      <c r="H200" s="161">
        <f>+SUMPRODUCT(H201:H201,W201:W201)</f>
        <v>1</v>
      </c>
      <c r="I200" s="161">
        <f>+SUMPRODUCT(I201:I201,X201:X201)</f>
        <v>0</v>
      </c>
      <c r="J200" s="194"/>
      <c r="K200" s="194"/>
      <c r="L200" s="141"/>
      <c r="M200" s="142"/>
      <c r="N200" s="142"/>
      <c r="O200" s="194"/>
      <c r="P200" s="194"/>
      <c r="Q200" s="194"/>
      <c r="R200" s="163"/>
      <c r="S200" s="194"/>
      <c r="T200" s="303"/>
      <c r="U200" s="258"/>
      <c r="V200" s="177">
        <f>+SUMPRODUCT(V201:V201,W201:W201)</f>
        <v>1</v>
      </c>
      <c r="W200" s="879">
        <v>0.1</v>
      </c>
      <c r="X200" s="471">
        <v>0.1</v>
      </c>
      <c r="Y200" s="144">
        <f>SUM(Y201)</f>
        <v>0</v>
      </c>
      <c r="Z200" s="144">
        <f>SUM(Z201)</f>
        <v>0</v>
      </c>
      <c r="AA200" s="144">
        <f>SUM(AA201)</f>
        <v>0</v>
      </c>
      <c r="AB200" s="272" t="e">
        <f t="shared" ref="AB200:AB263" si="291">+AA200/Y200</f>
        <v>#DIV/0!</v>
      </c>
      <c r="AC200" s="144">
        <f>SUM(AC201)</f>
        <v>0</v>
      </c>
      <c r="AD200" s="636" t="e">
        <f t="shared" si="178"/>
        <v>#DIV/0!</v>
      </c>
      <c r="AE200" s="144">
        <f>SUM(AE201)</f>
        <v>0</v>
      </c>
      <c r="AF200" s="144">
        <f>SUM(AF201)</f>
        <v>22822844</v>
      </c>
      <c r="AG200" s="144">
        <f>SUM(AG201)</f>
        <v>16436973</v>
      </c>
      <c r="AH200" s="613">
        <f t="shared" si="179"/>
        <v>0.72019828028443778</v>
      </c>
      <c r="AI200" s="144">
        <f t="shared" ref="AI200:AJ200" si="292">SUM(AI201)</f>
        <v>250000000</v>
      </c>
      <c r="AJ200" s="144">
        <f t="shared" si="292"/>
        <v>0</v>
      </c>
      <c r="AK200" s="910">
        <f t="shared" si="180"/>
        <v>0</v>
      </c>
      <c r="AL200" s="179"/>
      <c r="AM200" s="165"/>
      <c r="AN200" s="553"/>
      <c r="AO200" s="144"/>
      <c r="AP200" s="557"/>
      <c r="AQ200" s="98"/>
    </row>
    <row r="201" spans="1:43" ht="36" customHeight="1" thickBot="1">
      <c r="A201" s="350" t="s">
        <v>640</v>
      </c>
      <c r="B201" s="451" t="s">
        <v>813</v>
      </c>
      <c r="C201" s="842">
        <v>1</v>
      </c>
      <c r="D201" s="218">
        <v>0</v>
      </c>
      <c r="E201" s="867">
        <v>1</v>
      </c>
      <c r="F201" s="147">
        <v>0</v>
      </c>
      <c r="G201" s="147"/>
      <c r="H201" s="180">
        <f t="shared" ref="H201" si="293">IF((E201+G201)/C201&gt;=100%,100%,(E201+G201)/C201)</f>
        <v>1</v>
      </c>
      <c r="I201" s="642">
        <v>0</v>
      </c>
      <c r="J201" s="195"/>
      <c r="K201" s="195"/>
      <c r="L201" s="101"/>
      <c r="M201" s="104"/>
      <c r="N201" s="146"/>
      <c r="O201" s="195"/>
      <c r="P201" s="195"/>
      <c r="Q201" s="195"/>
      <c r="R201" s="150"/>
      <c r="S201" s="195"/>
      <c r="T201" s="302">
        <v>1</v>
      </c>
      <c r="U201" s="242">
        <f t="shared" ref="U201" si="294">SUM(E201:F201)</f>
        <v>1</v>
      </c>
      <c r="V201" s="186">
        <f t="shared" ref="V201" si="295">IF(U201/T201&gt;=100%,100%,U201/T201)</f>
        <v>1</v>
      </c>
      <c r="W201" s="898">
        <v>1</v>
      </c>
      <c r="X201" s="501">
        <v>0</v>
      </c>
      <c r="Y201" s="539">
        <v>0</v>
      </c>
      <c r="Z201" s="373" t="s">
        <v>887</v>
      </c>
      <c r="AA201" s="174">
        <v>0</v>
      </c>
      <c r="AB201" s="273" t="e">
        <f t="shared" si="291"/>
        <v>#DIV/0!</v>
      </c>
      <c r="AC201" s="269">
        <v>0</v>
      </c>
      <c r="AD201" s="637" t="e">
        <f t="shared" ref="AD201:AD264" si="296">+AC201/Y201</f>
        <v>#DIV/0!</v>
      </c>
      <c r="AE201" s="156">
        <f>+AA201-AC201</f>
        <v>0</v>
      </c>
      <c r="AF201" s="174">
        <v>22822844</v>
      </c>
      <c r="AG201" s="174">
        <v>16436973</v>
      </c>
      <c r="AH201" s="614">
        <f t="shared" ref="AH201:AH264" si="297">+AG201/AF201</f>
        <v>0.72019828028443778</v>
      </c>
      <c r="AI201" s="250">
        <v>250000000</v>
      </c>
      <c r="AJ201" s="250">
        <f t="shared" si="283"/>
        <v>0</v>
      </c>
      <c r="AK201" s="914">
        <f t="shared" ref="AK201:AK264" si="298">+AJ201/AI201</f>
        <v>0</v>
      </c>
      <c r="AL201" s="173"/>
      <c r="AM201" s="157"/>
      <c r="AN201" s="152" t="s">
        <v>302</v>
      </c>
      <c r="AO201" s="589" t="s">
        <v>890</v>
      </c>
      <c r="AP201" s="558"/>
      <c r="AQ201" s="93"/>
    </row>
    <row r="202" spans="1:43" ht="42.75" customHeight="1" thickBot="1">
      <c r="A202" s="314" t="s">
        <v>435</v>
      </c>
      <c r="B202" s="413"/>
      <c r="C202" s="835"/>
      <c r="D202" s="222"/>
      <c r="E202" s="862"/>
      <c r="F202" s="129"/>
      <c r="G202" s="129"/>
      <c r="H202" s="254">
        <f>+(H203*W203)</f>
        <v>1</v>
      </c>
      <c r="I202" s="130">
        <f>+(I203*X203)</f>
        <v>0.6</v>
      </c>
      <c r="J202" s="193"/>
      <c r="K202" s="193"/>
      <c r="L202" s="132"/>
      <c r="M202" s="133"/>
      <c r="N202" s="133"/>
      <c r="O202" s="193"/>
      <c r="P202" s="193"/>
      <c r="Q202" s="193"/>
      <c r="R202" s="159"/>
      <c r="S202" s="193"/>
      <c r="T202" s="239"/>
      <c r="U202" s="257"/>
      <c r="V202" s="465">
        <f>+(V203*W203)</f>
        <v>1</v>
      </c>
      <c r="W202" s="883">
        <v>0.18</v>
      </c>
      <c r="X202" s="470">
        <v>0.15</v>
      </c>
      <c r="Y202" s="135">
        <f>+Y203</f>
        <v>500000000</v>
      </c>
      <c r="Z202" s="135">
        <f>+Z203</f>
        <v>0</v>
      </c>
      <c r="AA202" s="135">
        <f>+AA203</f>
        <v>488140412</v>
      </c>
      <c r="AB202" s="271">
        <f t="shared" si="291"/>
        <v>0.97628082400000005</v>
      </c>
      <c r="AC202" s="135">
        <f>+AC203</f>
        <v>248222958</v>
      </c>
      <c r="AD202" s="634">
        <f t="shared" si="296"/>
        <v>0.49644591599999999</v>
      </c>
      <c r="AE202" s="135">
        <f>+AE203</f>
        <v>18895006</v>
      </c>
      <c r="AF202" s="135">
        <f>+AF203</f>
        <v>28476677</v>
      </c>
      <c r="AG202" s="135">
        <f>+AG203</f>
        <v>25021150</v>
      </c>
      <c r="AH202" s="612">
        <f t="shared" si="297"/>
        <v>0.8786541351015078</v>
      </c>
      <c r="AI202" s="135">
        <f t="shared" ref="AI202:AJ202" si="299">+AI203</f>
        <v>2500000000</v>
      </c>
      <c r="AJ202" s="135">
        <f t="shared" si="299"/>
        <v>488140412</v>
      </c>
      <c r="AK202" s="915">
        <f t="shared" si="298"/>
        <v>0.19525616479999999</v>
      </c>
      <c r="AL202" s="172"/>
      <c r="AM202" s="160" t="s">
        <v>297</v>
      </c>
      <c r="AN202" s="136"/>
      <c r="AO202" s="135"/>
      <c r="AP202" s="556"/>
      <c r="AQ202" s="97"/>
    </row>
    <row r="203" spans="1:43" ht="54" customHeight="1" thickBot="1">
      <c r="A203" s="315" t="s">
        <v>487</v>
      </c>
      <c r="B203" s="138"/>
      <c r="C203" s="826"/>
      <c r="D203" s="223"/>
      <c r="E203" s="861"/>
      <c r="F203" s="139"/>
      <c r="G203" s="139"/>
      <c r="H203" s="161">
        <f>+SUMPRODUCT(H204:H207,W204:W207)</f>
        <v>1</v>
      </c>
      <c r="I203" s="161">
        <f>+SUMPRODUCT(I204:I207,X204:X207)</f>
        <v>0.6</v>
      </c>
      <c r="J203" s="194"/>
      <c r="K203" s="194"/>
      <c r="L203" s="141"/>
      <c r="M203" s="142"/>
      <c r="N203" s="142"/>
      <c r="O203" s="194"/>
      <c r="P203" s="194"/>
      <c r="Q203" s="194"/>
      <c r="R203" s="163"/>
      <c r="S203" s="194"/>
      <c r="T203" s="240"/>
      <c r="U203" s="258"/>
      <c r="V203" s="177">
        <f>+SUMPRODUCT(V204:V207,W204:W207)</f>
        <v>1</v>
      </c>
      <c r="W203" s="879">
        <v>1</v>
      </c>
      <c r="X203" s="471">
        <v>1</v>
      </c>
      <c r="Y203" s="144">
        <f>SUM(Y204:Y207)</f>
        <v>500000000</v>
      </c>
      <c r="Z203" s="144">
        <f>SUM(Z204:Z207)</f>
        <v>0</v>
      </c>
      <c r="AA203" s="144">
        <f>SUM(AA204:AA207)</f>
        <v>488140412</v>
      </c>
      <c r="AB203" s="272">
        <f t="shared" si="291"/>
        <v>0.97628082400000005</v>
      </c>
      <c r="AC203" s="144">
        <f>SUM(AC204:AC207)</f>
        <v>248222958</v>
      </c>
      <c r="AD203" s="636">
        <f t="shared" si="296"/>
        <v>0.49644591599999999</v>
      </c>
      <c r="AE203" s="144">
        <f>SUM(AE204:AE207)</f>
        <v>18895006</v>
      </c>
      <c r="AF203" s="144">
        <f>SUM(AF204:AF207)</f>
        <v>28476677</v>
      </c>
      <c r="AG203" s="144">
        <f>SUM(AG204:AG207)</f>
        <v>25021150</v>
      </c>
      <c r="AH203" s="613">
        <f t="shared" si="297"/>
        <v>0.8786541351015078</v>
      </c>
      <c r="AI203" s="144">
        <f t="shared" ref="AI203:AJ203" si="300">SUM(AI204:AI207)</f>
        <v>2500000000</v>
      </c>
      <c r="AJ203" s="144">
        <f t="shared" si="300"/>
        <v>488140412</v>
      </c>
      <c r="AK203" s="910">
        <f t="shared" si="298"/>
        <v>0.19525616479999999</v>
      </c>
      <c r="AL203" s="179"/>
      <c r="AM203" s="165"/>
      <c r="AN203" s="553"/>
      <c r="AO203" s="144"/>
      <c r="AP203" s="557"/>
      <c r="AQ203" s="98"/>
    </row>
    <row r="204" spans="1:43" ht="36" customHeight="1">
      <c r="A204" s="347" t="s">
        <v>641</v>
      </c>
      <c r="B204" s="453" t="s">
        <v>814</v>
      </c>
      <c r="C204" s="401">
        <v>0</v>
      </c>
      <c r="D204" s="401">
        <v>0</v>
      </c>
      <c r="E204" s="858">
        <v>0</v>
      </c>
      <c r="F204" s="147"/>
      <c r="G204" s="147"/>
      <c r="H204" s="180">
        <v>0</v>
      </c>
      <c r="I204" s="642">
        <v>0</v>
      </c>
      <c r="K204" s="195"/>
      <c r="L204" s="101"/>
      <c r="M204" s="104"/>
      <c r="N204" s="146"/>
      <c r="O204" s="195"/>
      <c r="P204" s="195"/>
      <c r="Q204" s="195"/>
      <c r="R204" s="150"/>
      <c r="S204" s="195"/>
      <c r="T204" s="241">
        <v>4</v>
      </c>
      <c r="U204" s="242">
        <f t="shared" ref="U204" si="301">SUM(E204:F204)</f>
        <v>0</v>
      </c>
      <c r="V204" s="186">
        <f t="shared" ref="V204" si="302">IF(U204/T204&gt;=100%,100%,U204/T204)</f>
        <v>0</v>
      </c>
      <c r="W204" s="880">
        <v>0</v>
      </c>
      <c r="X204" s="472">
        <v>0</v>
      </c>
      <c r="Y204" s="541" t="s">
        <v>887</v>
      </c>
      <c r="Z204" s="375" t="s">
        <v>887</v>
      </c>
      <c r="AA204" s="174"/>
      <c r="AB204" s="273" t="e">
        <f t="shared" si="291"/>
        <v>#VALUE!</v>
      </c>
      <c r="AC204" s="269"/>
      <c r="AD204" s="189" t="e">
        <f t="shared" si="296"/>
        <v>#VALUE!</v>
      </c>
      <c r="AE204" s="550"/>
      <c r="AF204" s="174"/>
      <c r="AG204" s="174"/>
      <c r="AH204" s="614" t="e">
        <f t="shared" si="297"/>
        <v>#DIV/0!</v>
      </c>
      <c r="AI204" s="250">
        <v>650000000</v>
      </c>
      <c r="AJ204" s="250">
        <f t="shared" ref="AJ204:AJ207" si="303">+SUM(Z204:AA204)</f>
        <v>0</v>
      </c>
      <c r="AK204" s="911">
        <f t="shared" si="298"/>
        <v>0</v>
      </c>
      <c r="AL204" s="173"/>
      <c r="AM204" s="157"/>
      <c r="AN204" s="152" t="s">
        <v>302</v>
      </c>
      <c r="AO204" s="2246" t="s">
        <v>905</v>
      </c>
      <c r="AP204" s="558"/>
      <c r="AQ204" s="93"/>
    </row>
    <row r="205" spans="1:43" ht="36" customHeight="1">
      <c r="A205" s="347" t="s">
        <v>642</v>
      </c>
      <c r="B205" s="453" t="s">
        <v>815</v>
      </c>
      <c r="C205" s="401">
        <v>0</v>
      </c>
      <c r="D205" s="401">
        <v>8</v>
      </c>
      <c r="E205" s="147">
        <v>0</v>
      </c>
      <c r="F205" s="147">
        <v>0</v>
      </c>
      <c r="G205" s="147"/>
      <c r="H205" s="180">
        <v>0</v>
      </c>
      <c r="I205" s="642">
        <f t="shared" ref="I205:I207" si="304">IF(F205/D205&gt;=100%,100%,F205/D205)</f>
        <v>0</v>
      </c>
      <c r="J205" s="195"/>
      <c r="K205" s="195"/>
      <c r="L205" s="101"/>
      <c r="M205" s="104"/>
      <c r="N205" s="146"/>
      <c r="O205" s="195"/>
      <c r="P205" s="195"/>
      <c r="Q205" s="195"/>
      <c r="R205" s="150"/>
      <c r="S205" s="195"/>
      <c r="T205" s="241">
        <v>23</v>
      </c>
      <c r="U205" s="242">
        <f t="shared" ref="U205:U207" si="305">SUM(E205:F205)</f>
        <v>0</v>
      </c>
      <c r="V205" s="186">
        <f t="shared" ref="V205:V207" si="306">IF(U205/T205&gt;=100%,100%,U205/T205)</f>
        <v>0</v>
      </c>
      <c r="W205" s="472">
        <v>0</v>
      </c>
      <c r="X205" s="673">
        <v>0.4</v>
      </c>
      <c r="Y205" s="538">
        <v>240300000</v>
      </c>
      <c r="Z205" s="375" t="s">
        <v>887</v>
      </c>
      <c r="AA205" s="174">
        <v>239671155</v>
      </c>
      <c r="AB205" s="273">
        <f t="shared" si="291"/>
        <v>0.99738308364544315</v>
      </c>
      <c r="AC205" s="269">
        <v>18648707</v>
      </c>
      <c r="AD205" s="189">
        <f t="shared" si="296"/>
        <v>7.760593841032043E-2</v>
      </c>
      <c r="AE205" s="550"/>
      <c r="AF205" s="174"/>
      <c r="AG205" s="174"/>
      <c r="AH205" s="614" t="e">
        <f t="shared" si="297"/>
        <v>#DIV/0!</v>
      </c>
      <c r="AI205" s="250">
        <v>950000000</v>
      </c>
      <c r="AJ205" s="250">
        <f t="shared" si="303"/>
        <v>239671155</v>
      </c>
      <c r="AK205" s="911">
        <f t="shared" si="298"/>
        <v>0.25228542631578948</v>
      </c>
      <c r="AL205" s="173"/>
      <c r="AM205" s="157"/>
      <c r="AN205" s="152" t="s">
        <v>302</v>
      </c>
      <c r="AO205" s="2205"/>
      <c r="AP205" s="558"/>
      <c r="AQ205" s="93"/>
    </row>
    <row r="206" spans="1:43" ht="36" customHeight="1">
      <c r="A206" s="325" t="s">
        <v>643</v>
      </c>
      <c r="B206" s="453" t="s">
        <v>816</v>
      </c>
      <c r="C206" s="402">
        <v>1</v>
      </c>
      <c r="D206" s="668">
        <v>1</v>
      </c>
      <c r="E206" s="182">
        <v>1</v>
      </c>
      <c r="F206" s="681">
        <v>1</v>
      </c>
      <c r="G206" s="147"/>
      <c r="H206" s="180">
        <f t="shared" ref="H206:H207" si="307">IF((E206+G206)/C206&gt;=100%,100%,(E206+G206)/C206)</f>
        <v>1</v>
      </c>
      <c r="I206" s="642">
        <f t="shared" si="304"/>
        <v>1</v>
      </c>
      <c r="J206" s="195"/>
      <c r="K206" s="195"/>
      <c r="L206" s="101"/>
      <c r="M206" s="104"/>
      <c r="N206" s="146"/>
      <c r="O206" s="195"/>
      <c r="P206" s="195"/>
      <c r="Q206" s="195"/>
      <c r="R206" s="150"/>
      <c r="S206" s="195"/>
      <c r="T206" s="241">
        <v>1</v>
      </c>
      <c r="U206" s="242">
        <f t="shared" si="305"/>
        <v>2</v>
      </c>
      <c r="V206" s="186">
        <f t="shared" si="306"/>
        <v>1</v>
      </c>
      <c r="W206" s="472">
        <v>0.5</v>
      </c>
      <c r="X206" s="472">
        <v>0.3</v>
      </c>
      <c r="Y206" s="538">
        <v>150700000</v>
      </c>
      <c r="Z206" s="371">
        <v>0</v>
      </c>
      <c r="AA206" s="174">
        <v>139685550</v>
      </c>
      <c r="AB206" s="273">
        <f t="shared" si="291"/>
        <v>0.92691141340411409</v>
      </c>
      <c r="AC206" s="269">
        <v>126721637</v>
      </c>
      <c r="AD206" s="637">
        <f t="shared" si="296"/>
        <v>0.84088677504976772</v>
      </c>
      <c r="AE206" s="156">
        <f>+AA206-AC206</f>
        <v>12963913</v>
      </c>
      <c r="AF206" s="174">
        <v>21291538</v>
      </c>
      <c r="AG206" s="174">
        <v>20565112</v>
      </c>
      <c r="AH206" s="614">
        <f t="shared" si="297"/>
        <v>0.96588193863684246</v>
      </c>
      <c r="AI206" s="250">
        <v>400000000</v>
      </c>
      <c r="AJ206" s="250">
        <f t="shared" si="303"/>
        <v>139685550</v>
      </c>
      <c r="AK206" s="911">
        <f t="shared" si="298"/>
        <v>0.34921387500000001</v>
      </c>
      <c r="AL206" s="173"/>
      <c r="AM206" s="157"/>
      <c r="AN206" s="152" t="s">
        <v>9</v>
      </c>
      <c r="AO206" s="588" t="s">
        <v>905</v>
      </c>
      <c r="AP206" s="558"/>
      <c r="AQ206" s="93"/>
    </row>
    <row r="207" spans="1:43" ht="36" customHeight="1" thickBot="1">
      <c r="A207" s="347" t="s">
        <v>644</v>
      </c>
      <c r="B207" s="453" t="s">
        <v>817</v>
      </c>
      <c r="C207" s="847">
        <v>23</v>
      </c>
      <c r="D207" s="401">
        <v>23</v>
      </c>
      <c r="E207" s="860">
        <v>23</v>
      </c>
      <c r="F207" s="147">
        <v>23</v>
      </c>
      <c r="G207" s="147"/>
      <c r="H207" s="180">
        <f t="shared" si="307"/>
        <v>1</v>
      </c>
      <c r="I207" s="642">
        <f t="shared" si="304"/>
        <v>1</v>
      </c>
      <c r="J207" s="195"/>
      <c r="K207" s="195"/>
      <c r="L207" s="101"/>
      <c r="M207" s="104"/>
      <c r="N207" s="146"/>
      <c r="O207" s="195"/>
      <c r="P207" s="195"/>
      <c r="Q207" s="195"/>
      <c r="R207" s="150"/>
      <c r="S207" s="195"/>
      <c r="T207" s="241">
        <v>23</v>
      </c>
      <c r="U207" s="242">
        <f t="shared" si="305"/>
        <v>46</v>
      </c>
      <c r="V207" s="186">
        <f t="shared" si="306"/>
        <v>1</v>
      </c>
      <c r="W207" s="477">
        <v>0.5</v>
      </c>
      <c r="X207" s="472">
        <v>0.3</v>
      </c>
      <c r="Y207" s="538">
        <v>109000000</v>
      </c>
      <c r="Z207" s="371">
        <v>0</v>
      </c>
      <c r="AA207" s="174">
        <v>108783707</v>
      </c>
      <c r="AB207" s="273">
        <f t="shared" si="291"/>
        <v>0.99801566055045876</v>
      </c>
      <c r="AC207" s="269">
        <v>102852614</v>
      </c>
      <c r="AD207" s="637">
        <f t="shared" si="296"/>
        <v>0.94360196330275226</v>
      </c>
      <c r="AE207" s="156">
        <f>+AA207-AC207</f>
        <v>5931093</v>
      </c>
      <c r="AF207" s="174">
        <v>7185139</v>
      </c>
      <c r="AG207" s="174">
        <v>4456038</v>
      </c>
      <c r="AH207" s="614">
        <f t="shared" si="297"/>
        <v>0.62017422349101392</v>
      </c>
      <c r="AI207" s="250">
        <v>500000000</v>
      </c>
      <c r="AJ207" s="250">
        <f t="shared" si="303"/>
        <v>108783707</v>
      </c>
      <c r="AK207" s="911">
        <f t="shared" si="298"/>
        <v>0.21756741399999999</v>
      </c>
      <c r="AL207" s="173"/>
      <c r="AM207" s="157"/>
      <c r="AN207" s="152" t="s">
        <v>302</v>
      </c>
      <c r="AO207" s="588" t="s">
        <v>905</v>
      </c>
      <c r="AP207" s="558"/>
      <c r="AQ207" s="93"/>
    </row>
    <row r="208" spans="1:43" ht="42.75" customHeight="1" thickBot="1">
      <c r="A208" s="314" t="s">
        <v>436</v>
      </c>
      <c r="B208" s="413"/>
      <c r="C208" s="835"/>
      <c r="D208" s="222"/>
      <c r="E208" s="862"/>
      <c r="F208" s="129"/>
      <c r="G208" s="129"/>
      <c r="H208" s="130">
        <f>+(H209*W209)</f>
        <v>0</v>
      </c>
      <c r="I208" s="130">
        <f>+(I209*X209)</f>
        <v>1</v>
      </c>
      <c r="J208" s="193"/>
      <c r="K208" s="193"/>
      <c r="L208" s="132"/>
      <c r="M208" s="133"/>
      <c r="N208" s="133"/>
      <c r="O208" s="193"/>
      <c r="P208" s="193"/>
      <c r="Q208" s="193"/>
      <c r="R208" s="159"/>
      <c r="S208" s="193"/>
      <c r="T208" s="239"/>
      <c r="U208" s="257"/>
      <c r="V208" s="465">
        <f>+(V209*W209)</f>
        <v>0</v>
      </c>
      <c r="W208" s="883">
        <v>0</v>
      </c>
      <c r="X208" s="470">
        <v>0.15</v>
      </c>
      <c r="Y208" s="135">
        <f>+Y209</f>
        <v>4683573979</v>
      </c>
      <c r="Z208" s="135">
        <f>+Z209</f>
        <v>0</v>
      </c>
      <c r="AA208" s="135">
        <f>+AA209</f>
        <v>4664621367.4099998</v>
      </c>
      <c r="AB208" s="271">
        <f t="shared" si="291"/>
        <v>0.99595338694873214</v>
      </c>
      <c r="AC208" s="135">
        <f>+AC209</f>
        <v>1238760297.3699999</v>
      </c>
      <c r="AD208" s="187">
        <f t="shared" si="296"/>
        <v>0.26449038766640559</v>
      </c>
      <c r="AE208" s="135">
        <f>+AE209</f>
        <v>0</v>
      </c>
      <c r="AF208" s="135">
        <f>+AF209</f>
        <v>0</v>
      </c>
      <c r="AG208" s="135">
        <f>+AG209</f>
        <v>0</v>
      </c>
      <c r="AH208" s="612" t="e">
        <f t="shared" si="297"/>
        <v>#DIV/0!</v>
      </c>
      <c r="AI208" s="135">
        <f t="shared" ref="AI208:AJ208" si="308">+AI209</f>
        <v>3500000000</v>
      </c>
      <c r="AJ208" s="135">
        <f t="shared" si="308"/>
        <v>4664621367.4099998</v>
      </c>
      <c r="AK208" s="915">
        <f t="shared" si="298"/>
        <v>1.3327489621171429</v>
      </c>
      <c r="AL208" s="172"/>
      <c r="AM208" s="160" t="s">
        <v>298</v>
      </c>
      <c r="AN208" s="136"/>
      <c r="AO208" s="135"/>
      <c r="AP208" s="556"/>
      <c r="AQ208" s="97"/>
    </row>
    <row r="209" spans="1:43" ht="54" customHeight="1">
      <c r="A209" s="315" t="s">
        <v>488</v>
      </c>
      <c r="B209" s="138"/>
      <c r="C209" s="849"/>
      <c r="D209" s="223"/>
      <c r="E209" s="873"/>
      <c r="F209" s="139"/>
      <c r="G209" s="139"/>
      <c r="H209" s="140">
        <v>0</v>
      </c>
      <c r="I209" s="161">
        <f>+SUMPRODUCT(I210:I210,X210:X210)</f>
        <v>1</v>
      </c>
      <c r="J209" s="194"/>
      <c r="K209" s="194"/>
      <c r="L209" s="141"/>
      <c r="M209" s="142"/>
      <c r="N209" s="142"/>
      <c r="O209" s="194"/>
      <c r="P209" s="194"/>
      <c r="Q209" s="194"/>
      <c r="R209" s="163"/>
      <c r="S209" s="194"/>
      <c r="T209" s="240"/>
      <c r="U209" s="258"/>
      <c r="V209" s="177">
        <f>+SUMPRODUCT(V210:V210,W210:W210)</f>
        <v>0</v>
      </c>
      <c r="W209" s="899">
        <v>0</v>
      </c>
      <c r="X209" s="471">
        <v>1</v>
      </c>
      <c r="Y209" s="144">
        <f>SUM(Y210)</f>
        <v>4683573979</v>
      </c>
      <c r="Z209" s="144">
        <f>SUM(Z210)</f>
        <v>0</v>
      </c>
      <c r="AA209" s="602">
        <f>SUM(AA210)</f>
        <v>4664621367.4099998</v>
      </c>
      <c r="AB209" s="272">
        <f t="shared" si="291"/>
        <v>0.99595338694873214</v>
      </c>
      <c r="AC209" s="144">
        <f>SUM(AC210)</f>
        <v>1238760297.3699999</v>
      </c>
      <c r="AD209" s="188">
        <f t="shared" si="296"/>
        <v>0.26449038766640559</v>
      </c>
      <c r="AE209" s="144">
        <f>SUM(AE210)</f>
        <v>0</v>
      </c>
      <c r="AF209" s="144">
        <f>SUM(AF210)</f>
        <v>0</v>
      </c>
      <c r="AG209" s="144">
        <f>SUM(AG210)</f>
        <v>0</v>
      </c>
      <c r="AH209" s="613" t="e">
        <f t="shared" si="297"/>
        <v>#DIV/0!</v>
      </c>
      <c r="AI209" s="144">
        <f t="shared" ref="AI209:AJ209" si="309">SUM(AI210)</f>
        <v>3500000000</v>
      </c>
      <c r="AJ209" s="144">
        <f t="shared" si="309"/>
        <v>4664621367.4099998</v>
      </c>
      <c r="AK209" s="910">
        <f t="shared" si="298"/>
        <v>1.3327489621171429</v>
      </c>
      <c r="AL209" s="179"/>
      <c r="AM209" s="165"/>
      <c r="AN209" s="553"/>
      <c r="AO209" s="144"/>
      <c r="AP209" s="557"/>
      <c r="AQ209" s="98"/>
    </row>
    <row r="210" spans="1:43" ht="36" customHeight="1" thickBot="1">
      <c r="A210" s="346" t="s">
        <v>645</v>
      </c>
      <c r="B210" s="450" t="s">
        <v>818</v>
      </c>
      <c r="C210" s="850">
        <v>0</v>
      </c>
      <c r="D210" s="218">
        <v>1</v>
      </c>
      <c r="E210" s="860">
        <v>0</v>
      </c>
      <c r="F210" s="147">
        <v>1</v>
      </c>
      <c r="G210" s="147"/>
      <c r="H210" s="180">
        <v>0</v>
      </c>
      <c r="I210" s="642">
        <f t="shared" ref="I210" si="310">IF(F210/D210&gt;=100%,100%,F210/D210)</f>
        <v>1</v>
      </c>
      <c r="J210" s="195"/>
      <c r="K210" s="195"/>
      <c r="L210" s="101"/>
      <c r="M210" s="104"/>
      <c r="N210" s="146"/>
      <c r="O210" s="195"/>
      <c r="P210" s="195"/>
      <c r="Q210" s="195"/>
      <c r="R210" s="150"/>
      <c r="S210" s="195"/>
      <c r="T210" s="241">
        <v>2</v>
      </c>
      <c r="U210" s="242">
        <f t="shared" ref="U210" si="311">SUM(E210:F210)</f>
        <v>1</v>
      </c>
      <c r="V210" s="186">
        <f t="shared" ref="V210" si="312">IF(U210/T210&gt;=100%,100%,U210/T210)</f>
        <v>0.5</v>
      </c>
      <c r="W210" s="477">
        <v>0</v>
      </c>
      <c r="X210" s="673">
        <v>1</v>
      </c>
      <c r="Y210" s="525">
        <v>4683573979</v>
      </c>
      <c r="Z210" s="482">
        <v>0</v>
      </c>
      <c r="AA210" s="174">
        <v>4664621367.4099998</v>
      </c>
      <c r="AB210" s="273">
        <f t="shared" si="291"/>
        <v>0.99595338694873214</v>
      </c>
      <c r="AC210" s="269">
        <v>1238760297.3699999</v>
      </c>
      <c r="AD210" s="189">
        <f t="shared" si="296"/>
        <v>0.26449038766640559</v>
      </c>
      <c r="AE210" s="550"/>
      <c r="AF210" s="174"/>
      <c r="AG210" s="174"/>
      <c r="AH210" s="614" t="e">
        <f t="shared" si="297"/>
        <v>#DIV/0!</v>
      </c>
      <c r="AI210" s="250">
        <v>3500000000</v>
      </c>
      <c r="AJ210" s="250">
        <f t="shared" ref="AJ210" si="313">+SUM(Z210:AA210)</f>
        <v>4664621367.4099998</v>
      </c>
      <c r="AK210" s="911">
        <f t="shared" si="298"/>
        <v>1.3327489621171429</v>
      </c>
      <c r="AL210" s="173"/>
      <c r="AM210" s="157"/>
      <c r="AN210" s="152" t="s">
        <v>302</v>
      </c>
      <c r="AO210" s="590" t="s">
        <v>905</v>
      </c>
      <c r="AP210" s="558"/>
      <c r="AQ210" s="93"/>
    </row>
    <row r="211" spans="1:43" ht="43.5" customHeight="1" thickBot="1">
      <c r="A211" s="313" t="s">
        <v>419</v>
      </c>
      <c r="B211" s="423"/>
      <c r="C211" s="166"/>
      <c r="D211" s="225"/>
      <c r="E211" s="869"/>
      <c r="F211" s="166"/>
      <c r="G211" s="166"/>
      <c r="H211" s="125">
        <f>+(H212*W212)+(H218*W218)+(H229*W229)+(H239*W239)+(H245*W245)+(H250*W250)+(H260*W260)+(H270*W270)+(H278*W278)+(H286*W286)</f>
        <v>0.95919999999999983</v>
      </c>
      <c r="I211" s="693">
        <f>+(I212*X212)+(I218*X218)+(I229*X229)+(I239*X239)+(I245*X245)+(I250*X250)+(I260*X260)+(I270*X270)+(I278*X278)+(I286*X286)+(I293*X293)</f>
        <v>0.94611921428571411</v>
      </c>
      <c r="J211" s="192"/>
      <c r="K211" s="192"/>
      <c r="L211" s="102"/>
      <c r="M211" s="100"/>
      <c r="N211" s="100"/>
      <c r="O211" s="192"/>
      <c r="P211" s="192"/>
      <c r="Q211" s="192"/>
      <c r="R211" s="185"/>
      <c r="S211" s="192"/>
      <c r="T211" s="238"/>
      <c r="U211" s="260"/>
      <c r="V211" s="464">
        <f>+(V212*W212)+(V218*W218)+(V229*W229)+(V239*W239)+(V245*W245)+(V250*W250)+(V260*W260)+(V270*W270)+(V278*W278)+(V286*W286)</f>
        <v>0.77545158730158725</v>
      </c>
      <c r="W211" s="877">
        <v>0.15</v>
      </c>
      <c r="X211" s="474">
        <v>0.15</v>
      </c>
      <c r="Y211" s="127">
        <f>+Y212+Y218+Y229+Y239+Y245+Y250+Y260+Y270+Y278+Y286</f>
        <v>6300990838</v>
      </c>
      <c r="Z211" s="127">
        <f>+Z212+Z218+Z229+Z239+Z245+Z250+Z260+Z270+Z278+Z286</f>
        <v>0</v>
      </c>
      <c r="AA211" s="607">
        <f>+AA212+AA218+AA229+AA239+AA245+AA250+AA260+AA270+AA278+AA286</f>
        <v>6174033209.7399998</v>
      </c>
      <c r="AB211" s="275">
        <f t="shared" si="291"/>
        <v>0.97985116443998865</v>
      </c>
      <c r="AC211" s="607">
        <f>+AC212+AC218+AC229+AC239+AC245+AC250+AC260+AC270+AC278+AC286</f>
        <v>5741471631.8499994</v>
      </c>
      <c r="AD211" s="638">
        <f t="shared" si="296"/>
        <v>0.91120139347360207</v>
      </c>
      <c r="AE211" s="127">
        <f>+AE212+AE218+AE229+AE239+AE245+AE250+AE260+AE270+AE278+AE286</f>
        <v>432561577.88999999</v>
      </c>
      <c r="AF211" s="127">
        <f>+AF212+AF218+AF229+AF239+AF245+AF250+AF260+AF270+AF278+AF286+AF293</f>
        <v>1221478666.8599999</v>
      </c>
      <c r="AG211" s="127">
        <f>+AG212+AG218+AG229+AG239+AG245+AG250+AG260+AG270+AG278+AG286</f>
        <v>1125926103.2</v>
      </c>
      <c r="AH211" s="616">
        <f t="shared" si="297"/>
        <v>0.92177303930683252</v>
      </c>
      <c r="AI211" s="127">
        <f>+AI212+AI218+AI229+AI239+AI245+AI250+AI260+AI270+AI278+AI286</f>
        <v>33671000000</v>
      </c>
      <c r="AJ211" s="127">
        <f>+AJ212+AJ218+AJ229+AJ239+AJ245+AJ250+AJ260+AJ270+AJ278+AJ286</f>
        <v>6174033209.7399998</v>
      </c>
      <c r="AK211" s="676">
        <f t="shared" si="298"/>
        <v>0.18336352379614504</v>
      </c>
      <c r="AL211" s="282"/>
      <c r="AM211" s="169"/>
      <c r="AN211" s="600"/>
      <c r="AO211" s="575"/>
      <c r="AP211" s="559"/>
      <c r="AQ211" s="99"/>
    </row>
    <row r="212" spans="1:43" ht="57" customHeight="1" thickBot="1">
      <c r="A212" s="314" t="s">
        <v>437</v>
      </c>
      <c r="B212" s="137"/>
      <c r="C212" s="200"/>
      <c r="D212" s="224"/>
      <c r="E212" s="862"/>
      <c r="F212" s="200"/>
      <c r="G212" s="200"/>
      <c r="H212" s="199">
        <f>+(H213*W213)</f>
        <v>1</v>
      </c>
      <c r="I212" s="643">
        <f>+(I213*X213)</f>
        <v>1</v>
      </c>
      <c r="J212" s="288"/>
      <c r="K212" s="288"/>
      <c r="L212" s="160"/>
      <c r="M212" s="136"/>
      <c r="N212" s="136"/>
      <c r="O212" s="288"/>
      <c r="P212" s="288"/>
      <c r="Q212" s="288"/>
      <c r="R212" s="202"/>
      <c r="S212" s="288"/>
      <c r="T212" s="289"/>
      <c r="U212" s="259"/>
      <c r="V212" s="198">
        <f>+(V213*W213)</f>
        <v>0.95333333333333337</v>
      </c>
      <c r="W212" s="883">
        <v>0.1</v>
      </c>
      <c r="X212" s="470">
        <v>0.1</v>
      </c>
      <c r="Y212" s="135">
        <f>+Y213</f>
        <v>655000000</v>
      </c>
      <c r="Z212" s="135">
        <f>+Z213</f>
        <v>0</v>
      </c>
      <c r="AA212" s="135">
        <f>+AA213</f>
        <v>544014835</v>
      </c>
      <c r="AB212" s="271">
        <f t="shared" si="291"/>
        <v>0.83055699999999999</v>
      </c>
      <c r="AC212" s="135">
        <f>+AC213</f>
        <v>477240510</v>
      </c>
      <c r="AD212" s="634">
        <f t="shared" si="296"/>
        <v>0.72861146564885493</v>
      </c>
      <c r="AE212" s="135">
        <f>+AE213</f>
        <v>66774325</v>
      </c>
      <c r="AF212" s="135">
        <f>+AF213</f>
        <v>75820105.400000006</v>
      </c>
      <c r="AG212" s="135">
        <f>+AG213</f>
        <v>60377211.399999999</v>
      </c>
      <c r="AH212" s="612">
        <f t="shared" si="297"/>
        <v>0.79632191331667546</v>
      </c>
      <c r="AI212" s="135">
        <f>+AI213</f>
        <v>2270000000</v>
      </c>
      <c r="AJ212" s="135">
        <f>+AJ213</f>
        <v>544014835</v>
      </c>
      <c r="AK212" s="915">
        <f t="shared" si="298"/>
        <v>0.23965411233480177</v>
      </c>
      <c r="AL212" s="172"/>
      <c r="AM212" s="160" t="s">
        <v>301</v>
      </c>
      <c r="AN212" s="136"/>
      <c r="AO212" s="135"/>
      <c r="AP212" s="556"/>
      <c r="AQ212" s="97"/>
    </row>
    <row r="213" spans="1:43" ht="43.5" customHeight="1">
      <c r="A213" s="315" t="s">
        <v>489</v>
      </c>
      <c r="B213" s="138"/>
      <c r="C213" s="139"/>
      <c r="D213" s="223"/>
      <c r="E213" s="873"/>
      <c r="F213" s="139"/>
      <c r="G213" s="139"/>
      <c r="H213" s="161">
        <f>+SUMPRODUCT(H214:H217,W214:W217)</f>
        <v>1</v>
      </c>
      <c r="I213" s="161">
        <f>+SUMPRODUCT(I214:I217,X214:X217)</f>
        <v>1</v>
      </c>
      <c r="J213" s="194"/>
      <c r="K213" s="194"/>
      <c r="L213" s="141"/>
      <c r="M213" s="142"/>
      <c r="N213" s="142"/>
      <c r="O213" s="194"/>
      <c r="P213" s="194"/>
      <c r="Q213" s="194"/>
      <c r="R213" s="163"/>
      <c r="S213" s="194"/>
      <c r="T213" s="240"/>
      <c r="U213" s="258"/>
      <c r="V213" s="177">
        <f>+SUMPRODUCT(V214:V217,W214:W217)</f>
        <v>0.95333333333333337</v>
      </c>
      <c r="W213" s="899">
        <v>1</v>
      </c>
      <c r="X213" s="471">
        <v>1</v>
      </c>
      <c r="Y213" s="144">
        <f>SUM(Y214:Y217)</f>
        <v>655000000</v>
      </c>
      <c r="Z213" s="144">
        <f>SUM(Z214:Z217)</f>
        <v>0</v>
      </c>
      <c r="AA213" s="144">
        <f>SUM(AA214:AA217)</f>
        <v>544014835</v>
      </c>
      <c r="AB213" s="272">
        <f t="shared" si="291"/>
        <v>0.83055699999999999</v>
      </c>
      <c r="AC213" s="144">
        <f>SUM(AC214:AC217)</f>
        <v>477240510</v>
      </c>
      <c r="AD213" s="636">
        <f t="shared" si="296"/>
        <v>0.72861146564885493</v>
      </c>
      <c r="AE213" s="144">
        <f>SUM(AE214:AE217)</f>
        <v>66774325</v>
      </c>
      <c r="AF213" s="144">
        <f>SUM(AF214:AF217)</f>
        <v>75820105.400000006</v>
      </c>
      <c r="AG213" s="144">
        <f>SUM(AG214:AG217)</f>
        <v>60377211.399999999</v>
      </c>
      <c r="AH213" s="613">
        <f t="shared" si="297"/>
        <v>0.79632191331667546</v>
      </c>
      <c r="AI213" s="144">
        <f>SUM(AI214:AI217)</f>
        <v>2270000000</v>
      </c>
      <c r="AJ213" s="144">
        <f>SUM(AJ214:AJ217)</f>
        <v>544014835</v>
      </c>
      <c r="AK213" s="910">
        <f t="shared" si="298"/>
        <v>0.23965411233480177</v>
      </c>
      <c r="AL213" s="179"/>
      <c r="AM213" s="165"/>
      <c r="AN213" s="553"/>
      <c r="AO213" s="144"/>
      <c r="AP213" s="557"/>
      <c r="AQ213" s="98"/>
    </row>
    <row r="214" spans="1:43" ht="12.75" customHeight="1">
      <c r="A214" s="352" t="s">
        <v>646</v>
      </c>
      <c r="B214" s="457" t="s">
        <v>819</v>
      </c>
      <c r="C214" s="407">
        <v>1</v>
      </c>
      <c r="D214" s="407">
        <v>0</v>
      </c>
      <c r="E214" s="147">
        <v>1</v>
      </c>
      <c r="F214" s="147">
        <v>0</v>
      </c>
      <c r="G214" s="147"/>
      <c r="H214" s="180">
        <f t="shared" ref="H214" si="314">IF((E214+G214)/C214&gt;=100%,100%,(E214+G214)/C214)</f>
        <v>1</v>
      </c>
      <c r="I214" s="642">
        <v>0</v>
      </c>
      <c r="J214" s="195"/>
      <c r="K214" s="195"/>
      <c r="L214" s="101"/>
      <c r="M214" s="104"/>
      <c r="N214" s="146"/>
      <c r="O214" s="195"/>
      <c r="P214" s="195"/>
      <c r="Q214" s="195"/>
      <c r="R214" s="150"/>
      <c r="S214" s="195"/>
      <c r="T214" s="241">
        <v>1</v>
      </c>
      <c r="U214" s="242">
        <f t="shared" ref="U214" si="315">SUM(E214:F214)</f>
        <v>1</v>
      </c>
      <c r="V214" s="186">
        <f t="shared" ref="V214" si="316">IF(U214/T214&gt;=100%,100%,U214/T214)</f>
        <v>1</v>
      </c>
      <c r="W214" s="502">
        <v>0.1</v>
      </c>
      <c r="X214" s="502">
        <v>0</v>
      </c>
      <c r="Y214" s="544">
        <v>0</v>
      </c>
      <c r="Z214" s="376">
        <v>0</v>
      </c>
      <c r="AA214" s="174">
        <v>0</v>
      </c>
      <c r="AB214" s="273" t="e">
        <f t="shared" si="291"/>
        <v>#DIV/0!</v>
      </c>
      <c r="AC214" s="269">
        <v>0</v>
      </c>
      <c r="AD214" s="637" t="e">
        <f t="shared" si="296"/>
        <v>#DIV/0!</v>
      </c>
      <c r="AE214" s="156">
        <f>+AA214-AC214</f>
        <v>0</v>
      </c>
      <c r="AF214" s="174">
        <v>3629597</v>
      </c>
      <c r="AG214" s="174">
        <v>3073553</v>
      </c>
      <c r="AH214" s="614">
        <f t="shared" si="297"/>
        <v>0.84680282687031094</v>
      </c>
      <c r="AI214" s="250">
        <v>100000000</v>
      </c>
      <c r="AJ214" s="250">
        <f t="shared" ref="AJ214:AJ217" si="317">+SUM(Z214:AA214)</f>
        <v>0</v>
      </c>
      <c r="AK214" s="914">
        <f t="shared" si="298"/>
        <v>0</v>
      </c>
      <c r="AL214" s="173"/>
      <c r="AM214" s="157"/>
      <c r="AN214" s="152" t="s">
        <v>302</v>
      </c>
      <c r="AO214" s="593" t="s">
        <v>890</v>
      </c>
      <c r="AP214" s="558"/>
      <c r="AQ214" s="93"/>
    </row>
    <row r="215" spans="1:43" ht="12.75" customHeight="1">
      <c r="A215" s="352" t="s">
        <v>647</v>
      </c>
      <c r="B215" s="457" t="s">
        <v>820</v>
      </c>
      <c r="C215" s="407">
        <v>4</v>
      </c>
      <c r="D215" s="407">
        <v>4</v>
      </c>
      <c r="E215" s="147">
        <v>4</v>
      </c>
      <c r="F215" s="147">
        <v>4</v>
      </c>
      <c r="G215" s="147"/>
      <c r="H215" s="180">
        <f t="shared" ref="H215:H217" si="318">IF((E215+G215)/C215&gt;=100%,100%,(E215+G215)/C215)</f>
        <v>1</v>
      </c>
      <c r="I215" s="642">
        <f t="shared" ref="I215:I217" si="319">IF(F215/D215&gt;=100%,100%,F215/D215)</f>
        <v>1</v>
      </c>
      <c r="J215" s="195"/>
      <c r="K215" s="195"/>
      <c r="L215" s="101"/>
      <c r="M215" s="104"/>
      <c r="N215" s="146"/>
      <c r="O215" s="195"/>
      <c r="P215" s="195"/>
      <c r="Q215" s="195"/>
      <c r="R215" s="150"/>
      <c r="S215" s="195"/>
      <c r="T215" s="241">
        <v>15</v>
      </c>
      <c r="U215" s="242">
        <f t="shared" ref="U215:U217" si="320">SUM(E215:F215)</f>
        <v>8</v>
      </c>
      <c r="V215" s="186">
        <f t="shared" ref="V215:V217" si="321">IF(U215/T215&gt;=100%,100%,U215/T215)</f>
        <v>0.53333333333333333</v>
      </c>
      <c r="W215" s="502">
        <v>0.1</v>
      </c>
      <c r="X215" s="502">
        <v>0.2</v>
      </c>
      <c r="Y215" s="544">
        <v>30000000</v>
      </c>
      <c r="Z215" s="376">
        <v>0</v>
      </c>
      <c r="AA215" s="174">
        <v>11373717</v>
      </c>
      <c r="AB215" s="273">
        <f t="shared" si="291"/>
        <v>0.37912390000000001</v>
      </c>
      <c r="AC215" s="269">
        <v>11351087</v>
      </c>
      <c r="AD215" s="189">
        <f t="shared" si="296"/>
        <v>0.37836956666666666</v>
      </c>
      <c r="AE215" s="156">
        <f>+AA215-AC215</f>
        <v>22630</v>
      </c>
      <c r="AF215" s="174">
        <v>1776331</v>
      </c>
      <c r="AG215" s="174">
        <v>1504203</v>
      </c>
      <c r="AH215" s="614">
        <f t="shared" si="297"/>
        <v>0.84680332663225488</v>
      </c>
      <c r="AI215" s="250">
        <v>120000000</v>
      </c>
      <c r="AJ215" s="250">
        <f t="shared" si="317"/>
        <v>11373717</v>
      </c>
      <c r="AK215" s="911">
        <f t="shared" si="298"/>
        <v>9.4780975000000003E-2</v>
      </c>
      <c r="AL215" s="173"/>
      <c r="AM215" s="157"/>
      <c r="AN215" s="152" t="s">
        <v>302</v>
      </c>
      <c r="AO215" s="593" t="s">
        <v>921</v>
      </c>
      <c r="AP215" s="558"/>
      <c r="AQ215" s="93"/>
    </row>
    <row r="216" spans="1:43" ht="12.75" customHeight="1">
      <c r="A216" s="352" t="s">
        <v>648</v>
      </c>
      <c r="B216" s="457" t="s">
        <v>821</v>
      </c>
      <c r="C216" s="408">
        <v>0.9</v>
      </c>
      <c r="D216" s="408">
        <v>0.9</v>
      </c>
      <c r="E216" s="182">
        <v>1</v>
      </c>
      <c r="F216" s="182">
        <v>0.9</v>
      </c>
      <c r="G216" s="147"/>
      <c r="H216" s="180">
        <f t="shared" si="318"/>
        <v>1</v>
      </c>
      <c r="I216" s="642">
        <f t="shared" si="319"/>
        <v>1</v>
      </c>
      <c r="J216" s="195"/>
      <c r="K216" s="195"/>
      <c r="L216" s="101"/>
      <c r="M216" s="104"/>
      <c r="N216" s="146"/>
      <c r="O216" s="195"/>
      <c r="P216" s="195"/>
      <c r="Q216" s="195"/>
      <c r="R216" s="150"/>
      <c r="S216" s="195"/>
      <c r="T216" s="208">
        <v>0.9</v>
      </c>
      <c r="U216" s="242">
        <f t="shared" si="320"/>
        <v>1.9</v>
      </c>
      <c r="V216" s="186">
        <f t="shared" si="321"/>
        <v>1</v>
      </c>
      <c r="W216" s="502">
        <v>0.4</v>
      </c>
      <c r="X216" s="502">
        <v>0.4</v>
      </c>
      <c r="Y216" s="544">
        <v>400000000</v>
      </c>
      <c r="Z216" s="376">
        <v>0</v>
      </c>
      <c r="AA216" s="174">
        <v>326463956</v>
      </c>
      <c r="AB216" s="273">
        <f t="shared" si="291"/>
        <v>0.81615989</v>
      </c>
      <c r="AC216" s="269">
        <v>259712261</v>
      </c>
      <c r="AD216" s="637">
        <f t="shared" si="296"/>
        <v>0.6492806525</v>
      </c>
      <c r="AE216" s="156">
        <f>+AA216-AC216</f>
        <v>66751695</v>
      </c>
      <c r="AF216" s="174">
        <v>56020277</v>
      </c>
      <c r="AG216" s="174">
        <v>54562074</v>
      </c>
      <c r="AH216" s="614">
        <f t="shared" si="297"/>
        <v>0.97397008586730127</v>
      </c>
      <c r="AI216" s="250">
        <v>1050000000</v>
      </c>
      <c r="AJ216" s="250">
        <f t="shared" si="317"/>
        <v>326463956</v>
      </c>
      <c r="AK216" s="911">
        <f t="shared" si="298"/>
        <v>0.31091805333333333</v>
      </c>
      <c r="AL216" s="173"/>
      <c r="AM216" s="157"/>
      <c r="AN216" s="152" t="s">
        <v>302</v>
      </c>
      <c r="AO216" s="593" t="s">
        <v>922</v>
      </c>
      <c r="AP216" s="558"/>
      <c r="AQ216" s="93"/>
    </row>
    <row r="217" spans="1:43" ht="12.75" customHeight="1" thickBot="1">
      <c r="A217" s="352" t="s">
        <v>649</v>
      </c>
      <c r="B217" s="457" t="s">
        <v>822</v>
      </c>
      <c r="C217" s="851">
        <v>10</v>
      </c>
      <c r="D217" s="407">
        <v>10</v>
      </c>
      <c r="E217" s="860">
        <v>31</v>
      </c>
      <c r="F217" s="147">
        <v>25</v>
      </c>
      <c r="G217" s="147"/>
      <c r="H217" s="180">
        <f t="shared" si="318"/>
        <v>1</v>
      </c>
      <c r="I217" s="642">
        <f t="shared" si="319"/>
        <v>1</v>
      </c>
      <c r="J217" s="195"/>
      <c r="K217" s="195"/>
      <c r="L217" s="101"/>
      <c r="M217" s="104"/>
      <c r="N217" s="146"/>
      <c r="O217" s="195"/>
      <c r="P217" s="195"/>
      <c r="Q217" s="195"/>
      <c r="R217" s="150"/>
      <c r="S217" s="195"/>
      <c r="T217" s="241">
        <v>40</v>
      </c>
      <c r="U217" s="242">
        <f t="shared" si="320"/>
        <v>56</v>
      </c>
      <c r="V217" s="186">
        <f t="shared" si="321"/>
        <v>1</v>
      </c>
      <c r="W217" s="503">
        <v>0.4</v>
      </c>
      <c r="X217" s="502">
        <v>0.4</v>
      </c>
      <c r="Y217" s="544">
        <v>225000000</v>
      </c>
      <c r="Z217" s="376">
        <v>0</v>
      </c>
      <c r="AA217" s="174">
        <v>206177162</v>
      </c>
      <c r="AB217" s="273">
        <f t="shared" si="291"/>
        <v>0.91634294222222223</v>
      </c>
      <c r="AC217" s="269">
        <v>206177162</v>
      </c>
      <c r="AD217" s="637">
        <f t="shared" si="296"/>
        <v>0.91634294222222223</v>
      </c>
      <c r="AE217" s="156">
        <f>+AA217-AC217</f>
        <v>0</v>
      </c>
      <c r="AF217" s="174">
        <v>14393900.4</v>
      </c>
      <c r="AG217" s="174">
        <v>1237381.3999999999</v>
      </c>
      <c r="AH217" s="614">
        <f t="shared" si="297"/>
        <v>8.5965677517123848E-2</v>
      </c>
      <c r="AI217" s="250">
        <v>1000000000</v>
      </c>
      <c r="AJ217" s="250">
        <f t="shared" si="317"/>
        <v>206177162</v>
      </c>
      <c r="AK217" s="914">
        <f t="shared" si="298"/>
        <v>0.206177162</v>
      </c>
      <c r="AL217" s="173"/>
      <c r="AM217" s="157"/>
      <c r="AN217" s="152" t="s">
        <v>302</v>
      </c>
      <c r="AO217" s="593" t="s">
        <v>923</v>
      </c>
      <c r="AP217" s="558"/>
      <c r="AQ217" s="93"/>
    </row>
    <row r="218" spans="1:43" ht="57" customHeight="1" thickBot="1">
      <c r="A218" s="314" t="s">
        <v>438</v>
      </c>
      <c r="B218" s="137"/>
      <c r="C218" s="835"/>
      <c r="D218" s="224"/>
      <c r="E218" s="862"/>
      <c r="F218" s="200"/>
      <c r="G218" s="200"/>
      <c r="H218" s="199">
        <f>+(H219*W219)+(H227*W227)</f>
        <v>1</v>
      </c>
      <c r="I218" s="643">
        <f>+(I219*X219)+(I227*X227)</f>
        <v>0.99999999999999933</v>
      </c>
      <c r="J218" s="288"/>
      <c r="K218" s="288"/>
      <c r="L218" s="160"/>
      <c r="M218" s="136"/>
      <c r="N218" s="136"/>
      <c r="O218" s="288"/>
      <c r="P218" s="288"/>
      <c r="Q218" s="288"/>
      <c r="R218" s="202"/>
      <c r="S218" s="288"/>
      <c r="T218" s="289"/>
      <c r="U218" s="259"/>
      <c r="V218" s="198">
        <f>+(V219*W219)+(V227*W227)</f>
        <v>0.54</v>
      </c>
      <c r="W218" s="883">
        <v>0.1</v>
      </c>
      <c r="X218" s="470">
        <v>0.1</v>
      </c>
      <c r="Y218" s="135">
        <f>+Y219+Y227</f>
        <v>355000000</v>
      </c>
      <c r="Z218" s="135">
        <f>+Z219+Z227</f>
        <v>0</v>
      </c>
      <c r="AA218" s="135">
        <f>+AA219+AA227</f>
        <v>354408889</v>
      </c>
      <c r="AB218" s="271">
        <f t="shared" si="291"/>
        <v>0.99833489859154934</v>
      </c>
      <c r="AC218" s="135">
        <f>+AC219+AC227</f>
        <v>344918056</v>
      </c>
      <c r="AD218" s="187">
        <f t="shared" si="296"/>
        <v>0.9716001577464789</v>
      </c>
      <c r="AE218" s="135">
        <f>+AE219+AE227</f>
        <v>9490833</v>
      </c>
      <c r="AF218" s="135">
        <f>+AF219+AF227</f>
        <v>16571104</v>
      </c>
      <c r="AG218" s="135">
        <f>+AG219+AG227</f>
        <v>14283762</v>
      </c>
      <c r="AH218" s="612">
        <f t="shared" si="297"/>
        <v>0.86196803785674148</v>
      </c>
      <c r="AI218" s="135">
        <f t="shared" ref="AI218" si="322">+AI219+AI227</f>
        <v>1570000000</v>
      </c>
      <c r="AJ218" s="135">
        <f>+AJ219+AJ227</f>
        <v>354408889</v>
      </c>
      <c r="AK218" s="915">
        <f t="shared" si="298"/>
        <v>0.22573814585987262</v>
      </c>
      <c r="AL218" s="172"/>
      <c r="AM218" s="160" t="s">
        <v>301</v>
      </c>
      <c r="AN218" s="136"/>
      <c r="AO218" s="135"/>
      <c r="AP218" s="556"/>
      <c r="AQ218" s="97"/>
    </row>
    <row r="219" spans="1:43" ht="42" customHeight="1">
      <c r="A219" s="315" t="s">
        <v>490</v>
      </c>
      <c r="B219" s="138"/>
      <c r="C219" s="849"/>
      <c r="D219" s="223"/>
      <c r="E219" s="873"/>
      <c r="F219" s="139"/>
      <c r="G219" s="139"/>
      <c r="H219" s="161">
        <f>+SUMPRODUCT(H220:H226,W220:W226)</f>
        <v>1</v>
      </c>
      <c r="I219" s="161">
        <f>+SUMPRODUCT(I220:I226,X220:X226)</f>
        <v>0.99999999999999911</v>
      </c>
      <c r="J219" s="194"/>
      <c r="K219" s="194"/>
      <c r="L219" s="141"/>
      <c r="M219" s="142"/>
      <c r="N219" s="142"/>
      <c r="O219" s="194"/>
      <c r="P219" s="194"/>
      <c r="Q219" s="194"/>
      <c r="R219" s="163"/>
      <c r="S219" s="194"/>
      <c r="T219" s="240"/>
      <c r="U219" s="258"/>
      <c r="V219" s="177">
        <f>+SUMPRODUCT(V220:V226,W220:W226)</f>
        <v>0.55000000000000004</v>
      </c>
      <c r="W219" s="899">
        <v>0.8</v>
      </c>
      <c r="X219" s="471">
        <v>0.8</v>
      </c>
      <c r="Y219" s="144">
        <f>SUM(Y220:Y226)</f>
        <v>305000000</v>
      </c>
      <c r="Z219" s="144">
        <f>SUM(Z220:Z226)</f>
        <v>0</v>
      </c>
      <c r="AA219" s="144">
        <f>SUM(AA220:AA226)</f>
        <v>304434731</v>
      </c>
      <c r="AB219" s="272">
        <f t="shared" si="291"/>
        <v>0.99814665901639343</v>
      </c>
      <c r="AC219" s="144">
        <f>SUM(AC220:AC226)</f>
        <v>296418361</v>
      </c>
      <c r="AD219" s="188">
        <f t="shared" si="296"/>
        <v>0.97186347868852463</v>
      </c>
      <c r="AE219" s="144">
        <f>SUM(AE220:AE226)</f>
        <v>8016370</v>
      </c>
      <c r="AF219" s="144">
        <f>SUM(AF220:AF226)</f>
        <v>14580008</v>
      </c>
      <c r="AG219" s="144">
        <f>SUM(AG220:AG226)</f>
        <v>12627135</v>
      </c>
      <c r="AH219" s="613">
        <f t="shared" si="297"/>
        <v>0.86605816677192493</v>
      </c>
      <c r="AI219" s="144">
        <f t="shared" ref="AI219" si="323">SUM(AI220:AI226)</f>
        <v>1250000000</v>
      </c>
      <c r="AJ219" s="144">
        <f>SUM(AJ220:AJ226)</f>
        <v>304434731</v>
      </c>
      <c r="AK219" s="910">
        <f t="shared" si="298"/>
        <v>0.2435477848</v>
      </c>
      <c r="AL219" s="179"/>
      <c r="AM219" s="165"/>
      <c r="AN219" s="553"/>
      <c r="AO219" s="144"/>
      <c r="AP219" s="557"/>
      <c r="AQ219" s="98"/>
    </row>
    <row r="220" spans="1:43" ht="12.75" customHeight="1">
      <c r="A220" s="353" t="s">
        <v>650</v>
      </c>
      <c r="B220" s="458" t="s">
        <v>823</v>
      </c>
      <c r="C220" s="409">
        <v>1</v>
      </c>
      <c r="D220" s="409">
        <v>1</v>
      </c>
      <c r="E220" s="147">
        <v>1</v>
      </c>
      <c r="F220" s="679">
        <v>1</v>
      </c>
      <c r="G220" s="147"/>
      <c r="H220" s="180">
        <f t="shared" ref="H220" si="324">IF((E220+G220)/C220&gt;=100%,100%,(E220+G220)/C220)</f>
        <v>1</v>
      </c>
      <c r="I220" s="642">
        <f t="shared" ref="I220:I226" si="325">IF(F220/D220&gt;=100%,100%,F220/D220)</f>
        <v>1</v>
      </c>
      <c r="J220" s="195"/>
      <c r="K220" s="195"/>
      <c r="L220" s="101"/>
      <c r="M220" s="104"/>
      <c r="N220" s="146"/>
      <c r="O220" s="195"/>
      <c r="P220" s="195"/>
      <c r="Q220" s="195"/>
      <c r="R220" s="150"/>
      <c r="S220" s="195"/>
      <c r="T220" s="306">
        <v>4</v>
      </c>
      <c r="U220" s="242">
        <f t="shared" ref="U220" si="326">SUM(E220:F220)</f>
        <v>2</v>
      </c>
      <c r="V220" s="186">
        <f t="shared" ref="V220" si="327">IF(U220/T220&gt;=100%,100%,U220/T220)</f>
        <v>0.5</v>
      </c>
      <c r="W220" s="479">
        <v>0.2</v>
      </c>
      <c r="X220" s="472">
        <f>+W220*1.11111111111111</f>
        <v>0.22222222222222202</v>
      </c>
      <c r="Y220" s="545">
        <v>50000000</v>
      </c>
      <c r="Z220" s="377">
        <v>0</v>
      </c>
      <c r="AA220" s="174">
        <v>49974158</v>
      </c>
      <c r="AB220" s="273">
        <f t="shared" si="291"/>
        <v>0.99948316000000004</v>
      </c>
      <c r="AC220" s="269">
        <v>49189809</v>
      </c>
      <c r="AD220" s="637">
        <f t="shared" si="296"/>
        <v>0.98379618000000002</v>
      </c>
      <c r="AE220" s="156">
        <f t="shared" ref="AE220:AE226" si="328">+AA220-AC220</f>
        <v>784349</v>
      </c>
      <c r="AF220" s="174">
        <v>2074055</v>
      </c>
      <c r="AG220" s="174">
        <v>1782414</v>
      </c>
      <c r="AH220" s="614">
        <f t="shared" si="297"/>
        <v>0.85938608185414567</v>
      </c>
      <c r="AI220" s="250">
        <v>200000000</v>
      </c>
      <c r="AJ220" s="250">
        <f t="shared" ref="AJ220:AJ228" si="329">+SUM(Z220:AA220)</f>
        <v>49974158</v>
      </c>
      <c r="AK220" s="911">
        <f t="shared" si="298"/>
        <v>0.24987079000000001</v>
      </c>
      <c r="AL220" s="173"/>
      <c r="AM220" s="157"/>
      <c r="AN220" s="152" t="s">
        <v>302</v>
      </c>
      <c r="AO220" s="594" t="s">
        <v>924</v>
      </c>
      <c r="AP220" s="558"/>
      <c r="AQ220" s="93"/>
    </row>
    <row r="221" spans="1:43" ht="12.75" customHeight="1">
      <c r="A221" s="353" t="s">
        <v>651</v>
      </c>
      <c r="B221" s="458" t="s">
        <v>824</v>
      </c>
      <c r="C221" s="409">
        <v>0.1</v>
      </c>
      <c r="D221" s="685">
        <v>1</v>
      </c>
      <c r="E221" s="859">
        <v>0</v>
      </c>
      <c r="F221" s="147">
        <v>1</v>
      </c>
      <c r="G221" s="684">
        <v>0.1</v>
      </c>
      <c r="H221" s="180">
        <f t="shared" ref="H221:H226" si="330">IF((E221+G221)/C221&gt;=100%,100%,(E221+G221)/C221)</f>
        <v>1</v>
      </c>
      <c r="I221" s="642">
        <f t="shared" si="325"/>
        <v>1</v>
      </c>
      <c r="J221" s="195"/>
      <c r="K221" s="195"/>
      <c r="L221" s="101"/>
      <c r="M221" s="104"/>
      <c r="N221" s="146"/>
      <c r="O221" s="195"/>
      <c r="P221" s="195"/>
      <c r="Q221" s="195"/>
      <c r="R221" s="150"/>
      <c r="S221" s="195"/>
      <c r="T221" s="306">
        <v>1</v>
      </c>
      <c r="U221" s="242">
        <f t="shared" ref="U221:U226" si="331">SUM(E221:F221)</f>
        <v>1</v>
      </c>
      <c r="V221" s="186">
        <f t="shared" ref="V221:V226" si="332">IF(U221/T221&gt;=100%,100%,U221/T221)</f>
        <v>1</v>
      </c>
      <c r="W221" s="479">
        <v>0.15</v>
      </c>
      <c r="X221" s="472">
        <f>+W221*1.11111111111111</f>
        <v>0.16666666666666649</v>
      </c>
      <c r="Y221" s="625">
        <v>40000000</v>
      </c>
      <c r="Z221" s="377">
        <v>0</v>
      </c>
      <c r="AA221" s="174">
        <v>39979542</v>
      </c>
      <c r="AB221" s="273">
        <f t="shared" si="291"/>
        <v>0.99948855000000003</v>
      </c>
      <c r="AC221" s="269">
        <v>39470500</v>
      </c>
      <c r="AD221" s="189">
        <f t="shared" si="296"/>
        <v>0.98676249999999999</v>
      </c>
      <c r="AE221" s="156">
        <f t="shared" si="328"/>
        <v>509042</v>
      </c>
      <c r="AF221" s="174">
        <v>2074055</v>
      </c>
      <c r="AG221" s="174">
        <v>1756315</v>
      </c>
      <c r="AH221" s="614">
        <f t="shared" si="297"/>
        <v>0.84680251970174369</v>
      </c>
      <c r="AI221" s="250">
        <v>240000000</v>
      </c>
      <c r="AJ221" s="250">
        <f t="shared" si="329"/>
        <v>39979542</v>
      </c>
      <c r="AK221" s="911">
        <f t="shared" si="298"/>
        <v>0.16658142500000001</v>
      </c>
      <c r="AL221" s="173"/>
      <c r="AM221" s="157"/>
      <c r="AN221" s="152" t="s">
        <v>302</v>
      </c>
      <c r="AO221" s="2243" t="s">
        <v>924</v>
      </c>
      <c r="AP221" s="558"/>
      <c r="AQ221" s="93"/>
    </row>
    <row r="222" spans="1:43" ht="12.75" customHeight="1">
      <c r="A222" s="353" t="s">
        <v>652</v>
      </c>
      <c r="B222" s="458" t="s">
        <v>825</v>
      </c>
      <c r="C222" s="409">
        <v>0.1</v>
      </c>
      <c r="D222" s="409">
        <v>1</v>
      </c>
      <c r="E222" s="859">
        <v>0</v>
      </c>
      <c r="F222" s="678">
        <v>1</v>
      </c>
      <c r="G222" s="684">
        <v>0.1</v>
      </c>
      <c r="H222" s="180">
        <f t="shared" si="330"/>
        <v>1</v>
      </c>
      <c r="I222" s="642">
        <f t="shared" si="325"/>
        <v>1</v>
      </c>
      <c r="J222" s="195"/>
      <c r="K222" s="195"/>
      <c r="L222" s="101"/>
      <c r="M222" s="104"/>
      <c r="N222" s="146"/>
      <c r="O222" s="195"/>
      <c r="P222" s="195"/>
      <c r="Q222" s="195"/>
      <c r="R222" s="150"/>
      <c r="S222" s="195"/>
      <c r="T222" s="306">
        <v>2</v>
      </c>
      <c r="U222" s="242">
        <f t="shared" si="331"/>
        <v>1</v>
      </c>
      <c r="V222" s="186">
        <f t="shared" si="332"/>
        <v>0.5</v>
      </c>
      <c r="W222" s="479">
        <v>0.15</v>
      </c>
      <c r="X222" s="472">
        <f>+W222*1.11111111111111</f>
        <v>0.16666666666666649</v>
      </c>
      <c r="Y222" s="626">
        <v>40000000</v>
      </c>
      <c r="Z222" s="377">
        <v>0</v>
      </c>
      <c r="AA222" s="174">
        <v>39979542</v>
      </c>
      <c r="AB222" s="273">
        <f t="shared" si="291"/>
        <v>0.99948855000000003</v>
      </c>
      <c r="AC222" s="269">
        <v>39358599</v>
      </c>
      <c r="AD222" s="189">
        <f t="shared" si="296"/>
        <v>0.98396497500000002</v>
      </c>
      <c r="AE222" s="156">
        <f t="shared" si="328"/>
        <v>620943</v>
      </c>
      <c r="AF222" s="174">
        <v>2074055</v>
      </c>
      <c r="AG222" s="174">
        <v>1782414</v>
      </c>
      <c r="AH222" s="614">
        <f t="shared" si="297"/>
        <v>0.85938608185414567</v>
      </c>
      <c r="AI222" s="250">
        <v>0</v>
      </c>
      <c r="AJ222" s="250">
        <f t="shared" si="329"/>
        <v>39979542</v>
      </c>
      <c r="AK222" s="911" t="e">
        <f t="shared" si="298"/>
        <v>#DIV/0!</v>
      </c>
      <c r="AL222" s="173"/>
      <c r="AM222" s="157"/>
      <c r="AN222" s="152" t="s">
        <v>302</v>
      </c>
      <c r="AO222" s="2206"/>
      <c r="AP222" s="558"/>
      <c r="AQ222" s="93"/>
    </row>
    <row r="223" spans="1:43" ht="12.75" customHeight="1">
      <c r="A223" s="353" t="s">
        <v>653</v>
      </c>
      <c r="B223" s="458" t="s">
        <v>826</v>
      </c>
      <c r="C223" s="409">
        <v>0.1</v>
      </c>
      <c r="D223" s="409">
        <v>1</v>
      </c>
      <c r="E223" s="859">
        <v>0</v>
      </c>
      <c r="F223" s="678">
        <v>1</v>
      </c>
      <c r="G223" s="684">
        <v>0.1</v>
      </c>
      <c r="H223" s="180">
        <f t="shared" si="330"/>
        <v>1</v>
      </c>
      <c r="I223" s="642">
        <f t="shared" si="325"/>
        <v>1</v>
      </c>
      <c r="J223" s="195"/>
      <c r="K223" s="195"/>
      <c r="L223" s="101"/>
      <c r="M223" s="104"/>
      <c r="N223" s="146"/>
      <c r="O223" s="195"/>
      <c r="P223" s="195"/>
      <c r="Q223" s="195"/>
      <c r="R223" s="150"/>
      <c r="S223" s="195"/>
      <c r="T223" s="306">
        <v>3</v>
      </c>
      <c r="U223" s="242">
        <f t="shared" si="331"/>
        <v>1</v>
      </c>
      <c r="V223" s="186">
        <f t="shared" si="332"/>
        <v>0.33333333333333331</v>
      </c>
      <c r="W223" s="479">
        <v>0.15</v>
      </c>
      <c r="X223" s="472">
        <f>+W223*1.11111111111111</f>
        <v>0.16666666666666649</v>
      </c>
      <c r="Y223" s="626">
        <v>30000000</v>
      </c>
      <c r="Z223" s="377">
        <v>0</v>
      </c>
      <c r="AA223" s="174">
        <v>29755339</v>
      </c>
      <c r="AB223" s="273">
        <f t="shared" si="291"/>
        <v>0.99184463333333328</v>
      </c>
      <c r="AC223" s="269">
        <v>27987507</v>
      </c>
      <c r="AD223" s="637">
        <f t="shared" si="296"/>
        <v>0.93291690000000005</v>
      </c>
      <c r="AE223" s="156">
        <f t="shared" si="328"/>
        <v>1767832</v>
      </c>
      <c r="AF223" s="174">
        <v>1555541</v>
      </c>
      <c r="AG223" s="174">
        <v>1317236</v>
      </c>
      <c r="AH223" s="614">
        <f t="shared" si="297"/>
        <v>0.84680249508048966</v>
      </c>
      <c r="AI223" s="250">
        <v>0</v>
      </c>
      <c r="AJ223" s="250">
        <f t="shared" si="329"/>
        <v>29755339</v>
      </c>
      <c r="AK223" s="911" t="e">
        <f t="shared" si="298"/>
        <v>#DIV/0!</v>
      </c>
      <c r="AL223" s="173"/>
      <c r="AM223" s="157"/>
      <c r="AN223" s="152" t="s">
        <v>302</v>
      </c>
      <c r="AO223" s="2206"/>
      <c r="AP223" s="558"/>
      <c r="AQ223" s="93"/>
    </row>
    <row r="224" spans="1:43" ht="12.75" customHeight="1">
      <c r="A224" s="353" t="s">
        <v>654</v>
      </c>
      <c r="B224" s="458" t="s">
        <v>827</v>
      </c>
      <c r="C224" s="409">
        <v>1</v>
      </c>
      <c r="D224" s="409">
        <v>1</v>
      </c>
      <c r="E224" s="859">
        <v>1</v>
      </c>
      <c r="F224" s="678">
        <v>1</v>
      </c>
      <c r="G224" s="147"/>
      <c r="H224" s="180">
        <f t="shared" si="330"/>
        <v>1</v>
      </c>
      <c r="I224" s="642">
        <f t="shared" si="325"/>
        <v>1</v>
      </c>
      <c r="J224" s="195"/>
      <c r="K224" s="195"/>
      <c r="L224" s="101"/>
      <c r="M224" s="104"/>
      <c r="N224" s="146"/>
      <c r="O224" s="195"/>
      <c r="P224" s="195"/>
      <c r="Q224" s="195"/>
      <c r="R224" s="150"/>
      <c r="S224" s="195"/>
      <c r="T224" s="306">
        <v>4</v>
      </c>
      <c r="U224" s="242">
        <f t="shared" si="331"/>
        <v>2</v>
      </c>
      <c r="V224" s="186">
        <f t="shared" si="332"/>
        <v>0.5</v>
      </c>
      <c r="W224" s="479">
        <v>0.15</v>
      </c>
      <c r="X224" s="472">
        <f>+W224*1.11111111111111</f>
        <v>0.16666666666666649</v>
      </c>
      <c r="Y224" s="545">
        <v>125000000</v>
      </c>
      <c r="Z224" s="377">
        <v>0</v>
      </c>
      <c r="AA224" s="174">
        <v>124756379</v>
      </c>
      <c r="AB224" s="273">
        <f t="shared" si="291"/>
        <v>0.998051032</v>
      </c>
      <c r="AC224" s="269">
        <v>120732647</v>
      </c>
      <c r="AD224" s="189">
        <f t="shared" si="296"/>
        <v>0.96586117599999999</v>
      </c>
      <c r="AE224" s="156">
        <f t="shared" si="328"/>
        <v>4023732</v>
      </c>
      <c r="AF224" s="174">
        <v>5185139</v>
      </c>
      <c r="AG224" s="174">
        <v>4390791</v>
      </c>
      <c r="AH224" s="614">
        <f t="shared" si="297"/>
        <v>0.84680294973770232</v>
      </c>
      <c r="AI224" s="250">
        <v>650000000</v>
      </c>
      <c r="AJ224" s="250">
        <f t="shared" si="329"/>
        <v>124756379</v>
      </c>
      <c r="AK224" s="911">
        <f t="shared" si="298"/>
        <v>0.19193289076923076</v>
      </c>
      <c r="AL224" s="173"/>
      <c r="AM224" s="157"/>
      <c r="AN224" s="152" t="s">
        <v>302</v>
      </c>
      <c r="AO224" s="2206"/>
      <c r="AP224" s="558"/>
      <c r="AQ224" s="93"/>
    </row>
    <row r="225" spans="1:43" ht="12.75" customHeight="1">
      <c r="A225" s="353" t="s">
        <v>655</v>
      </c>
      <c r="B225" s="458" t="s">
        <v>828</v>
      </c>
      <c r="C225" s="409">
        <v>1</v>
      </c>
      <c r="D225" s="409">
        <v>0</v>
      </c>
      <c r="E225" s="859">
        <v>1</v>
      </c>
      <c r="F225" s="147">
        <v>0</v>
      </c>
      <c r="G225" s="147"/>
      <c r="H225" s="180">
        <f t="shared" si="330"/>
        <v>1</v>
      </c>
      <c r="I225" s="642">
        <v>0</v>
      </c>
      <c r="J225" s="195"/>
      <c r="K225" s="195"/>
      <c r="L225" s="101"/>
      <c r="M225" s="104"/>
      <c r="N225" s="146"/>
      <c r="O225" s="195"/>
      <c r="P225" s="195"/>
      <c r="Q225" s="195"/>
      <c r="R225" s="150"/>
      <c r="S225" s="195"/>
      <c r="T225" s="306">
        <v>2</v>
      </c>
      <c r="U225" s="242">
        <f t="shared" si="331"/>
        <v>1</v>
      </c>
      <c r="V225" s="186">
        <f t="shared" si="332"/>
        <v>0.5</v>
      </c>
      <c r="W225" s="479">
        <v>0.1</v>
      </c>
      <c r="X225" s="472">
        <v>0</v>
      </c>
      <c r="Y225" s="545">
        <v>0</v>
      </c>
      <c r="Z225" s="377">
        <v>0</v>
      </c>
      <c r="AA225" s="174">
        <v>0</v>
      </c>
      <c r="AB225" s="273" t="e">
        <f t="shared" si="291"/>
        <v>#DIV/0!</v>
      </c>
      <c r="AC225" s="269">
        <v>0</v>
      </c>
      <c r="AD225" s="189" t="e">
        <f t="shared" si="296"/>
        <v>#DIV/0!</v>
      </c>
      <c r="AE225" s="156">
        <f t="shared" si="328"/>
        <v>0</v>
      </c>
      <c r="AF225" s="174">
        <v>1010727</v>
      </c>
      <c r="AG225" s="174">
        <v>998728</v>
      </c>
      <c r="AH225" s="614">
        <f t="shared" si="297"/>
        <v>0.9881283472193777</v>
      </c>
      <c r="AI225" s="250">
        <v>80000000</v>
      </c>
      <c r="AJ225" s="250">
        <f t="shared" si="329"/>
        <v>0</v>
      </c>
      <c r="AK225" s="911">
        <f t="shared" si="298"/>
        <v>0</v>
      </c>
      <c r="AL225" s="173"/>
      <c r="AM225" s="157"/>
      <c r="AN225" s="152" t="s">
        <v>302</v>
      </c>
      <c r="AO225" s="2205"/>
      <c r="AP225" s="558"/>
      <c r="AQ225" s="93"/>
    </row>
    <row r="226" spans="1:43" ht="12.75" customHeight="1">
      <c r="A226" s="353" t="s">
        <v>656</v>
      </c>
      <c r="B226" s="458" t="s">
        <v>829</v>
      </c>
      <c r="C226" s="409">
        <v>1</v>
      </c>
      <c r="D226" s="409">
        <v>1</v>
      </c>
      <c r="E226" s="859">
        <v>1</v>
      </c>
      <c r="F226" s="678">
        <v>1</v>
      </c>
      <c r="G226" s="147"/>
      <c r="H226" s="180">
        <f t="shared" si="330"/>
        <v>1</v>
      </c>
      <c r="I226" s="642">
        <f t="shared" si="325"/>
        <v>1</v>
      </c>
      <c r="J226" s="195"/>
      <c r="K226" s="195"/>
      <c r="L226" s="101"/>
      <c r="M226" s="104"/>
      <c r="N226" s="146"/>
      <c r="O226" s="195"/>
      <c r="P226" s="195"/>
      <c r="Q226" s="195"/>
      <c r="R226" s="150"/>
      <c r="S226" s="195"/>
      <c r="T226" s="306">
        <v>4</v>
      </c>
      <c r="U226" s="242">
        <f t="shared" si="331"/>
        <v>2</v>
      </c>
      <c r="V226" s="186">
        <f t="shared" si="332"/>
        <v>0.5</v>
      </c>
      <c r="W226" s="479">
        <v>0.1</v>
      </c>
      <c r="X226" s="472">
        <f>+W226*1.11111111111111</f>
        <v>0.11111111111111101</v>
      </c>
      <c r="Y226" s="545">
        <v>20000000</v>
      </c>
      <c r="Z226" s="377">
        <v>0</v>
      </c>
      <c r="AA226" s="174">
        <v>19989771</v>
      </c>
      <c r="AB226" s="273">
        <f t="shared" si="291"/>
        <v>0.99948855000000003</v>
      </c>
      <c r="AC226" s="269">
        <v>19679299</v>
      </c>
      <c r="AD226" s="189">
        <f t="shared" si="296"/>
        <v>0.98396494999999995</v>
      </c>
      <c r="AE226" s="156">
        <f t="shared" si="328"/>
        <v>310472</v>
      </c>
      <c r="AF226" s="174">
        <v>606436</v>
      </c>
      <c r="AG226" s="174">
        <v>599237</v>
      </c>
      <c r="AH226" s="614">
        <f t="shared" si="297"/>
        <v>0.98812900289560646</v>
      </c>
      <c r="AI226" s="250">
        <v>80000000</v>
      </c>
      <c r="AJ226" s="250">
        <f t="shared" si="329"/>
        <v>19989771</v>
      </c>
      <c r="AK226" s="911">
        <f t="shared" si="298"/>
        <v>0.24987213750000001</v>
      </c>
      <c r="AL226" s="173"/>
      <c r="AM226" s="157"/>
      <c r="AN226" s="152" t="s">
        <v>302</v>
      </c>
      <c r="AO226" s="594" t="s">
        <v>924</v>
      </c>
      <c r="AP226" s="558"/>
      <c r="AQ226" s="93"/>
    </row>
    <row r="227" spans="1:43" ht="12.75" customHeight="1">
      <c r="A227" s="315" t="s">
        <v>491</v>
      </c>
      <c r="B227" s="138"/>
      <c r="C227" s="223"/>
      <c r="D227" s="223"/>
      <c r="E227" s="139"/>
      <c r="F227" s="139"/>
      <c r="G227" s="139"/>
      <c r="H227" s="140">
        <f>+SUMPRODUCT(H228:H228,W228:W228)</f>
        <v>1</v>
      </c>
      <c r="I227" s="161">
        <f>+SUMPRODUCT(I228:I228,X228:X228)</f>
        <v>1</v>
      </c>
      <c r="J227" s="194"/>
      <c r="K227" s="194"/>
      <c r="L227" s="141"/>
      <c r="M227" s="142"/>
      <c r="N227" s="142"/>
      <c r="O227" s="194"/>
      <c r="P227" s="194"/>
      <c r="Q227" s="194"/>
      <c r="R227" s="163"/>
      <c r="S227" s="194"/>
      <c r="T227" s="240"/>
      <c r="U227" s="261"/>
      <c r="V227" s="177">
        <f>+SUMPRODUCT(V228:V228,W228:W228)</f>
        <v>0.5</v>
      </c>
      <c r="W227" s="471">
        <v>0.2</v>
      </c>
      <c r="X227" s="471">
        <v>0.2</v>
      </c>
      <c r="Y227" s="144">
        <f>SUM(Y228)</f>
        <v>50000000</v>
      </c>
      <c r="Z227" s="144">
        <f>SUM(Z228)</f>
        <v>0</v>
      </c>
      <c r="AA227" s="144">
        <f>SUM(AA228)</f>
        <v>49974158</v>
      </c>
      <c r="AB227" s="272">
        <f t="shared" si="291"/>
        <v>0.99948316000000004</v>
      </c>
      <c r="AC227" s="144">
        <f>SUM(AC228)</f>
        <v>48499695</v>
      </c>
      <c r="AD227" s="636">
        <f t="shared" si="296"/>
        <v>0.96999389999999996</v>
      </c>
      <c r="AE227" s="144">
        <f>SUM(AE228)</f>
        <v>1474463</v>
      </c>
      <c r="AF227" s="144">
        <f>SUM(AF228)</f>
        <v>1991096</v>
      </c>
      <c r="AG227" s="144">
        <f>SUM(AG228)</f>
        <v>1656627</v>
      </c>
      <c r="AH227" s="613">
        <f t="shared" si="297"/>
        <v>0.83201764254460864</v>
      </c>
      <c r="AI227" s="144">
        <f t="shared" ref="AI227:AJ227" si="333">SUM(AI228)</f>
        <v>320000000</v>
      </c>
      <c r="AJ227" s="144">
        <f t="shared" si="333"/>
        <v>49974158</v>
      </c>
      <c r="AK227" s="910">
        <f t="shared" si="298"/>
        <v>0.15616924374999999</v>
      </c>
      <c r="AL227" s="179"/>
      <c r="AM227" s="165"/>
      <c r="AN227" s="553"/>
      <c r="AO227" s="144"/>
      <c r="AP227" s="557"/>
      <c r="AQ227" s="98"/>
    </row>
    <row r="228" spans="1:43" ht="43.5" customHeight="1" thickBot="1">
      <c r="A228" s="354" t="s">
        <v>657</v>
      </c>
      <c r="B228" s="459" t="s">
        <v>830</v>
      </c>
      <c r="C228" s="852">
        <v>1</v>
      </c>
      <c r="D228" s="409">
        <v>1</v>
      </c>
      <c r="E228" s="860">
        <v>1</v>
      </c>
      <c r="F228" s="147">
        <v>1</v>
      </c>
      <c r="G228" s="147"/>
      <c r="H228" s="180">
        <f t="shared" ref="H228" si="334">IF((E228+G228)/C228&gt;=100%,100%,(E228+G228)/C228)</f>
        <v>1</v>
      </c>
      <c r="I228" s="642">
        <f t="shared" ref="I228" si="335">IF(F228/D228&gt;=100%,100%,F228/D228)</f>
        <v>1</v>
      </c>
      <c r="J228" s="195"/>
      <c r="K228" s="195"/>
      <c r="L228" s="101"/>
      <c r="M228" s="104"/>
      <c r="N228" s="146"/>
      <c r="O228" s="195"/>
      <c r="P228" s="195"/>
      <c r="Q228" s="195"/>
      <c r="R228" s="150"/>
      <c r="S228" s="195"/>
      <c r="T228" s="306">
        <v>4</v>
      </c>
      <c r="U228" s="242">
        <f t="shared" ref="U228" si="336">SUM(E228:F228)</f>
        <v>2</v>
      </c>
      <c r="V228" s="186">
        <f t="shared" ref="V228" si="337">IF(U228/T228&gt;=100%,100%,U228/T228)</f>
        <v>0.5</v>
      </c>
      <c r="W228" s="477">
        <v>1</v>
      </c>
      <c r="X228" s="472">
        <v>1</v>
      </c>
      <c r="Y228" s="546">
        <v>50000000</v>
      </c>
      <c r="Z228" s="378">
        <v>0</v>
      </c>
      <c r="AA228" s="174">
        <v>49974158</v>
      </c>
      <c r="AB228" s="273">
        <f t="shared" si="291"/>
        <v>0.99948316000000004</v>
      </c>
      <c r="AC228" s="269">
        <v>48499695</v>
      </c>
      <c r="AD228" s="637">
        <f t="shared" si="296"/>
        <v>0.96999389999999996</v>
      </c>
      <c r="AE228" s="156">
        <f>+AA228-AC228</f>
        <v>1474463</v>
      </c>
      <c r="AF228" s="174">
        <v>1991096</v>
      </c>
      <c r="AG228" s="174">
        <v>1656627</v>
      </c>
      <c r="AH228" s="614">
        <f t="shared" si="297"/>
        <v>0.83201764254460864</v>
      </c>
      <c r="AI228" s="250">
        <v>320000000</v>
      </c>
      <c r="AJ228" s="250">
        <f t="shared" si="329"/>
        <v>49974158</v>
      </c>
      <c r="AK228" s="911">
        <f t="shared" si="298"/>
        <v>0.15616924374999999</v>
      </c>
      <c r="AL228" s="173"/>
      <c r="AM228" s="157"/>
      <c r="AN228" s="152" t="s">
        <v>302</v>
      </c>
      <c r="AO228" s="595" t="s">
        <v>924</v>
      </c>
      <c r="AP228" s="558"/>
      <c r="AQ228" s="93"/>
    </row>
    <row r="229" spans="1:43" ht="57" customHeight="1" thickBot="1">
      <c r="A229" s="314" t="s">
        <v>439</v>
      </c>
      <c r="B229" s="137"/>
      <c r="C229" s="835"/>
      <c r="D229" s="224"/>
      <c r="E229" s="862"/>
      <c r="F229" s="200"/>
      <c r="G229" s="200"/>
      <c r="H229" s="643">
        <f>+(H230*W230)+(H234*W234)</f>
        <v>0.89200000000000013</v>
      </c>
      <c r="I229" s="643">
        <f>+(I230*X230)+(I234*X234)</f>
        <v>1</v>
      </c>
      <c r="J229" s="288"/>
      <c r="K229" s="288"/>
      <c r="L229" s="160"/>
      <c r="M229" s="136"/>
      <c r="N229" s="136"/>
      <c r="O229" s="288"/>
      <c r="P229" s="288"/>
      <c r="Q229" s="288"/>
      <c r="R229" s="202"/>
      <c r="S229" s="288"/>
      <c r="T229" s="289"/>
      <c r="U229" s="259"/>
      <c r="V229" s="198">
        <f>+(V230*W30)+(V234*W234)</f>
        <v>0.55844444444444452</v>
      </c>
      <c r="W229" s="883">
        <v>0.1</v>
      </c>
      <c r="X229" s="470">
        <v>0.1</v>
      </c>
      <c r="Y229" s="135">
        <f>+Y230+Y234</f>
        <v>910000000</v>
      </c>
      <c r="Z229" s="135">
        <f>+Z230+Z234</f>
        <v>0</v>
      </c>
      <c r="AA229" s="135">
        <f>+AA230+AA234</f>
        <v>909529462</v>
      </c>
      <c r="AB229" s="271">
        <f t="shared" si="291"/>
        <v>0.99948292527472526</v>
      </c>
      <c r="AC229" s="135">
        <f>+AC230+AC234</f>
        <v>753471385</v>
      </c>
      <c r="AD229" s="634">
        <f t="shared" si="296"/>
        <v>0.82799053296703296</v>
      </c>
      <c r="AE229" s="135">
        <f>+AE230+AE234</f>
        <v>156058077</v>
      </c>
      <c r="AF229" s="135">
        <f>+AF230+AF234</f>
        <v>143230979</v>
      </c>
      <c r="AG229" s="135">
        <f>+AG230+AG234</f>
        <v>127668256</v>
      </c>
      <c r="AH229" s="612">
        <f t="shared" si="297"/>
        <v>0.89134527244975403</v>
      </c>
      <c r="AI229" s="135">
        <f t="shared" ref="AI229" si="338">+AI230+AI234</f>
        <v>5700000000</v>
      </c>
      <c r="AJ229" s="135">
        <f>+AJ230+AJ234</f>
        <v>909529462</v>
      </c>
      <c r="AK229" s="915">
        <f t="shared" si="298"/>
        <v>0.15956657228070176</v>
      </c>
      <c r="AL229" s="172"/>
      <c r="AM229" s="160" t="s">
        <v>301</v>
      </c>
      <c r="AN229" s="136"/>
      <c r="AO229" s="135"/>
      <c r="AP229" s="556"/>
      <c r="AQ229" s="97"/>
    </row>
    <row r="230" spans="1:43" ht="12.75" customHeight="1">
      <c r="A230" s="315" t="s">
        <v>492</v>
      </c>
      <c r="B230" s="138"/>
      <c r="C230" s="849"/>
      <c r="D230" s="223"/>
      <c r="E230" s="873"/>
      <c r="F230" s="139"/>
      <c r="G230" s="139"/>
      <c r="H230" s="161">
        <f>+SUMPRODUCT(H231:H233,W231:W233)</f>
        <v>0.7</v>
      </c>
      <c r="I230" s="161">
        <f>+SUMPRODUCT(I231:I233,X231:X233)</f>
        <v>1</v>
      </c>
      <c r="J230" s="194"/>
      <c r="K230" s="194"/>
      <c r="L230" s="141"/>
      <c r="M230" s="142"/>
      <c r="N230" s="142"/>
      <c r="O230" s="194"/>
      <c r="P230" s="194"/>
      <c r="Q230" s="194"/>
      <c r="R230" s="163"/>
      <c r="S230" s="194"/>
      <c r="T230" s="240"/>
      <c r="U230" s="258"/>
      <c r="V230" s="177">
        <f>+SUMPRODUCT(V231:V233,W231:W233)</f>
        <v>0.3833333333333333</v>
      </c>
      <c r="W230" s="899">
        <v>0.2</v>
      </c>
      <c r="X230" s="471">
        <v>0.2</v>
      </c>
      <c r="Y230" s="144">
        <f>SUM(Y231:Y233)</f>
        <v>122500000</v>
      </c>
      <c r="Z230" s="144">
        <f>SUM(Z231:Z233)</f>
        <v>0</v>
      </c>
      <c r="AA230" s="144">
        <f>SUM(AA231:AA233)</f>
        <v>122436472</v>
      </c>
      <c r="AB230" s="272">
        <f t="shared" si="291"/>
        <v>0.99948140408163266</v>
      </c>
      <c r="AC230" s="144">
        <f>SUM(AC231:AC233)</f>
        <v>22934513</v>
      </c>
      <c r="AD230" s="188">
        <f t="shared" si="296"/>
        <v>0.18722051428571429</v>
      </c>
      <c r="AE230" s="144">
        <f>SUM(AE231:AE233)</f>
        <v>99501959</v>
      </c>
      <c r="AF230" s="144">
        <f>SUM(AF231:AF233)</f>
        <v>8527921</v>
      </c>
      <c r="AG230" s="144">
        <f>SUM(AG231:AG233)</f>
        <v>7252920</v>
      </c>
      <c r="AH230" s="613">
        <f t="shared" si="297"/>
        <v>0.8504909930568072</v>
      </c>
      <c r="AI230" s="144">
        <f t="shared" ref="AI230" si="339">SUM(AI231:AI233)</f>
        <v>450000000</v>
      </c>
      <c r="AJ230" s="144">
        <f>SUM(AJ231:AJ233)</f>
        <v>122436472</v>
      </c>
      <c r="AK230" s="910">
        <f t="shared" si="298"/>
        <v>0.2720810488888889</v>
      </c>
      <c r="AL230" s="179"/>
      <c r="AM230" s="165"/>
      <c r="AN230" s="553"/>
      <c r="AO230" s="144"/>
      <c r="AP230" s="557"/>
      <c r="AQ230" s="98"/>
    </row>
    <row r="231" spans="1:43" ht="20.25" customHeight="1">
      <c r="A231" s="353" t="s">
        <v>658</v>
      </c>
      <c r="B231" s="458" t="s">
        <v>831</v>
      </c>
      <c r="C231" s="220">
        <v>1</v>
      </c>
      <c r="D231" s="220">
        <v>0</v>
      </c>
      <c r="E231" s="859">
        <v>1</v>
      </c>
      <c r="F231" s="147"/>
      <c r="G231" s="147"/>
      <c r="H231" s="180">
        <f t="shared" ref="H231:H233" si="340">IF((E231+G231)/C231&gt;=100%,100%,(E231+G231)/C231)</f>
        <v>1</v>
      </c>
      <c r="I231" s="642">
        <v>0</v>
      </c>
      <c r="J231" s="195"/>
      <c r="K231" s="195"/>
      <c r="L231" s="101"/>
      <c r="M231" s="104"/>
      <c r="N231" s="146"/>
      <c r="O231" s="195"/>
      <c r="P231" s="195"/>
      <c r="Q231" s="195"/>
      <c r="R231" s="150"/>
      <c r="S231" s="195"/>
      <c r="T231" s="241">
        <v>3</v>
      </c>
      <c r="U231" s="242">
        <f t="shared" ref="U231:U233" si="341">SUM(E231:F231)</f>
        <v>1</v>
      </c>
      <c r="V231" s="186">
        <f t="shared" ref="V231:V233" si="342">IF(U231/T231&gt;=100%,100%,U231/T231)</f>
        <v>0.33333333333333331</v>
      </c>
      <c r="W231" s="479">
        <v>0.4</v>
      </c>
      <c r="X231" s="472">
        <v>0</v>
      </c>
      <c r="Y231" s="624">
        <v>0</v>
      </c>
      <c r="Z231" s="378">
        <v>0</v>
      </c>
      <c r="AA231" s="174">
        <v>0</v>
      </c>
      <c r="AB231" s="273" t="e">
        <f t="shared" si="291"/>
        <v>#DIV/0!</v>
      </c>
      <c r="AC231" s="269">
        <v>0</v>
      </c>
      <c r="AD231" s="189" t="e">
        <f t="shared" si="296"/>
        <v>#DIV/0!</v>
      </c>
      <c r="AE231" s="156">
        <f>+AA231-AC231</f>
        <v>0</v>
      </c>
      <c r="AF231" s="174">
        <v>2812659</v>
      </c>
      <c r="AG231" s="174">
        <v>2381660</v>
      </c>
      <c r="AH231" s="614">
        <f t="shared" si="297"/>
        <v>0.84676457402052652</v>
      </c>
      <c r="AI231" s="250">
        <f>450000000/3</f>
        <v>150000000</v>
      </c>
      <c r="AJ231" s="250">
        <f t="shared" ref="AJ231:AJ238" si="343">+SUM(Z231:AA231)</f>
        <v>0</v>
      </c>
      <c r="AK231" s="911">
        <f t="shared" si="298"/>
        <v>0</v>
      </c>
      <c r="AL231" s="173"/>
      <c r="AM231" s="157"/>
      <c r="AN231" s="152" t="s">
        <v>302</v>
      </c>
      <c r="AO231" s="594" t="s">
        <v>890</v>
      </c>
      <c r="AP231" s="558"/>
      <c r="AQ231" s="93"/>
    </row>
    <row r="232" spans="1:43" ht="12.75" customHeight="1">
      <c r="A232" s="353" t="s">
        <v>659</v>
      </c>
      <c r="B232" s="458" t="s">
        <v>832</v>
      </c>
      <c r="C232" s="308">
        <v>1</v>
      </c>
      <c r="D232" s="308">
        <v>1</v>
      </c>
      <c r="E232" s="859">
        <v>0</v>
      </c>
      <c r="F232" s="678">
        <v>1</v>
      </c>
      <c r="G232" s="147"/>
      <c r="H232" s="180">
        <f t="shared" si="340"/>
        <v>0</v>
      </c>
      <c r="I232" s="642">
        <f t="shared" ref="I232:I233" si="344">IF(F232/D232&gt;=100%,100%,F232/D232)</f>
        <v>1</v>
      </c>
      <c r="J232" s="195"/>
      <c r="K232" s="195"/>
      <c r="L232" s="101"/>
      <c r="M232" s="104"/>
      <c r="N232" s="146"/>
      <c r="O232" s="195"/>
      <c r="P232" s="195"/>
      <c r="Q232" s="195"/>
      <c r="R232" s="150"/>
      <c r="S232" s="195"/>
      <c r="T232" s="241">
        <v>2</v>
      </c>
      <c r="U232" s="242">
        <f t="shared" si="341"/>
        <v>1</v>
      </c>
      <c r="V232" s="186">
        <f t="shared" si="342"/>
        <v>0.5</v>
      </c>
      <c r="W232" s="479">
        <v>0.3</v>
      </c>
      <c r="X232" s="472">
        <v>0.5</v>
      </c>
      <c r="Y232" s="624">
        <v>60000000</v>
      </c>
      <c r="Z232" s="378">
        <v>0</v>
      </c>
      <c r="AA232" s="174">
        <v>59968774</v>
      </c>
      <c r="AB232" s="273">
        <f t="shared" si="291"/>
        <v>0.99947956666666671</v>
      </c>
      <c r="AC232" s="269">
        <v>11408300</v>
      </c>
      <c r="AD232" s="189">
        <f t="shared" si="296"/>
        <v>0.19013833333333333</v>
      </c>
      <c r="AE232" s="156">
        <f>+AA232-AC232</f>
        <v>48560474</v>
      </c>
      <c r="AF232" s="174">
        <v>2812659</v>
      </c>
      <c r="AG232" s="174">
        <v>2381660</v>
      </c>
      <c r="AH232" s="614">
        <f t="shared" si="297"/>
        <v>0.84676457402052652</v>
      </c>
      <c r="AI232" s="250">
        <f t="shared" ref="AI232:AI233" si="345">450000000/3</f>
        <v>150000000</v>
      </c>
      <c r="AJ232" s="250">
        <f t="shared" si="343"/>
        <v>59968774</v>
      </c>
      <c r="AK232" s="911">
        <f t="shared" si="298"/>
        <v>0.39979182666666668</v>
      </c>
      <c r="AL232" s="173"/>
      <c r="AM232" s="157"/>
      <c r="AN232" s="152" t="s">
        <v>302</v>
      </c>
      <c r="AO232" s="594" t="s">
        <v>890</v>
      </c>
      <c r="AP232" s="558"/>
      <c r="AQ232" s="93"/>
    </row>
    <row r="233" spans="1:43" ht="12.75" customHeight="1">
      <c r="A233" s="353" t="s">
        <v>660</v>
      </c>
      <c r="B233" s="458" t="s">
        <v>833</v>
      </c>
      <c r="C233" s="220">
        <v>0.1</v>
      </c>
      <c r="D233" s="220">
        <v>1</v>
      </c>
      <c r="E233" s="859">
        <v>0</v>
      </c>
      <c r="F233" s="147">
        <v>1</v>
      </c>
      <c r="G233" s="684">
        <v>0.1</v>
      </c>
      <c r="H233" s="180">
        <f t="shared" si="340"/>
        <v>1</v>
      </c>
      <c r="I233" s="642">
        <f t="shared" si="344"/>
        <v>1</v>
      </c>
      <c r="J233" s="195"/>
      <c r="K233" s="195"/>
      <c r="L233" s="101"/>
      <c r="M233" s="104"/>
      <c r="N233" s="146"/>
      <c r="O233" s="195"/>
      <c r="P233" s="195"/>
      <c r="Q233" s="195"/>
      <c r="R233" s="150"/>
      <c r="S233" s="195"/>
      <c r="T233" s="241">
        <v>3</v>
      </c>
      <c r="U233" s="242">
        <f t="shared" si="341"/>
        <v>1</v>
      </c>
      <c r="V233" s="186">
        <f t="shared" si="342"/>
        <v>0.33333333333333331</v>
      </c>
      <c r="W233" s="479">
        <v>0.3</v>
      </c>
      <c r="X233" s="673">
        <v>0.5</v>
      </c>
      <c r="Y233" s="546">
        <v>62500000</v>
      </c>
      <c r="Z233" s="378">
        <v>0</v>
      </c>
      <c r="AA233" s="174">
        <v>62467698</v>
      </c>
      <c r="AB233" s="273">
        <f t="shared" si="291"/>
        <v>0.99948316800000003</v>
      </c>
      <c r="AC233" s="269">
        <v>11526213</v>
      </c>
      <c r="AD233" s="189">
        <f t="shared" si="296"/>
        <v>0.18441940800000001</v>
      </c>
      <c r="AE233" s="156">
        <f>+AA233-AC233</f>
        <v>50941485</v>
      </c>
      <c r="AF233" s="174">
        <v>2902603</v>
      </c>
      <c r="AG233" s="174">
        <v>2489600</v>
      </c>
      <c r="AH233" s="614">
        <f t="shared" si="297"/>
        <v>0.8577128873635147</v>
      </c>
      <c r="AI233" s="250">
        <f t="shared" si="345"/>
        <v>150000000</v>
      </c>
      <c r="AJ233" s="250">
        <f t="shared" si="343"/>
        <v>62467698</v>
      </c>
      <c r="AK233" s="911">
        <f t="shared" si="298"/>
        <v>0.41645132000000001</v>
      </c>
      <c r="AL233" s="173"/>
      <c r="AM233" s="157"/>
      <c r="AN233" s="152" t="s">
        <v>302</v>
      </c>
      <c r="AO233" s="594" t="s">
        <v>890</v>
      </c>
      <c r="AP233" s="558"/>
      <c r="AQ233" s="93"/>
    </row>
    <row r="234" spans="1:43" ht="55.5" customHeight="1">
      <c r="A234" s="315" t="s">
        <v>493</v>
      </c>
      <c r="B234" s="138"/>
      <c r="C234" s="223"/>
      <c r="D234" s="223"/>
      <c r="E234" s="139"/>
      <c r="F234" s="139"/>
      <c r="G234" s="139"/>
      <c r="H234" s="140">
        <f>+SUMPRODUCT(H235:H238,W235:W238)</f>
        <v>0.94000000000000006</v>
      </c>
      <c r="I234" s="161">
        <f>+SUMPRODUCT(I235:I238,X235:X238)</f>
        <v>1</v>
      </c>
      <c r="J234" s="194"/>
      <c r="K234" s="194"/>
      <c r="L234" s="141"/>
      <c r="M234" s="142"/>
      <c r="N234" s="142"/>
      <c r="O234" s="194"/>
      <c r="P234" s="194"/>
      <c r="Q234" s="194"/>
      <c r="R234" s="163"/>
      <c r="S234" s="194"/>
      <c r="T234" s="240"/>
      <c r="U234" s="258"/>
      <c r="V234" s="177">
        <f>+SUMPRODUCT(V235:V238,W235:W238)</f>
        <v>0.60222222222222221</v>
      </c>
      <c r="W234" s="471">
        <v>0.8</v>
      </c>
      <c r="X234" s="471">
        <v>0.8</v>
      </c>
      <c r="Y234" s="144">
        <f>SUM(Y235:Y238)</f>
        <v>787500000</v>
      </c>
      <c r="Z234" s="144">
        <f>SUM(Z235:Z238)</f>
        <v>0</v>
      </c>
      <c r="AA234" s="144">
        <f>SUM(AA235:AA238)</f>
        <v>787092990</v>
      </c>
      <c r="AB234" s="272">
        <f t="shared" si="291"/>
        <v>0.99948316190476194</v>
      </c>
      <c r="AC234" s="144">
        <f>SUM(AC235:AC238)</f>
        <v>730536872</v>
      </c>
      <c r="AD234" s="636">
        <f t="shared" si="296"/>
        <v>0.92766586920634919</v>
      </c>
      <c r="AE234" s="144">
        <f>SUM(AE235:AE238)</f>
        <v>56556118</v>
      </c>
      <c r="AF234" s="144">
        <f>SUM(AF235:AF238)</f>
        <v>134703058</v>
      </c>
      <c r="AG234" s="144">
        <f>SUM(AG235:AG238)</f>
        <v>120415336</v>
      </c>
      <c r="AH234" s="613">
        <f t="shared" si="297"/>
        <v>0.89393171757095524</v>
      </c>
      <c r="AI234" s="144">
        <f t="shared" ref="AI234" si="346">SUM(AI235:AI238)</f>
        <v>5250000000</v>
      </c>
      <c r="AJ234" s="144">
        <f>SUM(AJ235:AJ238)</f>
        <v>787092990</v>
      </c>
      <c r="AK234" s="910">
        <f t="shared" si="298"/>
        <v>0.14992247428571429</v>
      </c>
      <c r="AL234" s="179"/>
      <c r="AM234" s="165"/>
      <c r="AN234" s="553"/>
      <c r="AO234" s="144"/>
      <c r="AP234" s="557"/>
      <c r="AQ234" s="98"/>
    </row>
    <row r="235" spans="1:43" ht="12.75" customHeight="1">
      <c r="A235" s="352" t="s">
        <v>661</v>
      </c>
      <c r="B235" s="457" t="s">
        <v>834</v>
      </c>
      <c r="C235" s="408">
        <v>0.4</v>
      </c>
      <c r="D235" s="408">
        <v>0.05</v>
      </c>
      <c r="E235" s="872">
        <v>0.4</v>
      </c>
      <c r="F235" s="182">
        <v>0.05</v>
      </c>
      <c r="G235" s="147"/>
      <c r="H235" s="180">
        <f t="shared" ref="H235:H237" si="347">IF((E235+G235)/C235&gt;=100%,100%,(E235+G235)/C235)</f>
        <v>1</v>
      </c>
      <c r="I235" s="642">
        <f t="shared" ref="I235:I238" si="348">IF(F235/D235&gt;=100%,100%,F235/D235)</f>
        <v>1</v>
      </c>
      <c r="J235" s="195"/>
      <c r="K235" s="195"/>
      <c r="L235" s="101"/>
      <c r="M235" s="104"/>
      <c r="N235" s="146"/>
      <c r="O235" s="195"/>
      <c r="P235" s="195"/>
      <c r="Q235" s="195"/>
      <c r="R235" s="150"/>
      <c r="S235" s="195"/>
      <c r="T235" s="305">
        <v>1</v>
      </c>
      <c r="U235" s="242">
        <f t="shared" ref="U235:U238" si="349">SUM(E235:F235)</f>
        <v>0.45</v>
      </c>
      <c r="V235" s="186">
        <f t="shared" ref="V235:V238" si="350">IF(U235/T235&gt;=100%,100%,U235/T235)</f>
        <v>0.45</v>
      </c>
      <c r="W235" s="881">
        <v>0.4</v>
      </c>
      <c r="X235" s="472">
        <v>0.35</v>
      </c>
      <c r="Y235" s="544">
        <v>125000000</v>
      </c>
      <c r="Z235" s="376">
        <v>0</v>
      </c>
      <c r="AA235" s="174">
        <v>124935395</v>
      </c>
      <c r="AB235" s="273">
        <f t="shared" si="291"/>
        <v>0.99948316000000004</v>
      </c>
      <c r="AC235" s="269">
        <v>120303258</v>
      </c>
      <c r="AD235" s="637">
        <f t="shared" si="296"/>
        <v>0.96242606399999997</v>
      </c>
      <c r="AE235" s="156">
        <f>+AA235-AC235</f>
        <v>4632137</v>
      </c>
      <c r="AF235" s="174">
        <v>46576446</v>
      </c>
      <c r="AG235" s="174">
        <v>38209185</v>
      </c>
      <c r="AH235" s="614">
        <f t="shared" si="297"/>
        <v>0.82035424085384279</v>
      </c>
      <c r="AI235" s="250">
        <v>1800000000</v>
      </c>
      <c r="AJ235" s="250">
        <f t="shared" si="343"/>
        <v>124935395</v>
      </c>
      <c r="AK235" s="914">
        <f t="shared" si="298"/>
        <v>6.9408552777777771E-2</v>
      </c>
      <c r="AL235" s="173"/>
      <c r="AM235" s="157"/>
      <c r="AN235" s="152" t="s">
        <v>302</v>
      </c>
      <c r="AO235" s="2244" t="s">
        <v>890</v>
      </c>
      <c r="AP235" s="558"/>
      <c r="AQ235" s="93"/>
    </row>
    <row r="236" spans="1:43" ht="12.75" customHeight="1">
      <c r="A236" s="352" t="s">
        <v>662</v>
      </c>
      <c r="B236" s="457" t="s">
        <v>835</v>
      </c>
      <c r="C236" s="408">
        <v>0.2</v>
      </c>
      <c r="D236" s="408">
        <v>0.3</v>
      </c>
      <c r="E236" s="872">
        <v>0.2</v>
      </c>
      <c r="F236" s="182">
        <v>0.3</v>
      </c>
      <c r="G236" s="147"/>
      <c r="H236" s="180">
        <f t="shared" si="347"/>
        <v>1</v>
      </c>
      <c r="I236" s="642">
        <f t="shared" si="348"/>
        <v>1</v>
      </c>
      <c r="J236" s="195"/>
      <c r="K236" s="195"/>
      <c r="L236" s="101"/>
      <c r="M236" s="104"/>
      <c r="N236" s="146"/>
      <c r="O236" s="195"/>
      <c r="P236" s="195"/>
      <c r="Q236" s="195"/>
      <c r="R236" s="150"/>
      <c r="S236" s="195"/>
      <c r="T236" s="305">
        <v>0.90000000000000013</v>
      </c>
      <c r="U236" s="242">
        <f t="shared" si="349"/>
        <v>0.5</v>
      </c>
      <c r="V236" s="186">
        <f t="shared" si="350"/>
        <v>0.55555555555555547</v>
      </c>
      <c r="W236" s="881">
        <v>0.4</v>
      </c>
      <c r="X236" s="472">
        <v>0.35</v>
      </c>
      <c r="Y236" s="544">
        <v>300000000</v>
      </c>
      <c r="Z236" s="376">
        <v>0</v>
      </c>
      <c r="AA236" s="174">
        <v>299844949</v>
      </c>
      <c r="AB236" s="273">
        <f t="shared" si="291"/>
        <v>0.99948316333333331</v>
      </c>
      <c r="AC236" s="269">
        <v>288727816</v>
      </c>
      <c r="AD236" s="637">
        <f t="shared" si="296"/>
        <v>0.96242605333333331</v>
      </c>
      <c r="AE236" s="156">
        <f>+AA236-AC236</f>
        <v>11117133</v>
      </c>
      <c r="AF236" s="174">
        <v>17554478</v>
      </c>
      <c r="AG236" s="174">
        <v>15441979</v>
      </c>
      <c r="AH236" s="614">
        <f t="shared" si="297"/>
        <v>0.87966039206634339</v>
      </c>
      <c r="AI236" s="250">
        <v>1600000000</v>
      </c>
      <c r="AJ236" s="250">
        <f t="shared" si="343"/>
        <v>299844949</v>
      </c>
      <c r="AK236" s="911">
        <f t="shared" si="298"/>
        <v>0.187403093125</v>
      </c>
      <c r="AL236" s="173"/>
      <c r="AM236" s="157"/>
      <c r="AN236" s="152" t="s">
        <v>302</v>
      </c>
      <c r="AO236" s="2206"/>
      <c r="AP236" s="558"/>
      <c r="AQ236" s="93"/>
    </row>
    <row r="237" spans="1:43" ht="12.75" customHeight="1">
      <c r="A237" s="352" t="s">
        <v>663</v>
      </c>
      <c r="B237" s="457" t="s">
        <v>836</v>
      </c>
      <c r="C237" s="408">
        <v>1</v>
      </c>
      <c r="D237" s="408">
        <v>1</v>
      </c>
      <c r="E237" s="872">
        <v>0.7</v>
      </c>
      <c r="F237" s="182">
        <v>1</v>
      </c>
      <c r="G237" s="147"/>
      <c r="H237" s="180">
        <f t="shared" si="347"/>
        <v>0.7</v>
      </c>
      <c r="I237" s="642">
        <f t="shared" si="348"/>
        <v>1</v>
      </c>
      <c r="J237" s="195"/>
      <c r="K237" s="195"/>
      <c r="L237" s="101"/>
      <c r="M237" s="104"/>
      <c r="N237" s="146"/>
      <c r="O237" s="195"/>
      <c r="P237" s="195"/>
      <c r="Q237" s="195"/>
      <c r="R237" s="150"/>
      <c r="S237" s="195"/>
      <c r="T237" s="305">
        <v>1</v>
      </c>
      <c r="U237" s="242">
        <f t="shared" si="349"/>
        <v>1.7</v>
      </c>
      <c r="V237" s="186">
        <f t="shared" si="350"/>
        <v>1</v>
      </c>
      <c r="W237" s="881">
        <v>0.2</v>
      </c>
      <c r="X237" s="472">
        <v>0.15</v>
      </c>
      <c r="Y237" s="619">
        <v>200000000</v>
      </c>
      <c r="Z237" s="376">
        <v>0</v>
      </c>
      <c r="AA237" s="174">
        <v>199893402</v>
      </c>
      <c r="AB237" s="273">
        <f t="shared" si="291"/>
        <v>0.99946701000000004</v>
      </c>
      <c r="AC237" s="269">
        <v>164876727</v>
      </c>
      <c r="AD237" s="637">
        <f t="shared" si="296"/>
        <v>0.824383635</v>
      </c>
      <c r="AE237" s="156">
        <f>+AA237-AC237</f>
        <v>35016675</v>
      </c>
      <c r="AF237" s="174">
        <v>22358316</v>
      </c>
      <c r="AG237" s="174">
        <v>19994602</v>
      </c>
      <c r="AH237" s="614">
        <f t="shared" si="297"/>
        <v>0.89428032057512741</v>
      </c>
      <c r="AI237" s="250">
        <v>1850000000</v>
      </c>
      <c r="AJ237" s="250">
        <f t="shared" si="343"/>
        <v>199893402</v>
      </c>
      <c r="AK237" s="911">
        <f t="shared" si="298"/>
        <v>0.10805048756756756</v>
      </c>
      <c r="AL237" s="173"/>
      <c r="AM237" s="157"/>
      <c r="AN237" s="152" t="s">
        <v>302</v>
      </c>
      <c r="AO237" s="2205"/>
      <c r="AP237" s="558"/>
      <c r="AQ237" s="93"/>
    </row>
    <row r="238" spans="1:43" ht="12.75" customHeight="1" thickBot="1">
      <c r="A238" s="352" t="s">
        <v>664</v>
      </c>
      <c r="B238" s="457" t="s">
        <v>837</v>
      </c>
      <c r="C238" s="851">
        <v>0</v>
      </c>
      <c r="D238" s="407">
        <v>1</v>
      </c>
      <c r="E238" s="866">
        <v>0</v>
      </c>
      <c r="F238" s="147">
        <v>1</v>
      </c>
      <c r="G238" s="147"/>
      <c r="H238" s="180">
        <v>0</v>
      </c>
      <c r="I238" s="642">
        <f t="shared" si="348"/>
        <v>1</v>
      </c>
      <c r="J238" s="195"/>
      <c r="K238" s="195"/>
      <c r="L238" s="101"/>
      <c r="M238" s="104"/>
      <c r="N238" s="146"/>
      <c r="O238" s="195"/>
      <c r="P238" s="195"/>
      <c r="Q238" s="195"/>
      <c r="R238" s="150"/>
      <c r="S238" s="195"/>
      <c r="T238" s="304">
        <v>2</v>
      </c>
      <c r="U238" s="242">
        <f t="shared" si="349"/>
        <v>1</v>
      </c>
      <c r="V238" s="186">
        <f t="shared" si="350"/>
        <v>0.5</v>
      </c>
      <c r="W238" s="885">
        <v>0</v>
      </c>
      <c r="X238" s="673">
        <v>0.15</v>
      </c>
      <c r="Y238" s="546">
        <v>162500000</v>
      </c>
      <c r="Z238" s="376">
        <v>0</v>
      </c>
      <c r="AA238" s="174">
        <v>162419244</v>
      </c>
      <c r="AB238" s="273">
        <f t="shared" si="291"/>
        <v>0.99950304000000001</v>
      </c>
      <c r="AC238" s="269">
        <v>156629071</v>
      </c>
      <c r="AD238" s="637">
        <f t="shared" si="296"/>
        <v>0.96387120615384614</v>
      </c>
      <c r="AE238" s="156">
        <f>+AA238-AC238</f>
        <v>5790173</v>
      </c>
      <c r="AF238" s="174">
        <v>48213818</v>
      </c>
      <c r="AG238" s="174">
        <v>46769570</v>
      </c>
      <c r="AH238" s="614">
        <f t="shared" si="297"/>
        <v>0.97004493608035769</v>
      </c>
      <c r="AI238" s="250">
        <v>0</v>
      </c>
      <c r="AJ238" s="250">
        <f t="shared" si="343"/>
        <v>162419244</v>
      </c>
      <c r="AK238" s="911" t="e">
        <f t="shared" si="298"/>
        <v>#DIV/0!</v>
      </c>
      <c r="AL238" s="173"/>
      <c r="AM238" s="157"/>
      <c r="AN238" s="152" t="s">
        <v>302</v>
      </c>
      <c r="AO238" s="593" t="s">
        <v>890</v>
      </c>
      <c r="AP238" s="558"/>
      <c r="AQ238" s="93"/>
    </row>
    <row r="239" spans="1:43" ht="57" customHeight="1" thickBot="1">
      <c r="A239" s="314" t="s">
        <v>440</v>
      </c>
      <c r="B239" s="137"/>
      <c r="C239" s="835"/>
      <c r="D239" s="224"/>
      <c r="E239" s="862"/>
      <c r="F239" s="200"/>
      <c r="G239" s="200"/>
      <c r="H239" s="199">
        <f>+(H240*W240)</f>
        <v>1</v>
      </c>
      <c r="I239" s="643">
        <f>+(I240*X240)</f>
        <v>1</v>
      </c>
      <c r="J239" s="288"/>
      <c r="K239" s="288"/>
      <c r="L239" s="160"/>
      <c r="M239" s="136"/>
      <c r="N239" s="136"/>
      <c r="O239" s="288"/>
      <c r="P239" s="288"/>
      <c r="Q239" s="288"/>
      <c r="R239" s="202"/>
      <c r="S239" s="288"/>
      <c r="T239" s="289"/>
      <c r="U239" s="259"/>
      <c r="V239" s="198">
        <f>+(V240*W240)</f>
        <v>0.76249999999999996</v>
      </c>
      <c r="W239" s="883">
        <v>0.1</v>
      </c>
      <c r="X239" s="470">
        <v>0.1</v>
      </c>
      <c r="Y239" s="135">
        <f>+Y240</f>
        <v>400000000</v>
      </c>
      <c r="Z239" s="135">
        <f>+Z240</f>
        <v>0</v>
      </c>
      <c r="AA239" s="135">
        <f>+AA240</f>
        <v>399742322</v>
      </c>
      <c r="AB239" s="271">
        <f t="shared" si="291"/>
        <v>0.99935580499999999</v>
      </c>
      <c r="AC239" s="135">
        <f>+AC240</f>
        <v>392140930</v>
      </c>
      <c r="AD239" s="634">
        <f t="shared" si="296"/>
        <v>0.98035232500000002</v>
      </c>
      <c r="AE239" s="135">
        <f>+AE240</f>
        <v>7601392</v>
      </c>
      <c r="AF239" s="135">
        <f>+AF240</f>
        <v>34185836</v>
      </c>
      <c r="AG239" s="135">
        <f>+AG240</f>
        <v>32023971</v>
      </c>
      <c r="AH239" s="612">
        <f t="shared" si="297"/>
        <v>0.93676138269662323</v>
      </c>
      <c r="AI239" s="135">
        <f t="shared" ref="AI239" si="351">+AI240</f>
        <v>2000000000</v>
      </c>
      <c r="AJ239" s="135">
        <f>+AJ240</f>
        <v>399742322</v>
      </c>
      <c r="AK239" s="915">
        <f t="shared" si="298"/>
        <v>0.19987116099999999</v>
      </c>
      <c r="AL239" s="172"/>
      <c r="AM239" s="160" t="s">
        <v>301</v>
      </c>
      <c r="AN239" s="136"/>
      <c r="AO239" s="135"/>
      <c r="AP239" s="556"/>
      <c r="AQ239" s="97"/>
    </row>
    <row r="240" spans="1:43" ht="12.75" customHeight="1">
      <c r="A240" s="315" t="s">
        <v>494</v>
      </c>
      <c r="B240" s="138"/>
      <c r="C240" s="849"/>
      <c r="D240" s="223"/>
      <c r="E240" s="873"/>
      <c r="F240" s="139"/>
      <c r="G240" s="139"/>
      <c r="H240" s="140">
        <f>+SUMPRODUCT(H241:H244,W241:W244)</f>
        <v>1</v>
      </c>
      <c r="I240" s="161">
        <f>+SUMPRODUCT(I241:I244,X241:X244)</f>
        <v>1</v>
      </c>
      <c r="J240" s="194"/>
      <c r="K240" s="194"/>
      <c r="L240" s="141"/>
      <c r="M240" s="142"/>
      <c r="N240" s="142"/>
      <c r="O240" s="194"/>
      <c r="P240" s="194"/>
      <c r="Q240" s="194"/>
      <c r="R240" s="163"/>
      <c r="S240" s="194"/>
      <c r="T240" s="240"/>
      <c r="U240" s="261">
        <f t="shared" ref="U240:U244" si="352">SUM(E240:F240)</f>
        <v>0</v>
      </c>
      <c r="V240" s="177">
        <f>+SUMPRODUCT(V241:V244,W241:W244)</f>
        <v>0.76249999999999996</v>
      </c>
      <c r="W240" s="899">
        <v>1</v>
      </c>
      <c r="X240" s="471">
        <v>1</v>
      </c>
      <c r="Y240" s="144">
        <f>SUM(Y241:Y244)</f>
        <v>400000000</v>
      </c>
      <c r="Z240" s="144">
        <f>SUM(Z241:Z244)</f>
        <v>0</v>
      </c>
      <c r="AA240" s="144">
        <f>SUM(AA241:AA244)</f>
        <v>399742322</v>
      </c>
      <c r="AB240" s="272">
        <f t="shared" si="291"/>
        <v>0.99935580499999999</v>
      </c>
      <c r="AC240" s="144">
        <f>SUM(AC241:AC244)</f>
        <v>392140930</v>
      </c>
      <c r="AD240" s="636">
        <f t="shared" si="296"/>
        <v>0.98035232500000002</v>
      </c>
      <c r="AE240" s="144">
        <f>SUM(AE241:AE244)</f>
        <v>7601392</v>
      </c>
      <c r="AF240" s="144">
        <f>SUM(AF241:AF244)</f>
        <v>34185836</v>
      </c>
      <c r="AG240" s="144">
        <f>SUM(AG241:AG244)</f>
        <v>32023971</v>
      </c>
      <c r="AH240" s="613">
        <f t="shared" si="297"/>
        <v>0.93676138269662323</v>
      </c>
      <c r="AI240" s="144">
        <f t="shared" ref="AI240" si="353">SUM(AI241:AI244)</f>
        <v>2000000000</v>
      </c>
      <c r="AJ240" s="144">
        <f>SUM(AJ241:AJ244)</f>
        <v>399742322</v>
      </c>
      <c r="AK240" s="910">
        <f t="shared" si="298"/>
        <v>0.19987116099999999</v>
      </c>
      <c r="AL240" s="179"/>
      <c r="AM240" s="165"/>
      <c r="AN240" s="553"/>
      <c r="AO240" s="144"/>
      <c r="AP240" s="557"/>
      <c r="AQ240" s="98"/>
    </row>
    <row r="241" spans="1:43" ht="12.75" customHeight="1">
      <c r="A241" s="353" t="s">
        <v>665</v>
      </c>
      <c r="B241" s="458" t="s">
        <v>838</v>
      </c>
      <c r="C241" s="409">
        <v>5</v>
      </c>
      <c r="D241" s="409">
        <v>5</v>
      </c>
      <c r="E241" s="147">
        <v>5</v>
      </c>
      <c r="F241" s="147">
        <v>5</v>
      </c>
      <c r="G241" s="147"/>
      <c r="H241" s="180">
        <f t="shared" ref="H241:H244" si="354">IF((E241+G241)/C241&gt;=100%,100%,(E241+G241)/C241)</f>
        <v>1</v>
      </c>
      <c r="I241" s="642">
        <f t="shared" ref="I241:I244" si="355">IF(F241/D241&gt;=100%,100%,F241/D241)</f>
        <v>1</v>
      </c>
      <c r="J241" s="195"/>
      <c r="K241" s="195"/>
      <c r="L241" s="101"/>
      <c r="M241" s="104"/>
      <c r="N241" s="146"/>
      <c r="O241" s="195"/>
      <c r="P241" s="195"/>
      <c r="Q241" s="195"/>
      <c r="R241" s="150"/>
      <c r="S241" s="195"/>
      <c r="T241" s="213">
        <v>20</v>
      </c>
      <c r="U241" s="242">
        <f t="shared" si="352"/>
        <v>10</v>
      </c>
      <c r="V241" s="186">
        <f t="shared" ref="V241:V244" si="356">IF(U241/T241&gt;=100%,100%,U241/T241)</f>
        <v>0.5</v>
      </c>
      <c r="W241" s="476">
        <v>0.25</v>
      </c>
      <c r="X241" s="476">
        <v>0.25</v>
      </c>
      <c r="Y241" s="620">
        <v>140000000</v>
      </c>
      <c r="Z241" s="376">
        <v>0</v>
      </c>
      <c r="AA241" s="174">
        <v>139900233</v>
      </c>
      <c r="AB241" s="273">
        <f t="shared" si="291"/>
        <v>0.99928737857142858</v>
      </c>
      <c r="AC241" s="269">
        <v>137645230</v>
      </c>
      <c r="AD241" s="637">
        <f t="shared" si="296"/>
        <v>0.98318021428571434</v>
      </c>
      <c r="AE241" s="156">
        <f>+AA241-AC241</f>
        <v>2255003</v>
      </c>
      <c r="AF241" s="174">
        <v>6162700</v>
      </c>
      <c r="AG241" s="174">
        <v>5287778</v>
      </c>
      <c r="AH241" s="614">
        <f t="shared" si="297"/>
        <v>0.85802943515017771</v>
      </c>
      <c r="AI241" s="250">
        <f>2000000000/4</f>
        <v>500000000</v>
      </c>
      <c r="AJ241" s="250">
        <f t="shared" ref="AJ241:AJ244" si="357">+SUM(Z241:AA241)</f>
        <v>139900233</v>
      </c>
      <c r="AK241" s="911">
        <f t="shared" si="298"/>
        <v>0.27980046600000003</v>
      </c>
      <c r="AL241" s="173"/>
      <c r="AM241" s="157"/>
      <c r="AN241" s="152" t="s">
        <v>302</v>
      </c>
      <c r="AO241" s="2245" t="s">
        <v>922</v>
      </c>
      <c r="AP241" s="558"/>
      <c r="AQ241" s="93"/>
    </row>
    <row r="242" spans="1:43" ht="12.75" customHeight="1">
      <c r="A242" s="353" t="s">
        <v>666</v>
      </c>
      <c r="B242" s="458" t="s">
        <v>839</v>
      </c>
      <c r="C242" s="409">
        <v>4</v>
      </c>
      <c r="D242" s="409">
        <v>6</v>
      </c>
      <c r="E242" s="147">
        <v>5</v>
      </c>
      <c r="F242" s="147">
        <v>61</v>
      </c>
      <c r="G242" s="147"/>
      <c r="H242" s="180">
        <f t="shared" si="354"/>
        <v>1</v>
      </c>
      <c r="I242" s="642">
        <f t="shared" si="355"/>
        <v>1</v>
      </c>
      <c r="J242" s="195"/>
      <c r="K242" s="195"/>
      <c r="L242" s="101"/>
      <c r="M242" s="104"/>
      <c r="N242" s="146"/>
      <c r="O242" s="195"/>
      <c r="P242" s="195"/>
      <c r="Q242" s="195"/>
      <c r="R242" s="150"/>
      <c r="S242" s="195"/>
      <c r="T242" s="307">
        <v>18</v>
      </c>
      <c r="U242" s="242">
        <f t="shared" si="352"/>
        <v>66</v>
      </c>
      <c r="V242" s="186">
        <f t="shared" si="356"/>
        <v>1</v>
      </c>
      <c r="W242" s="476">
        <v>0.25</v>
      </c>
      <c r="X242" s="476">
        <v>0.25</v>
      </c>
      <c r="Y242" s="621">
        <v>140000000</v>
      </c>
      <c r="Z242" s="376">
        <v>0</v>
      </c>
      <c r="AA242" s="174">
        <v>139900233</v>
      </c>
      <c r="AB242" s="273">
        <f t="shared" si="291"/>
        <v>0.99928737857142858</v>
      </c>
      <c r="AC242" s="269">
        <v>137520698</v>
      </c>
      <c r="AD242" s="637">
        <f t="shared" si="296"/>
        <v>0.98229069999999996</v>
      </c>
      <c r="AE242" s="156">
        <f>+AA242-AC242</f>
        <v>2379535</v>
      </c>
      <c r="AF242" s="174">
        <v>21802252</v>
      </c>
      <c r="AG242" s="174">
        <v>21073149</v>
      </c>
      <c r="AH242" s="614">
        <f t="shared" si="297"/>
        <v>0.96655836287003749</v>
      </c>
      <c r="AI242" s="250">
        <f t="shared" ref="AI242:AI244" si="358">2000000000/4</f>
        <v>500000000</v>
      </c>
      <c r="AJ242" s="250">
        <f t="shared" si="357"/>
        <v>139900233</v>
      </c>
      <c r="AK242" s="911">
        <f t="shared" si="298"/>
        <v>0.27980046600000003</v>
      </c>
      <c r="AL242" s="173"/>
      <c r="AM242" s="157"/>
      <c r="AN242" s="152" t="s">
        <v>302</v>
      </c>
      <c r="AO242" s="2206"/>
      <c r="AP242" s="558"/>
      <c r="AQ242" s="93"/>
    </row>
    <row r="243" spans="1:43" ht="12.75" customHeight="1" thickBot="1">
      <c r="A243" s="353" t="s">
        <v>667</v>
      </c>
      <c r="B243" s="458" t="s">
        <v>840</v>
      </c>
      <c r="C243" s="409">
        <v>1000</v>
      </c>
      <c r="D243" s="409">
        <v>1000</v>
      </c>
      <c r="E243" s="859">
        <v>71517</v>
      </c>
      <c r="F243" s="147">
        <v>39446</v>
      </c>
      <c r="G243" s="147"/>
      <c r="H243" s="180">
        <f t="shared" si="354"/>
        <v>1</v>
      </c>
      <c r="I243" s="642">
        <f t="shared" si="355"/>
        <v>1</v>
      </c>
      <c r="J243" s="195"/>
      <c r="K243" s="195"/>
      <c r="L243" s="103"/>
      <c r="M243" s="105"/>
      <c r="N243" s="146"/>
      <c r="O243" s="195"/>
      <c r="P243" s="195"/>
      <c r="Q243" s="195"/>
      <c r="R243" s="150"/>
      <c r="S243" s="195"/>
      <c r="T243" s="307">
        <v>5000</v>
      </c>
      <c r="U243" s="242">
        <f t="shared" si="352"/>
        <v>110963</v>
      </c>
      <c r="V243" s="186">
        <f t="shared" si="356"/>
        <v>1</v>
      </c>
      <c r="W243" s="476">
        <v>0.25</v>
      </c>
      <c r="X243" s="476">
        <v>0.25</v>
      </c>
      <c r="Y243" s="622">
        <v>60000000</v>
      </c>
      <c r="Z243" s="376">
        <v>0</v>
      </c>
      <c r="AA243" s="174">
        <v>59970928</v>
      </c>
      <c r="AB243" s="273">
        <f t="shared" si="291"/>
        <v>0.99951546666666669</v>
      </c>
      <c r="AC243" s="269">
        <v>57886466</v>
      </c>
      <c r="AD243" s="637">
        <f t="shared" si="296"/>
        <v>0.96477443333333335</v>
      </c>
      <c r="AE243" s="156">
        <f>+AA243-AC243</f>
        <v>2084462</v>
      </c>
      <c r="AF243" s="174">
        <v>3300029</v>
      </c>
      <c r="AG243" s="174">
        <v>2831522</v>
      </c>
      <c r="AH243" s="614">
        <f t="shared" si="297"/>
        <v>0.85802942943834737</v>
      </c>
      <c r="AI243" s="250">
        <f t="shared" si="358"/>
        <v>500000000</v>
      </c>
      <c r="AJ243" s="250">
        <f t="shared" si="357"/>
        <v>59970928</v>
      </c>
      <c r="AK243" s="911">
        <f t="shared" si="298"/>
        <v>0.119941856</v>
      </c>
      <c r="AL243" s="173"/>
      <c r="AM243" s="157"/>
      <c r="AN243" s="152" t="s">
        <v>302</v>
      </c>
      <c r="AO243" s="2205"/>
      <c r="AP243" s="558"/>
      <c r="AQ243" s="93"/>
    </row>
    <row r="244" spans="1:43" ht="12.75" customHeight="1" thickBot="1">
      <c r="A244" s="353" t="s">
        <v>668</v>
      </c>
      <c r="B244" s="458" t="s">
        <v>841</v>
      </c>
      <c r="C244" s="853">
        <v>0.1</v>
      </c>
      <c r="D244" s="410">
        <v>0.1</v>
      </c>
      <c r="E244" s="208">
        <v>0.1</v>
      </c>
      <c r="F244" s="182">
        <v>0.12</v>
      </c>
      <c r="G244" s="147"/>
      <c r="H244" s="180">
        <f t="shared" si="354"/>
        <v>1</v>
      </c>
      <c r="I244" s="642">
        <f t="shared" si="355"/>
        <v>1</v>
      </c>
      <c r="J244" s="195"/>
      <c r="K244" s="195"/>
      <c r="L244" s="206"/>
      <c r="M244" s="207"/>
      <c r="N244" s="146"/>
      <c r="O244" s="195"/>
      <c r="P244" s="195"/>
      <c r="Q244" s="195"/>
      <c r="R244" s="150"/>
      <c r="S244" s="195"/>
      <c r="T244" s="309">
        <v>0.4</v>
      </c>
      <c r="U244" s="242">
        <f t="shared" si="352"/>
        <v>0.22</v>
      </c>
      <c r="V244" s="186">
        <f t="shared" si="356"/>
        <v>0.54999999999999993</v>
      </c>
      <c r="W244" s="894">
        <v>0.25</v>
      </c>
      <c r="X244" s="476">
        <v>0.25</v>
      </c>
      <c r="Y244" s="621">
        <v>60000000</v>
      </c>
      <c r="Z244" s="376">
        <v>0</v>
      </c>
      <c r="AA244" s="174">
        <v>59970928</v>
      </c>
      <c r="AB244" s="273">
        <f t="shared" si="291"/>
        <v>0.99951546666666669</v>
      </c>
      <c r="AC244" s="269">
        <v>59088536</v>
      </c>
      <c r="AD244" s="637">
        <f t="shared" si="296"/>
        <v>0.9848089333333333</v>
      </c>
      <c r="AE244" s="156">
        <f>+AA244-AC244</f>
        <v>882392</v>
      </c>
      <c r="AF244" s="174">
        <v>2920855</v>
      </c>
      <c r="AG244" s="174">
        <v>2831522</v>
      </c>
      <c r="AH244" s="614">
        <f t="shared" si="297"/>
        <v>0.96941546225334707</v>
      </c>
      <c r="AI244" s="250">
        <f t="shared" si="358"/>
        <v>500000000</v>
      </c>
      <c r="AJ244" s="250">
        <f t="shared" si="357"/>
        <v>59970928</v>
      </c>
      <c r="AK244" s="911">
        <f t="shared" si="298"/>
        <v>0.119941856</v>
      </c>
      <c r="AL244" s="173"/>
      <c r="AM244" s="157"/>
      <c r="AN244" s="152" t="s">
        <v>302</v>
      </c>
      <c r="AO244" s="596" t="s">
        <v>890</v>
      </c>
      <c r="AP244" s="558"/>
      <c r="AQ244" s="93"/>
    </row>
    <row r="245" spans="1:43" ht="33.75" customHeight="1" thickBot="1">
      <c r="A245" s="314" t="s">
        <v>441</v>
      </c>
      <c r="B245" s="413"/>
      <c r="C245" s="829"/>
      <c r="D245" s="222"/>
      <c r="E245" s="868"/>
      <c r="F245" s="129"/>
      <c r="G245" s="129"/>
      <c r="H245" s="199">
        <f>+(H246*W246)</f>
        <v>1</v>
      </c>
      <c r="I245" s="643">
        <f>+(I246*X246)</f>
        <v>1</v>
      </c>
      <c r="J245" s="193"/>
      <c r="K245" s="193"/>
      <c r="L245" s="132"/>
      <c r="M245" s="133"/>
      <c r="N245" s="133"/>
      <c r="O245" s="193"/>
      <c r="P245" s="193"/>
      <c r="Q245" s="193"/>
      <c r="R245" s="159"/>
      <c r="S245" s="193"/>
      <c r="T245" s="239"/>
      <c r="U245" s="257"/>
      <c r="V245" s="198">
        <f>+(V246*W246)</f>
        <v>0.7</v>
      </c>
      <c r="W245" s="883">
        <v>0.1</v>
      </c>
      <c r="X245" s="470">
        <v>0.1</v>
      </c>
      <c r="Y245" s="135">
        <f>+Y246</f>
        <v>212500000</v>
      </c>
      <c r="Z245" s="135">
        <f>+Z246</f>
        <v>0</v>
      </c>
      <c r="AA245" s="135">
        <f>+AA246</f>
        <v>211140172</v>
      </c>
      <c r="AB245" s="271">
        <f t="shared" si="291"/>
        <v>0.99360080941176465</v>
      </c>
      <c r="AC245" s="135">
        <f>+AC246</f>
        <v>207806687</v>
      </c>
      <c r="AD245" s="634">
        <f t="shared" si="296"/>
        <v>0.97791382117647063</v>
      </c>
      <c r="AE245" s="135">
        <f>+AE246</f>
        <v>3333485</v>
      </c>
      <c r="AF245" s="135">
        <f>+AF246</f>
        <v>33173706</v>
      </c>
      <c r="AG245" s="135">
        <f>+AG246</f>
        <v>21595621</v>
      </c>
      <c r="AH245" s="612">
        <f t="shared" si="297"/>
        <v>0.650986085184453</v>
      </c>
      <c r="AI245" s="135">
        <f t="shared" ref="AI245" si="359">+AI246</f>
        <v>1350000000</v>
      </c>
      <c r="AJ245" s="135">
        <f>+AJ246</f>
        <v>211140172</v>
      </c>
      <c r="AK245" s="915">
        <f t="shared" si="298"/>
        <v>0.15640012740740741</v>
      </c>
      <c r="AL245" s="172"/>
      <c r="AM245" s="160" t="s">
        <v>301</v>
      </c>
      <c r="AN245" s="136"/>
      <c r="AO245" s="135"/>
      <c r="AP245" s="556"/>
      <c r="AQ245" s="97"/>
    </row>
    <row r="246" spans="1:43" ht="12.75" customHeight="1">
      <c r="A246" s="315" t="s">
        <v>495</v>
      </c>
      <c r="B246" s="138"/>
      <c r="C246" s="849"/>
      <c r="D246" s="223"/>
      <c r="E246" s="873"/>
      <c r="F246" s="139"/>
      <c r="G246" s="139"/>
      <c r="H246" s="161">
        <f>+SUMPRODUCT(H247:H249,W247:W249)</f>
        <v>1</v>
      </c>
      <c r="I246" s="161">
        <f>+SUMPRODUCT(I247:I249,X247:X249)</f>
        <v>1</v>
      </c>
      <c r="J246" s="194"/>
      <c r="K246" s="194"/>
      <c r="L246" s="141"/>
      <c r="M246" s="142"/>
      <c r="N246" s="142"/>
      <c r="O246" s="194"/>
      <c r="P246" s="194"/>
      <c r="Q246" s="194"/>
      <c r="R246" s="163"/>
      <c r="S246" s="194"/>
      <c r="T246" s="240"/>
      <c r="U246" s="258"/>
      <c r="V246" s="177">
        <f>+SUMPRODUCT(V247:V249,W247:W249)</f>
        <v>0.7</v>
      </c>
      <c r="W246" s="900">
        <v>1</v>
      </c>
      <c r="X246" s="471">
        <v>1</v>
      </c>
      <c r="Y246" s="144">
        <f>SUM(Y247:Y249)</f>
        <v>212500000</v>
      </c>
      <c r="Z246" s="144">
        <f>SUM(Z247:Z249)</f>
        <v>0</v>
      </c>
      <c r="AA246" s="144">
        <f>SUM(AA247:AA249)</f>
        <v>211140172</v>
      </c>
      <c r="AB246" s="272">
        <f t="shared" si="291"/>
        <v>0.99360080941176465</v>
      </c>
      <c r="AC246" s="144">
        <f>SUM(AC247:AC249)</f>
        <v>207806687</v>
      </c>
      <c r="AD246" s="636">
        <f t="shared" si="296"/>
        <v>0.97791382117647063</v>
      </c>
      <c r="AE246" s="144">
        <f>SUM(AE247:AE249)</f>
        <v>3333485</v>
      </c>
      <c r="AF246" s="144">
        <f>SUM(AF247:AF249)</f>
        <v>33173706</v>
      </c>
      <c r="AG246" s="144">
        <f>SUM(AG247:AG249)</f>
        <v>21595621</v>
      </c>
      <c r="AH246" s="613">
        <f t="shared" si="297"/>
        <v>0.650986085184453</v>
      </c>
      <c r="AI246" s="144">
        <f t="shared" ref="AI246" si="360">SUM(AI247:AI249)</f>
        <v>1350000000</v>
      </c>
      <c r="AJ246" s="144">
        <f>SUM(AJ247:AJ249)</f>
        <v>211140172</v>
      </c>
      <c r="AK246" s="910">
        <f t="shared" si="298"/>
        <v>0.15640012740740741</v>
      </c>
      <c r="AL246" s="179"/>
      <c r="AM246" s="165"/>
      <c r="AN246" s="553"/>
      <c r="AO246" s="144"/>
      <c r="AP246" s="557"/>
      <c r="AQ246" s="98"/>
    </row>
    <row r="247" spans="1:43" ht="12.75" customHeight="1">
      <c r="A247" s="352" t="s">
        <v>669</v>
      </c>
      <c r="B247" s="457" t="s">
        <v>842</v>
      </c>
      <c r="C247" s="407">
        <v>1</v>
      </c>
      <c r="D247" s="407">
        <v>1</v>
      </c>
      <c r="E247" s="147">
        <v>1</v>
      </c>
      <c r="F247" s="147">
        <v>1</v>
      </c>
      <c r="G247" s="147"/>
      <c r="H247" s="180">
        <f t="shared" ref="H247:H249" si="361">IF((E247+G247)/C247&gt;=100%,100%,(E247+G247)/C247)</f>
        <v>1</v>
      </c>
      <c r="I247" s="642">
        <f t="shared" ref="I247:I248" si="362">IF(F247/D247&gt;=100%,100%,F247/D247)</f>
        <v>1</v>
      </c>
      <c r="J247" s="195"/>
      <c r="K247" s="195"/>
      <c r="L247" s="101"/>
      <c r="M247" s="104"/>
      <c r="N247" s="146"/>
      <c r="O247" s="195"/>
      <c r="P247" s="195"/>
      <c r="Q247" s="195"/>
      <c r="R247" s="150"/>
      <c r="S247" s="195"/>
      <c r="T247" s="241">
        <v>2</v>
      </c>
      <c r="U247" s="242">
        <f t="shared" ref="U247:U249" si="363">SUM(E247:F247)</f>
        <v>2</v>
      </c>
      <c r="V247" s="186">
        <f t="shared" ref="V247:V249" si="364">IF(U247/T247&gt;=100%,100%,U247/T247)</f>
        <v>1</v>
      </c>
      <c r="W247" s="502">
        <v>0.4</v>
      </c>
      <c r="X247" s="502">
        <v>0.5</v>
      </c>
      <c r="Y247" s="623">
        <v>100000000</v>
      </c>
      <c r="Z247" s="376">
        <v>0</v>
      </c>
      <c r="AA247" s="174">
        <v>99948316</v>
      </c>
      <c r="AB247" s="273">
        <f t="shared" si="291"/>
        <v>0.99948316000000004</v>
      </c>
      <c r="AC247" s="269">
        <v>98379617</v>
      </c>
      <c r="AD247" s="637">
        <f t="shared" si="296"/>
        <v>0.98379616999999997</v>
      </c>
      <c r="AE247" s="156">
        <f>+AA247-AC247</f>
        <v>1568699</v>
      </c>
      <c r="AF247" s="144">
        <v>15841350</v>
      </c>
      <c r="AG247" s="144">
        <v>15364741</v>
      </c>
      <c r="AH247" s="614">
        <f t="shared" si="297"/>
        <v>0.9699136121605797</v>
      </c>
      <c r="AI247" s="249">
        <f>1250000000/2</f>
        <v>625000000</v>
      </c>
      <c r="AJ247" s="250">
        <f t="shared" ref="AJ247:AJ249" si="365">+SUM(Z247:AA247)</f>
        <v>99948316</v>
      </c>
      <c r="AK247" s="911">
        <f t="shared" si="298"/>
        <v>0.1599173056</v>
      </c>
      <c r="AL247" s="173"/>
      <c r="AM247" s="157"/>
      <c r="AN247" s="152" t="s">
        <v>302</v>
      </c>
      <c r="AO247" s="597" t="s">
        <v>925</v>
      </c>
      <c r="AP247" s="558"/>
      <c r="AQ247" s="93"/>
    </row>
    <row r="248" spans="1:43" ht="12.75" customHeight="1">
      <c r="A248" s="352" t="s">
        <v>670</v>
      </c>
      <c r="B248" s="457" t="s">
        <v>843</v>
      </c>
      <c r="C248" s="408">
        <v>1</v>
      </c>
      <c r="D248" s="408">
        <v>1</v>
      </c>
      <c r="E248" s="182">
        <v>1</v>
      </c>
      <c r="F248" s="182">
        <v>1</v>
      </c>
      <c r="G248" s="147"/>
      <c r="H248" s="180">
        <f t="shared" si="361"/>
        <v>1</v>
      </c>
      <c r="I248" s="642">
        <f t="shared" si="362"/>
        <v>1</v>
      </c>
      <c r="J248" s="195"/>
      <c r="K248" s="195"/>
      <c r="L248" s="101"/>
      <c r="M248" s="104"/>
      <c r="N248" s="146"/>
      <c r="O248" s="195"/>
      <c r="P248" s="195"/>
      <c r="Q248" s="195"/>
      <c r="R248" s="150"/>
      <c r="S248" s="195"/>
      <c r="T248" s="305">
        <v>1</v>
      </c>
      <c r="U248" s="242">
        <f t="shared" si="363"/>
        <v>2</v>
      </c>
      <c r="V248" s="186">
        <f t="shared" si="364"/>
        <v>1</v>
      </c>
      <c r="W248" s="502">
        <v>0.3</v>
      </c>
      <c r="X248" s="502">
        <v>0.5</v>
      </c>
      <c r="Y248" s="622">
        <v>112500000</v>
      </c>
      <c r="Z248" s="376">
        <v>0</v>
      </c>
      <c r="AA248" s="174">
        <v>111191856</v>
      </c>
      <c r="AB248" s="273">
        <f t="shared" si="291"/>
        <v>0.98837205333333333</v>
      </c>
      <c r="AC248" s="269">
        <v>109427070</v>
      </c>
      <c r="AD248" s="637">
        <f t="shared" si="296"/>
        <v>0.97268506666666665</v>
      </c>
      <c r="AE248" s="156">
        <f>+AA248-AC248</f>
        <v>1764786</v>
      </c>
      <c r="AF248" s="174">
        <v>12567795</v>
      </c>
      <c r="AG248" s="174">
        <v>2203244</v>
      </c>
      <c r="AH248" s="614">
        <f t="shared" si="297"/>
        <v>0.17530871564980174</v>
      </c>
      <c r="AI248" s="249">
        <f>1250000000/2</f>
        <v>625000000</v>
      </c>
      <c r="AJ248" s="250">
        <f t="shared" si="365"/>
        <v>111191856</v>
      </c>
      <c r="AK248" s="911">
        <f t="shared" si="298"/>
        <v>0.17790696959999999</v>
      </c>
      <c r="AL248" s="173"/>
      <c r="AM248" s="157"/>
      <c r="AN248" s="152" t="s">
        <v>302</v>
      </c>
      <c r="AO248" s="597" t="s">
        <v>890</v>
      </c>
      <c r="AP248" s="558"/>
      <c r="AQ248" s="93"/>
    </row>
    <row r="249" spans="1:43" ht="12.75" customHeight="1" thickBot="1">
      <c r="A249" s="355" t="s">
        <v>671</v>
      </c>
      <c r="B249" s="310" t="s">
        <v>844</v>
      </c>
      <c r="C249" s="851">
        <v>1</v>
      </c>
      <c r="D249" s="407">
        <v>0</v>
      </c>
      <c r="E249" s="860">
        <v>0</v>
      </c>
      <c r="F249" s="147">
        <v>0</v>
      </c>
      <c r="G249" s="147">
        <v>1</v>
      </c>
      <c r="H249" s="180">
        <f t="shared" si="361"/>
        <v>1</v>
      </c>
      <c r="I249" s="642">
        <v>0</v>
      </c>
      <c r="J249" s="195"/>
      <c r="K249" s="195"/>
      <c r="L249" s="206"/>
      <c r="M249" s="207"/>
      <c r="N249" s="146"/>
      <c r="O249" s="195"/>
      <c r="P249" s="195"/>
      <c r="Q249" s="195"/>
      <c r="R249" s="150"/>
      <c r="S249" s="195"/>
      <c r="T249" s="241">
        <v>1</v>
      </c>
      <c r="U249" s="242">
        <f t="shared" si="363"/>
        <v>0</v>
      </c>
      <c r="V249" s="186">
        <f t="shared" si="364"/>
        <v>0</v>
      </c>
      <c r="W249" s="503">
        <v>0.3</v>
      </c>
      <c r="X249" s="503">
        <v>0</v>
      </c>
      <c r="Y249" s="544">
        <v>0</v>
      </c>
      <c r="Z249" s="376">
        <v>0</v>
      </c>
      <c r="AA249" s="174">
        <v>0</v>
      </c>
      <c r="AB249" s="273" t="e">
        <f t="shared" si="291"/>
        <v>#DIV/0!</v>
      </c>
      <c r="AC249" s="269">
        <v>0</v>
      </c>
      <c r="AD249" s="637" t="e">
        <f t="shared" si="296"/>
        <v>#DIV/0!</v>
      </c>
      <c r="AE249" s="156">
        <f>+AA249-AC249</f>
        <v>0</v>
      </c>
      <c r="AF249" s="174">
        <v>4764561</v>
      </c>
      <c r="AG249" s="174">
        <v>4027636</v>
      </c>
      <c r="AH249" s="614">
        <f t="shared" si="297"/>
        <v>0.84533202534294349</v>
      </c>
      <c r="AI249" s="249">
        <v>100000000</v>
      </c>
      <c r="AJ249" s="250">
        <f t="shared" si="365"/>
        <v>0</v>
      </c>
      <c r="AK249" s="914">
        <f t="shared" si="298"/>
        <v>0</v>
      </c>
      <c r="AL249" s="173"/>
      <c r="AM249" s="157"/>
      <c r="AN249" s="152" t="s">
        <v>302</v>
      </c>
      <c r="AO249" s="597" t="s">
        <v>890</v>
      </c>
      <c r="AP249" s="558"/>
      <c r="AQ249" s="93"/>
    </row>
    <row r="250" spans="1:43" ht="33.75" customHeight="1" thickBot="1">
      <c r="A250" s="314" t="s">
        <v>442</v>
      </c>
      <c r="B250" s="413"/>
      <c r="C250" s="835"/>
      <c r="D250" s="222"/>
      <c r="E250" s="862"/>
      <c r="F250" s="129"/>
      <c r="G250" s="129"/>
      <c r="H250" s="254">
        <f>+(H251*W251)+(H257*W257)</f>
        <v>0.99999999999999989</v>
      </c>
      <c r="I250" s="130">
        <f>+(I251*X251)+(I257*X257)</f>
        <v>0.93142857142857127</v>
      </c>
      <c r="J250" s="193"/>
      <c r="K250" s="193"/>
      <c r="L250" s="132"/>
      <c r="M250" s="133"/>
      <c r="N250" s="133"/>
      <c r="O250" s="193"/>
      <c r="P250" s="193"/>
      <c r="Q250" s="193"/>
      <c r="R250" s="159"/>
      <c r="S250" s="193"/>
      <c r="T250" s="239"/>
      <c r="U250" s="257"/>
      <c r="V250" s="465">
        <f>+(V251*W251)+(V257*W257)</f>
        <v>0.96</v>
      </c>
      <c r="W250" s="883">
        <v>0.1</v>
      </c>
      <c r="X250" s="470">
        <v>0.1</v>
      </c>
      <c r="Y250" s="135">
        <f>+Y251+Y257</f>
        <v>736500000</v>
      </c>
      <c r="Z250" s="135">
        <f>+Z251+Z257</f>
        <v>0</v>
      </c>
      <c r="AA250" s="135">
        <f>+AA251+AA257</f>
        <v>735078520</v>
      </c>
      <c r="AB250" s="271">
        <f t="shared" si="291"/>
        <v>0.99806995247793617</v>
      </c>
      <c r="AC250" s="135">
        <f>+AC251+AC257</f>
        <v>679719104</v>
      </c>
      <c r="AD250" s="634">
        <f t="shared" si="296"/>
        <v>0.92290441819416158</v>
      </c>
      <c r="AE250" s="135">
        <f>+AE251+AE257</f>
        <v>55359416</v>
      </c>
      <c r="AF250" s="135">
        <f>+AF251+AF257</f>
        <v>147142232</v>
      </c>
      <c r="AG250" s="135">
        <f>+AG251+AG257</f>
        <v>130808605</v>
      </c>
      <c r="AH250" s="612">
        <f t="shared" si="297"/>
        <v>0.88899429634858329</v>
      </c>
      <c r="AI250" s="135">
        <f t="shared" ref="AI250" si="366">+AI251+AI257</f>
        <v>3646000000</v>
      </c>
      <c r="AJ250" s="135">
        <f>+AJ251+AJ257</f>
        <v>735078520</v>
      </c>
      <c r="AK250" s="915">
        <f t="shared" si="298"/>
        <v>0.20161232035106966</v>
      </c>
      <c r="AL250" s="172"/>
      <c r="AM250" s="160" t="s">
        <v>301</v>
      </c>
      <c r="AN250" s="136"/>
      <c r="AO250" s="135"/>
      <c r="AP250" s="556"/>
      <c r="AQ250" s="97"/>
    </row>
    <row r="251" spans="1:43" ht="51.75" customHeight="1">
      <c r="A251" s="315" t="s">
        <v>496</v>
      </c>
      <c r="B251" s="138"/>
      <c r="C251" s="849"/>
      <c r="D251" s="223"/>
      <c r="E251" s="873"/>
      <c r="F251" s="139"/>
      <c r="G251" s="139"/>
      <c r="H251" s="161">
        <f>+SUMPRODUCT(H252:H256,W252:W256)</f>
        <v>0.99999999999999989</v>
      </c>
      <c r="I251" s="161">
        <f>+SUMPRODUCT(I252:I256,X252:X256)</f>
        <v>0.99999999999999989</v>
      </c>
      <c r="J251" s="194"/>
      <c r="K251" s="194"/>
      <c r="L251" s="141"/>
      <c r="M251" s="142"/>
      <c r="N251" s="142"/>
      <c r="O251" s="194"/>
      <c r="P251" s="194"/>
      <c r="Q251" s="194"/>
      <c r="R251" s="163"/>
      <c r="S251" s="194"/>
      <c r="T251" s="240"/>
      <c r="U251" s="261"/>
      <c r="V251" s="177">
        <f>+SUMPRODUCT(V252:V256,W252:W256)</f>
        <v>0.93333333333333324</v>
      </c>
      <c r="W251" s="899">
        <v>0.6</v>
      </c>
      <c r="X251" s="471">
        <v>0.6</v>
      </c>
      <c r="Y251" s="144">
        <f>SUM(Y252:Y256)</f>
        <v>504000000</v>
      </c>
      <c r="Z251" s="144">
        <f>SUM(Z252:Z256)</f>
        <v>0</v>
      </c>
      <c r="AA251" s="144">
        <f>SUM(AA252:AA256)</f>
        <v>502698578</v>
      </c>
      <c r="AB251" s="272">
        <f t="shared" si="291"/>
        <v>0.99741781349206349</v>
      </c>
      <c r="AC251" s="144">
        <f>SUM(AC252:AC256)</f>
        <v>451596433</v>
      </c>
      <c r="AD251" s="636">
        <f t="shared" si="296"/>
        <v>0.89602466865079367</v>
      </c>
      <c r="AE251" s="144">
        <f>SUM(AE252:AE256)</f>
        <v>51102145</v>
      </c>
      <c r="AF251" s="144">
        <f>SUM(AF252:AF256)</f>
        <v>74715703</v>
      </c>
      <c r="AG251" s="144">
        <f>SUM(AG252:AG256)</f>
        <v>70079100</v>
      </c>
      <c r="AH251" s="613">
        <f t="shared" si="297"/>
        <v>0.93794339323823261</v>
      </c>
      <c r="AI251" s="144">
        <f t="shared" ref="AI251" si="367">SUM(AI252:AI256)</f>
        <v>2096000000</v>
      </c>
      <c r="AJ251" s="144">
        <f>SUM(AJ252:AJ256)</f>
        <v>502698578</v>
      </c>
      <c r="AK251" s="910">
        <f t="shared" si="298"/>
        <v>0.23983710782442749</v>
      </c>
      <c r="AL251" s="179"/>
      <c r="AM251" s="165"/>
      <c r="AN251" s="553"/>
      <c r="AO251" s="144"/>
      <c r="AP251" s="557"/>
      <c r="AQ251" s="98"/>
    </row>
    <row r="252" spans="1:43" ht="12.75" customHeight="1">
      <c r="A252" s="692" t="s">
        <v>672</v>
      </c>
      <c r="B252" s="460" t="s">
        <v>845</v>
      </c>
      <c r="C252" s="410">
        <v>1</v>
      </c>
      <c r="D252" s="410">
        <v>1</v>
      </c>
      <c r="E252" s="872">
        <v>1</v>
      </c>
      <c r="F252" s="182">
        <v>1</v>
      </c>
      <c r="G252" s="182"/>
      <c r="H252" s="180">
        <f t="shared" ref="H252" si="368">IF((E252+G252)/C252&gt;=100%,100%,(E252+G252)/C252)</f>
        <v>1</v>
      </c>
      <c r="I252" s="642">
        <f t="shared" ref="I252" si="369">IF(F252/D252&gt;=100%,100%,F252/D252)</f>
        <v>1</v>
      </c>
      <c r="J252" s="195"/>
      <c r="K252" s="195"/>
      <c r="L252" s="101"/>
      <c r="M252" s="104"/>
      <c r="N252" s="146"/>
      <c r="O252" s="195"/>
      <c r="P252" s="195"/>
      <c r="Q252" s="195"/>
      <c r="R252" s="150"/>
      <c r="S252" s="195"/>
      <c r="T252" s="309">
        <v>1</v>
      </c>
      <c r="U252" s="242">
        <f t="shared" ref="U252:U256" si="370">SUM(E252:F252)</f>
        <v>2</v>
      </c>
      <c r="V252" s="186">
        <f t="shared" ref="V252:V256" si="371">IF(U252/T252&gt;=100%,100%,U252/T252)</f>
        <v>1</v>
      </c>
      <c r="W252" s="480">
        <v>0.25</v>
      </c>
      <c r="X252" s="472">
        <v>0.25</v>
      </c>
      <c r="Y252" s="485">
        <v>154000000</v>
      </c>
      <c r="Z252" s="378">
        <v>0</v>
      </c>
      <c r="AA252" s="174">
        <v>152980472</v>
      </c>
      <c r="AB252" s="273">
        <f t="shared" si="291"/>
        <v>0.99337968831168832</v>
      </c>
      <c r="AC252" s="269">
        <v>111305141</v>
      </c>
      <c r="AD252" s="637">
        <f t="shared" si="296"/>
        <v>0.72276065584415583</v>
      </c>
      <c r="AE252" s="156">
        <f>+AA252-AC252</f>
        <v>41675331</v>
      </c>
      <c r="AF252" s="174">
        <v>35791624</v>
      </c>
      <c r="AG252" s="174">
        <v>34895802</v>
      </c>
      <c r="AH252" s="614">
        <f t="shared" si="297"/>
        <v>0.97497118320196929</v>
      </c>
      <c r="AI252" s="250">
        <f>1896000000/4</f>
        <v>474000000</v>
      </c>
      <c r="AJ252" s="250">
        <f t="shared" ref="AJ252:AJ259" si="372">+SUM(Z252:AA252)</f>
        <v>152980472</v>
      </c>
      <c r="AK252" s="911">
        <f t="shared" si="298"/>
        <v>0.32274361181434597</v>
      </c>
      <c r="AL252" s="173"/>
      <c r="AM252" s="157"/>
      <c r="AN252" s="152" t="s">
        <v>302</v>
      </c>
      <c r="AO252" s="594" t="s">
        <v>890</v>
      </c>
      <c r="AP252" s="558"/>
      <c r="AQ252" s="93"/>
    </row>
    <row r="253" spans="1:43" ht="12.75" customHeight="1">
      <c r="A253" s="325" t="s">
        <v>673</v>
      </c>
      <c r="B253" s="458" t="s">
        <v>846</v>
      </c>
      <c r="C253" s="410">
        <v>1</v>
      </c>
      <c r="D253" s="410">
        <v>1</v>
      </c>
      <c r="E253" s="872">
        <v>1</v>
      </c>
      <c r="F253" s="182">
        <v>1</v>
      </c>
      <c r="G253" s="147"/>
      <c r="H253" s="180">
        <f t="shared" ref="H253:H256" si="373">IF((E253+G253)/C253&gt;=100%,100%,(E253+G253)/C253)</f>
        <v>1</v>
      </c>
      <c r="I253" s="642">
        <f t="shared" ref="I253:I256" si="374">IF(F253/D253&gt;=100%,100%,F253/D253)</f>
        <v>1</v>
      </c>
      <c r="J253" s="195"/>
      <c r="K253" s="195"/>
      <c r="L253" s="101"/>
      <c r="M253" s="104"/>
      <c r="N253" s="146"/>
      <c r="O253" s="195"/>
      <c r="P253" s="195"/>
      <c r="Q253" s="195"/>
      <c r="R253" s="150"/>
      <c r="S253" s="195"/>
      <c r="T253" s="309">
        <v>1</v>
      </c>
      <c r="U253" s="242">
        <f t="shared" si="370"/>
        <v>2</v>
      </c>
      <c r="V253" s="186">
        <f t="shared" si="371"/>
        <v>1</v>
      </c>
      <c r="W253" s="479">
        <v>0.25</v>
      </c>
      <c r="X253" s="472">
        <v>0.25</v>
      </c>
      <c r="Y253" s="485">
        <v>100000000</v>
      </c>
      <c r="Z253" s="378">
        <v>0</v>
      </c>
      <c r="AA253" s="174">
        <v>99948316</v>
      </c>
      <c r="AB253" s="273">
        <f t="shared" si="291"/>
        <v>0.99948316000000004</v>
      </c>
      <c r="AC253" s="269">
        <v>98457207</v>
      </c>
      <c r="AD253" s="189">
        <f t="shared" si="296"/>
        <v>0.98457207000000002</v>
      </c>
      <c r="AE253" s="156">
        <f>+AA253-AC253</f>
        <v>1491109</v>
      </c>
      <c r="AF253" s="174">
        <v>20969683</v>
      </c>
      <c r="AG253" s="174">
        <v>20006213</v>
      </c>
      <c r="AH253" s="614">
        <f t="shared" si="297"/>
        <v>0.95405414569214042</v>
      </c>
      <c r="AI253" s="250">
        <f t="shared" ref="AI253:AI255" si="375">1896000000/4</f>
        <v>474000000</v>
      </c>
      <c r="AJ253" s="250">
        <f t="shared" si="372"/>
        <v>99948316</v>
      </c>
      <c r="AK253" s="911">
        <f t="shared" si="298"/>
        <v>0.21086142616033754</v>
      </c>
      <c r="AL253" s="173"/>
      <c r="AM253" s="157"/>
      <c r="AN253" s="152" t="s">
        <v>302</v>
      </c>
      <c r="AO253" s="594" t="s">
        <v>890</v>
      </c>
      <c r="AP253" s="558"/>
      <c r="AQ253" s="93"/>
    </row>
    <row r="254" spans="1:43" ht="12.75" customHeight="1">
      <c r="A254" s="325" t="s">
        <v>674</v>
      </c>
      <c r="B254" s="458" t="s">
        <v>847</v>
      </c>
      <c r="C254" s="409">
        <v>0.1</v>
      </c>
      <c r="D254" s="409">
        <v>1</v>
      </c>
      <c r="E254" s="859">
        <v>0</v>
      </c>
      <c r="F254" s="147">
        <v>1</v>
      </c>
      <c r="G254" s="684">
        <v>0.1</v>
      </c>
      <c r="H254" s="180">
        <f t="shared" si="373"/>
        <v>1</v>
      </c>
      <c r="I254" s="642">
        <f t="shared" si="374"/>
        <v>1</v>
      </c>
      <c r="J254" s="195"/>
      <c r="K254" s="195"/>
      <c r="L254" s="101"/>
      <c r="M254" s="104"/>
      <c r="N254" s="146"/>
      <c r="O254" s="195"/>
      <c r="P254" s="195"/>
      <c r="Q254" s="195"/>
      <c r="R254" s="150"/>
      <c r="S254" s="195"/>
      <c r="T254" s="307">
        <v>1</v>
      </c>
      <c r="U254" s="242">
        <f t="shared" si="370"/>
        <v>1</v>
      </c>
      <c r="V254" s="186">
        <f t="shared" si="371"/>
        <v>1</v>
      </c>
      <c r="W254" s="479">
        <v>0.2</v>
      </c>
      <c r="X254" s="673">
        <v>0.2</v>
      </c>
      <c r="Y254" s="546">
        <v>100000000</v>
      </c>
      <c r="Z254" s="378">
        <v>0</v>
      </c>
      <c r="AA254" s="174">
        <v>99897816</v>
      </c>
      <c r="AB254" s="273">
        <f t="shared" si="291"/>
        <v>0.99897815999999995</v>
      </c>
      <c r="AC254" s="269">
        <v>98024897</v>
      </c>
      <c r="AD254" s="637">
        <f t="shared" si="296"/>
        <v>0.98024897</v>
      </c>
      <c r="AE254" s="156">
        <f>+AA254-AC254</f>
        <v>1872919</v>
      </c>
      <c r="AF254" s="174">
        <v>6228983</v>
      </c>
      <c r="AG254" s="174">
        <v>5265507</v>
      </c>
      <c r="AH254" s="614">
        <f t="shared" si="297"/>
        <v>0.84532370693578707</v>
      </c>
      <c r="AI254" s="250">
        <f t="shared" si="375"/>
        <v>474000000</v>
      </c>
      <c r="AJ254" s="250">
        <f t="shared" si="372"/>
        <v>99897816</v>
      </c>
      <c r="AK254" s="911">
        <f t="shared" si="298"/>
        <v>0.21075488607594936</v>
      </c>
      <c r="AL254" s="173"/>
      <c r="AM254" s="157"/>
      <c r="AN254" s="152" t="s">
        <v>302</v>
      </c>
      <c r="AO254" s="2243" t="s">
        <v>890</v>
      </c>
      <c r="AP254" s="558"/>
      <c r="AQ254" s="93"/>
    </row>
    <row r="255" spans="1:43" ht="12.75" customHeight="1">
      <c r="A255" s="325" t="s">
        <v>675</v>
      </c>
      <c r="B255" s="458" t="s">
        <v>847</v>
      </c>
      <c r="C255" s="409">
        <v>0.1</v>
      </c>
      <c r="D255" s="409">
        <v>1</v>
      </c>
      <c r="E255" s="859">
        <v>0</v>
      </c>
      <c r="F255" s="678">
        <v>1</v>
      </c>
      <c r="G255" s="684">
        <v>0.1</v>
      </c>
      <c r="H255" s="180">
        <f t="shared" si="373"/>
        <v>1</v>
      </c>
      <c r="I255" s="642">
        <f t="shared" si="374"/>
        <v>1</v>
      </c>
      <c r="J255" s="195"/>
      <c r="K255" s="195"/>
      <c r="L255" s="101"/>
      <c r="M255" s="104"/>
      <c r="N255" s="146"/>
      <c r="O255" s="195"/>
      <c r="P255" s="195"/>
      <c r="Q255" s="195"/>
      <c r="R255" s="150"/>
      <c r="S255" s="195"/>
      <c r="T255" s="307">
        <v>1</v>
      </c>
      <c r="U255" s="242">
        <f t="shared" si="370"/>
        <v>1</v>
      </c>
      <c r="V255" s="186">
        <f t="shared" si="371"/>
        <v>1</v>
      </c>
      <c r="W255" s="479">
        <v>0.2</v>
      </c>
      <c r="X255" s="673">
        <v>0.2</v>
      </c>
      <c r="Y255" s="546">
        <v>100000000</v>
      </c>
      <c r="Z255" s="378">
        <v>0</v>
      </c>
      <c r="AA255" s="174">
        <v>99897816</v>
      </c>
      <c r="AB255" s="273">
        <f t="shared" si="291"/>
        <v>0.99897815999999995</v>
      </c>
      <c r="AC255" s="269">
        <v>95887886</v>
      </c>
      <c r="AD255" s="637">
        <f t="shared" si="296"/>
        <v>0.95887886</v>
      </c>
      <c r="AE255" s="156">
        <f>+AA255-AC255</f>
        <v>4009930</v>
      </c>
      <c r="AF255" s="174">
        <v>6228983</v>
      </c>
      <c r="AG255" s="174">
        <v>5265513</v>
      </c>
      <c r="AH255" s="614">
        <f t="shared" si="297"/>
        <v>0.84532467017489055</v>
      </c>
      <c r="AI255" s="250">
        <f t="shared" si="375"/>
        <v>474000000</v>
      </c>
      <c r="AJ255" s="250">
        <f t="shared" si="372"/>
        <v>99897816</v>
      </c>
      <c r="AK255" s="911">
        <f t="shared" si="298"/>
        <v>0.21075488607594936</v>
      </c>
      <c r="AL255" s="173"/>
      <c r="AM255" s="157"/>
      <c r="AN255" s="152" t="s">
        <v>302</v>
      </c>
      <c r="AO255" s="2205"/>
      <c r="AP255" s="558"/>
      <c r="AQ255" s="93"/>
    </row>
    <row r="256" spans="1:43" ht="12.75" customHeight="1">
      <c r="A256" s="325" t="s">
        <v>676</v>
      </c>
      <c r="B256" s="458" t="s">
        <v>848</v>
      </c>
      <c r="C256" s="409">
        <v>1</v>
      </c>
      <c r="D256" s="409">
        <v>1</v>
      </c>
      <c r="E256" s="859">
        <v>0</v>
      </c>
      <c r="F256" s="678">
        <v>1</v>
      </c>
      <c r="G256" s="667">
        <v>1</v>
      </c>
      <c r="H256" s="180">
        <f t="shared" si="373"/>
        <v>1</v>
      </c>
      <c r="I256" s="642">
        <f t="shared" si="374"/>
        <v>1</v>
      </c>
      <c r="J256" s="195"/>
      <c r="K256" s="195"/>
      <c r="L256" s="101"/>
      <c r="M256" s="104"/>
      <c r="N256" s="146"/>
      <c r="O256" s="195"/>
      <c r="P256" s="195"/>
      <c r="Q256" s="195"/>
      <c r="R256" s="150"/>
      <c r="S256" s="195"/>
      <c r="T256" s="307">
        <v>3</v>
      </c>
      <c r="U256" s="242">
        <f t="shared" si="370"/>
        <v>1</v>
      </c>
      <c r="V256" s="186">
        <f t="shared" si="371"/>
        <v>0.33333333333333331</v>
      </c>
      <c r="W256" s="881">
        <v>0.1</v>
      </c>
      <c r="X256" s="472">
        <v>0.1</v>
      </c>
      <c r="Y256" s="544">
        <v>50000000</v>
      </c>
      <c r="Z256" s="378">
        <v>0</v>
      </c>
      <c r="AA256" s="174">
        <v>49974158</v>
      </c>
      <c r="AB256" s="273">
        <f t="shared" si="291"/>
        <v>0.99948316000000004</v>
      </c>
      <c r="AC256" s="269">
        <v>47921302</v>
      </c>
      <c r="AD256" s="637">
        <f t="shared" si="296"/>
        <v>0.95842603999999998</v>
      </c>
      <c r="AE256" s="156">
        <f>+AA256-AC256</f>
        <v>2052856</v>
      </c>
      <c r="AF256" s="174">
        <v>5496430</v>
      </c>
      <c r="AG256" s="174">
        <v>4646065</v>
      </c>
      <c r="AH256" s="614">
        <f t="shared" si="297"/>
        <v>0.84528775950935431</v>
      </c>
      <c r="AI256" s="250">
        <v>200000000</v>
      </c>
      <c r="AJ256" s="250">
        <f t="shared" si="372"/>
        <v>49974158</v>
      </c>
      <c r="AK256" s="911">
        <f t="shared" si="298"/>
        <v>0.24987079000000001</v>
      </c>
      <c r="AL256" s="173"/>
      <c r="AM256" s="157"/>
      <c r="AN256" s="152" t="s">
        <v>302</v>
      </c>
      <c r="AO256" s="594" t="s">
        <v>890</v>
      </c>
      <c r="AP256" s="558"/>
      <c r="AQ256" s="93"/>
    </row>
    <row r="257" spans="1:44" ht="51.75" customHeight="1">
      <c r="A257" s="315" t="s">
        <v>497</v>
      </c>
      <c r="B257" s="138"/>
      <c r="C257" s="223"/>
      <c r="D257" s="223"/>
      <c r="E257" s="139"/>
      <c r="F257" s="139"/>
      <c r="G257" s="139"/>
      <c r="H257" s="140">
        <f>+SUMPRODUCT(H258:H259,W258:W259)</f>
        <v>1</v>
      </c>
      <c r="I257" s="161">
        <f>+SUMPRODUCT(I258:I259,X258:X259)</f>
        <v>0.82857142857142851</v>
      </c>
      <c r="J257" s="194"/>
      <c r="K257" s="194"/>
      <c r="L257" s="141"/>
      <c r="M257" s="142"/>
      <c r="N257" s="142"/>
      <c r="O257" s="194"/>
      <c r="P257" s="194"/>
      <c r="Q257" s="194"/>
      <c r="R257" s="163"/>
      <c r="S257" s="194"/>
      <c r="T257" s="240"/>
      <c r="U257" s="261"/>
      <c r="V257" s="177">
        <f>+SUMPRODUCT(V258:V259,W258:W259)</f>
        <v>1</v>
      </c>
      <c r="W257" s="471">
        <v>0.4</v>
      </c>
      <c r="X257" s="471">
        <v>0.4</v>
      </c>
      <c r="Y257" s="144">
        <f>SUM(Y258:Y259)</f>
        <v>232500000</v>
      </c>
      <c r="Z257" s="144">
        <f>SUM(Z258:Z259)</f>
        <v>0</v>
      </c>
      <c r="AA257" s="144">
        <f>SUM(AA258:AA259)</f>
        <v>232379942</v>
      </c>
      <c r="AB257" s="272">
        <f t="shared" si="291"/>
        <v>0.9994836215053764</v>
      </c>
      <c r="AC257" s="144">
        <f>SUM(AC258:AC259)</f>
        <v>228122671</v>
      </c>
      <c r="AD257" s="636">
        <f t="shared" si="296"/>
        <v>0.9811727784946237</v>
      </c>
      <c r="AE257" s="144">
        <f>SUM(AE258:AE259)</f>
        <v>4257271</v>
      </c>
      <c r="AF257" s="144">
        <f>SUM(AF258:AF259)</f>
        <v>72426529</v>
      </c>
      <c r="AG257" s="144">
        <f>SUM(AG258:AG259)</f>
        <v>60729505</v>
      </c>
      <c r="AH257" s="613">
        <f t="shared" si="297"/>
        <v>0.83849807299201096</v>
      </c>
      <c r="AI257" s="144">
        <f t="shared" ref="AI257" si="376">SUM(AI258:AI259)</f>
        <v>1550000000</v>
      </c>
      <c r="AJ257" s="144">
        <f>SUM(AJ258:AJ259)</f>
        <v>232379942</v>
      </c>
      <c r="AK257" s="910">
        <f t="shared" si="298"/>
        <v>0.14992254322580645</v>
      </c>
      <c r="AL257" s="179"/>
      <c r="AM257" s="165"/>
      <c r="AN257" s="553"/>
      <c r="AO257" s="144"/>
      <c r="AP257" s="557"/>
      <c r="AQ257" s="98"/>
    </row>
    <row r="258" spans="1:44" ht="37.5" customHeight="1">
      <c r="A258" s="325" t="s">
        <v>677</v>
      </c>
      <c r="B258" s="461" t="s">
        <v>849</v>
      </c>
      <c r="C258" s="411">
        <v>0.5</v>
      </c>
      <c r="D258" s="411">
        <v>0.7</v>
      </c>
      <c r="E258" s="872">
        <v>0.5</v>
      </c>
      <c r="F258" s="182">
        <v>0.5</v>
      </c>
      <c r="G258" s="147"/>
      <c r="H258" s="180">
        <f t="shared" ref="H258:H259" si="377">IF((E258+G258)/C258&gt;=100%,100%,(E258+G258)/C258)</f>
        <v>1</v>
      </c>
      <c r="I258" s="642">
        <f t="shared" ref="I258:I259" si="378">IF(F258/D258&gt;=100%,100%,F258/D258)</f>
        <v>0.7142857142857143</v>
      </c>
      <c r="J258" s="195"/>
      <c r="K258" s="195"/>
      <c r="L258" s="101"/>
      <c r="M258" s="104"/>
      <c r="N258" s="146"/>
      <c r="O258" s="195"/>
      <c r="P258" s="195"/>
      <c r="Q258" s="195"/>
      <c r="R258" s="150"/>
      <c r="S258" s="195"/>
      <c r="T258" s="309">
        <v>1</v>
      </c>
      <c r="U258" s="242">
        <f t="shared" ref="U258:U259" si="379">SUM(E258:F258)</f>
        <v>1</v>
      </c>
      <c r="V258" s="186">
        <f t="shared" ref="V258:V259" si="380">IF(U258/T258&gt;=100%,100%,U258/T258)</f>
        <v>1</v>
      </c>
      <c r="W258" s="901">
        <v>0.6</v>
      </c>
      <c r="X258" s="476">
        <v>0.6</v>
      </c>
      <c r="Y258" s="546">
        <v>130000000</v>
      </c>
      <c r="Z258" s="378">
        <v>0</v>
      </c>
      <c r="AA258" s="174">
        <v>129932703</v>
      </c>
      <c r="AB258" s="273">
        <f t="shared" si="291"/>
        <v>0.99948233076923076</v>
      </c>
      <c r="AC258" s="269">
        <v>127377913</v>
      </c>
      <c r="AD258" s="189">
        <f t="shared" si="296"/>
        <v>0.97983010000000004</v>
      </c>
      <c r="AE258" s="156">
        <f>+AA258-AC258</f>
        <v>2554790</v>
      </c>
      <c r="AF258" s="174">
        <v>66618062</v>
      </c>
      <c r="AG258" s="174">
        <v>55504320</v>
      </c>
      <c r="AH258" s="614">
        <f t="shared" si="297"/>
        <v>0.83317224088566255</v>
      </c>
      <c r="AI258" s="250">
        <v>1100000000</v>
      </c>
      <c r="AJ258" s="250">
        <f t="shared" si="372"/>
        <v>129932703</v>
      </c>
      <c r="AK258" s="911">
        <f t="shared" si="298"/>
        <v>0.11812063909090909</v>
      </c>
      <c r="AL258" s="173"/>
      <c r="AM258" s="157"/>
      <c r="AN258" s="152" t="s">
        <v>302</v>
      </c>
      <c r="AO258" s="595" t="s">
        <v>890</v>
      </c>
      <c r="AP258" s="558"/>
      <c r="AQ258" s="93"/>
    </row>
    <row r="259" spans="1:44" ht="37.5" customHeight="1" thickBot="1">
      <c r="A259" s="325" t="s">
        <v>678</v>
      </c>
      <c r="B259" s="462" t="s">
        <v>29</v>
      </c>
      <c r="C259" s="854">
        <v>1</v>
      </c>
      <c r="D259" s="411">
        <v>1</v>
      </c>
      <c r="E259" s="874">
        <v>1</v>
      </c>
      <c r="F259" s="182">
        <v>1</v>
      </c>
      <c r="G259" s="182"/>
      <c r="H259" s="180">
        <f t="shared" si="377"/>
        <v>1</v>
      </c>
      <c r="I259" s="642">
        <f t="shared" si="378"/>
        <v>1</v>
      </c>
      <c r="J259" s="195"/>
      <c r="K259" s="195"/>
      <c r="L259" s="101"/>
      <c r="M259" s="104"/>
      <c r="N259" s="146"/>
      <c r="O259" s="195"/>
      <c r="P259" s="195"/>
      <c r="Q259" s="195"/>
      <c r="R259" s="150"/>
      <c r="S259" s="195"/>
      <c r="T259" s="309">
        <v>1</v>
      </c>
      <c r="U259" s="242">
        <f t="shared" si="379"/>
        <v>2</v>
      </c>
      <c r="V259" s="186">
        <f t="shared" si="380"/>
        <v>1</v>
      </c>
      <c r="W259" s="892">
        <v>0.4</v>
      </c>
      <c r="X259" s="476">
        <v>0.4</v>
      </c>
      <c r="Y259" s="546">
        <v>102500000</v>
      </c>
      <c r="Z259" s="378">
        <v>0</v>
      </c>
      <c r="AA259" s="174">
        <v>102447239</v>
      </c>
      <c r="AB259" s="273">
        <f t="shared" si="291"/>
        <v>0.99948525853658532</v>
      </c>
      <c r="AC259" s="269">
        <v>100744758</v>
      </c>
      <c r="AD259" s="637">
        <f t="shared" si="296"/>
        <v>0.982875687804878</v>
      </c>
      <c r="AE259" s="156">
        <f>+AA259-AC259</f>
        <v>1702481</v>
      </c>
      <c r="AF259" s="174">
        <v>5808467</v>
      </c>
      <c r="AG259" s="174">
        <v>5225185</v>
      </c>
      <c r="AH259" s="614">
        <f t="shared" si="297"/>
        <v>0.89958073274755623</v>
      </c>
      <c r="AI259" s="250">
        <v>450000000</v>
      </c>
      <c r="AJ259" s="250">
        <f t="shared" si="372"/>
        <v>102447239</v>
      </c>
      <c r="AK259" s="911">
        <f t="shared" si="298"/>
        <v>0.22766053111111112</v>
      </c>
      <c r="AL259" s="173"/>
      <c r="AM259" s="157"/>
      <c r="AN259" s="152" t="s">
        <v>29</v>
      </c>
      <c r="AO259" s="595" t="s">
        <v>890</v>
      </c>
      <c r="AP259" s="558"/>
      <c r="AQ259" s="93"/>
    </row>
    <row r="260" spans="1:44" ht="42.75" customHeight="1" thickBot="1">
      <c r="A260" s="314" t="s">
        <v>443</v>
      </c>
      <c r="B260" s="413"/>
      <c r="C260" s="835"/>
      <c r="D260" s="222"/>
      <c r="E260" s="862"/>
      <c r="F260" s="129"/>
      <c r="G260" s="465"/>
      <c r="H260" s="130">
        <f>+(H261*W261)+(H266*W266)+(H268*W268)</f>
        <v>0.8</v>
      </c>
      <c r="I260" s="130">
        <f>+(I261*X261)+(I266*X266)+(I268*X268)</f>
        <v>0.6</v>
      </c>
      <c r="J260" s="193"/>
      <c r="K260" s="193"/>
      <c r="L260" s="132"/>
      <c r="M260" s="133"/>
      <c r="N260" s="133"/>
      <c r="O260" s="193"/>
      <c r="P260" s="193"/>
      <c r="Q260" s="193"/>
      <c r="R260" s="159"/>
      <c r="S260" s="193"/>
      <c r="T260" s="239"/>
      <c r="U260" s="257"/>
      <c r="V260" s="465">
        <f>+(V261*W261)+(V266*W266)+(V268*W268)</f>
        <v>0.52500000000000002</v>
      </c>
      <c r="W260" s="883">
        <v>0.09</v>
      </c>
      <c r="X260" s="470">
        <v>0.09</v>
      </c>
      <c r="Y260" s="135">
        <f>+Y261+Y266+Y268</f>
        <v>410000000</v>
      </c>
      <c r="Z260" s="135">
        <f>+Z261+Z266+Z268</f>
        <v>0</v>
      </c>
      <c r="AA260" s="135">
        <f>+AA261+AA266+AA268</f>
        <v>406467635</v>
      </c>
      <c r="AB260" s="271">
        <f t="shared" si="291"/>
        <v>0.99138447560975607</v>
      </c>
      <c r="AC260" s="135">
        <f>+AC261+AC266+AC268</f>
        <v>362624429.89999998</v>
      </c>
      <c r="AD260" s="187">
        <f t="shared" si="296"/>
        <v>0.88444982902439018</v>
      </c>
      <c r="AE260" s="135">
        <f>+AE261+AE266+AE268</f>
        <v>43843205.099999994</v>
      </c>
      <c r="AF260" s="135">
        <f>+AF261+AF266+AF268</f>
        <v>90085145</v>
      </c>
      <c r="AG260" s="135">
        <f>+AG261+AG266+AG268</f>
        <v>87045441</v>
      </c>
      <c r="AH260" s="612">
        <f t="shared" si="297"/>
        <v>0.966257433453651</v>
      </c>
      <c r="AI260" s="135">
        <f t="shared" ref="AI260" si="381">+AI261+AI266+AI268</f>
        <v>1750000000</v>
      </c>
      <c r="AJ260" s="135">
        <f>+AJ261+AJ266+AJ268</f>
        <v>406467635</v>
      </c>
      <c r="AK260" s="915">
        <f t="shared" si="298"/>
        <v>0.23226722</v>
      </c>
      <c r="AL260" s="172"/>
      <c r="AM260" s="160" t="s">
        <v>301</v>
      </c>
      <c r="AN260" s="136"/>
      <c r="AO260" s="135"/>
      <c r="AP260" s="556"/>
      <c r="AQ260" s="97"/>
    </row>
    <row r="261" spans="1:44" ht="51.75" customHeight="1">
      <c r="A261" s="315" t="s">
        <v>498</v>
      </c>
      <c r="B261" s="138"/>
      <c r="C261" s="849"/>
      <c r="D261" s="223"/>
      <c r="E261" s="873"/>
      <c r="F261" s="139"/>
      <c r="G261" s="139"/>
      <c r="H261" s="161">
        <f>+SUMPRODUCT(H262:H265,W262:W265)</f>
        <v>1</v>
      </c>
      <c r="I261" s="161">
        <f>+SUMPRODUCT(I262:I265,X262:X265)</f>
        <v>1</v>
      </c>
      <c r="J261" s="194"/>
      <c r="K261" s="194"/>
      <c r="L261" s="141"/>
      <c r="M261" s="142"/>
      <c r="N261" s="142"/>
      <c r="O261" s="194"/>
      <c r="P261" s="194"/>
      <c r="Q261" s="194"/>
      <c r="R261" s="163"/>
      <c r="S261" s="194"/>
      <c r="T261" s="240"/>
      <c r="U261" s="261"/>
      <c r="V261" s="177">
        <f>+SUMPRODUCT(V262:V265,W262:W265)</f>
        <v>0.875</v>
      </c>
      <c r="W261" s="294">
        <v>0.6</v>
      </c>
      <c r="X261" s="471">
        <v>0.6</v>
      </c>
      <c r="Y261" s="144">
        <f>SUM(Y262:Y265)</f>
        <v>200000000</v>
      </c>
      <c r="Z261" s="144">
        <f>SUM(Z262:Z265)</f>
        <v>0</v>
      </c>
      <c r="AA261" s="144">
        <f>SUM(AA262:AA265)</f>
        <v>197655050</v>
      </c>
      <c r="AB261" s="272">
        <f t="shared" si="291"/>
        <v>0.98827525000000005</v>
      </c>
      <c r="AC261" s="144">
        <f>SUM(AC262:AC265)</f>
        <v>176365430</v>
      </c>
      <c r="AD261" s="636">
        <f t="shared" si="296"/>
        <v>0.88182715</v>
      </c>
      <c r="AE261" s="144">
        <f>SUM(AE262:AE265)</f>
        <v>21289620</v>
      </c>
      <c r="AF261" s="144">
        <f>SUM(AF262:AF265)</f>
        <v>29457774</v>
      </c>
      <c r="AG261" s="144">
        <f>SUM(AG262:AG265)</f>
        <v>28061863</v>
      </c>
      <c r="AH261" s="613">
        <f t="shared" si="297"/>
        <v>0.95261315400138513</v>
      </c>
      <c r="AI261" s="144">
        <f t="shared" ref="AI261" si="382">SUM(AI262:AI265)</f>
        <v>1000000000</v>
      </c>
      <c r="AJ261" s="144">
        <f>SUM(AJ262:AJ265)</f>
        <v>197655050</v>
      </c>
      <c r="AK261" s="910">
        <f t="shared" si="298"/>
        <v>0.19765505</v>
      </c>
      <c r="AL261" s="179"/>
      <c r="AM261" s="165"/>
      <c r="AN261" s="553"/>
      <c r="AO261" s="144"/>
      <c r="AP261" s="557"/>
      <c r="AQ261" s="98"/>
    </row>
    <row r="262" spans="1:44" ht="12.75" customHeight="1">
      <c r="A262" s="352" t="s">
        <v>679</v>
      </c>
      <c r="B262" s="457" t="s">
        <v>850</v>
      </c>
      <c r="C262" s="407">
        <v>1</v>
      </c>
      <c r="D262" s="407">
        <v>1</v>
      </c>
      <c r="E262" s="147">
        <v>1</v>
      </c>
      <c r="F262" s="678">
        <v>1</v>
      </c>
      <c r="G262" s="147"/>
      <c r="H262" s="180">
        <f t="shared" ref="H262:H265" si="383">IF((E262+G262)/C262&gt;=100%,100%,(E262+G262)/C262)</f>
        <v>1</v>
      </c>
      <c r="I262" s="642">
        <f t="shared" ref="I262:I265" si="384">IF(F262/D262&gt;=100%,100%,F262/D262)</f>
        <v>1</v>
      </c>
      <c r="J262" s="195"/>
      <c r="K262" s="195"/>
      <c r="L262" s="101"/>
      <c r="M262" s="104"/>
      <c r="N262" s="146"/>
      <c r="O262" s="195"/>
      <c r="P262" s="195"/>
      <c r="Q262" s="195"/>
      <c r="R262" s="150"/>
      <c r="S262" s="195"/>
      <c r="T262" s="241">
        <v>4</v>
      </c>
      <c r="U262" s="242">
        <f t="shared" ref="U262:U265" si="385">SUM(E262:F262)</f>
        <v>2</v>
      </c>
      <c r="V262" s="186">
        <f t="shared" ref="V262:V265" si="386">IF(U262/T262&gt;=100%,100%,U262/T262)</f>
        <v>0.5</v>
      </c>
      <c r="W262" s="476">
        <v>0.25</v>
      </c>
      <c r="X262" s="476">
        <v>0.25</v>
      </c>
      <c r="Y262" s="486">
        <v>50000000</v>
      </c>
      <c r="Z262" s="378">
        <v>0</v>
      </c>
      <c r="AA262" s="174">
        <v>49517290</v>
      </c>
      <c r="AB262" s="273">
        <f t="shared" si="291"/>
        <v>0.99034580000000005</v>
      </c>
      <c r="AC262" s="269">
        <v>42800491</v>
      </c>
      <c r="AD262" s="637">
        <f t="shared" si="296"/>
        <v>0.85600982000000003</v>
      </c>
      <c r="AE262" s="156">
        <f>+AA262-AC262</f>
        <v>6716799</v>
      </c>
      <c r="AF262" s="174">
        <v>2639033</v>
      </c>
      <c r="AG262" s="174">
        <v>2264369</v>
      </c>
      <c r="AH262" s="614">
        <f t="shared" si="297"/>
        <v>0.85802981622435193</v>
      </c>
      <c r="AI262" s="250">
        <f>1000000000/4</f>
        <v>250000000</v>
      </c>
      <c r="AJ262" s="250">
        <f t="shared" ref="AJ262:AJ269" si="387">+SUM(Z262:AA262)</f>
        <v>49517290</v>
      </c>
      <c r="AK262" s="911">
        <f t="shared" si="298"/>
        <v>0.19806915999999999</v>
      </c>
      <c r="AL262" s="173"/>
      <c r="AM262" s="157"/>
      <c r="AN262" s="152" t="s">
        <v>302</v>
      </c>
      <c r="AO262" s="2244" t="s">
        <v>890</v>
      </c>
      <c r="AP262" s="558"/>
      <c r="AQ262" s="93"/>
    </row>
    <row r="263" spans="1:44" ht="12.75" customHeight="1">
      <c r="A263" s="352" t="s">
        <v>680</v>
      </c>
      <c r="B263" s="457" t="s">
        <v>851</v>
      </c>
      <c r="C263" s="407">
        <v>1</v>
      </c>
      <c r="D263" s="407">
        <v>1</v>
      </c>
      <c r="E263" s="859">
        <v>1</v>
      </c>
      <c r="F263" s="147">
        <v>1</v>
      </c>
      <c r="G263" s="147"/>
      <c r="H263" s="180">
        <f t="shared" si="383"/>
        <v>1</v>
      </c>
      <c r="I263" s="642">
        <f t="shared" si="384"/>
        <v>1</v>
      </c>
      <c r="J263" s="195"/>
      <c r="K263" s="195"/>
      <c r="L263" s="206"/>
      <c r="M263" s="207"/>
      <c r="N263" s="146"/>
      <c r="O263" s="195"/>
      <c r="P263" s="195"/>
      <c r="Q263" s="195"/>
      <c r="R263" s="150"/>
      <c r="S263" s="195"/>
      <c r="T263" s="241">
        <v>1</v>
      </c>
      <c r="U263" s="242">
        <f t="shared" si="385"/>
        <v>2</v>
      </c>
      <c r="V263" s="186">
        <f t="shared" si="386"/>
        <v>1</v>
      </c>
      <c r="W263" s="901">
        <v>0.25</v>
      </c>
      <c r="X263" s="476">
        <v>0.25</v>
      </c>
      <c r="Y263" s="486">
        <v>50000000</v>
      </c>
      <c r="Z263" s="378">
        <v>0</v>
      </c>
      <c r="AA263" s="174">
        <v>49974158</v>
      </c>
      <c r="AB263" s="273">
        <f t="shared" si="291"/>
        <v>0.99948316000000004</v>
      </c>
      <c r="AC263" s="269">
        <v>48121302</v>
      </c>
      <c r="AD263" s="637">
        <f t="shared" si="296"/>
        <v>0.96242603999999998</v>
      </c>
      <c r="AE263" s="156">
        <f>+AA263-AC263</f>
        <v>1852856</v>
      </c>
      <c r="AF263" s="174">
        <v>1540675</v>
      </c>
      <c r="AG263" s="174">
        <v>1321944</v>
      </c>
      <c r="AH263" s="614">
        <f t="shared" si="297"/>
        <v>0.85802911061709963</v>
      </c>
      <c r="AI263" s="250">
        <f t="shared" ref="AI263:AI265" si="388">1000000000/4</f>
        <v>250000000</v>
      </c>
      <c r="AJ263" s="250">
        <f t="shared" si="387"/>
        <v>49974158</v>
      </c>
      <c r="AK263" s="911">
        <f t="shared" si="298"/>
        <v>0.19989663199999999</v>
      </c>
      <c r="AL263" s="173"/>
      <c r="AM263" s="157"/>
      <c r="AN263" s="152" t="s">
        <v>302</v>
      </c>
      <c r="AO263" s="2206"/>
      <c r="AP263" s="558"/>
      <c r="AQ263" s="93"/>
      <c r="AR263" s="381"/>
    </row>
    <row r="264" spans="1:44" ht="12.75" customHeight="1">
      <c r="A264" s="352" t="s">
        <v>681</v>
      </c>
      <c r="B264" s="457" t="s">
        <v>852</v>
      </c>
      <c r="C264" s="407">
        <v>1</v>
      </c>
      <c r="D264" s="407">
        <v>1</v>
      </c>
      <c r="E264" s="859">
        <v>0</v>
      </c>
      <c r="F264" s="147">
        <v>1</v>
      </c>
      <c r="G264" s="667">
        <v>1</v>
      </c>
      <c r="H264" s="180">
        <f t="shared" si="383"/>
        <v>1</v>
      </c>
      <c r="I264" s="642">
        <f t="shared" si="384"/>
        <v>1</v>
      </c>
      <c r="J264" s="195"/>
      <c r="K264" s="195"/>
      <c r="L264" s="206"/>
      <c r="M264" s="207"/>
      <c r="N264" s="146"/>
      <c r="O264" s="195"/>
      <c r="P264" s="195"/>
      <c r="Q264" s="195"/>
      <c r="R264" s="150"/>
      <c r="S264" s="195"/>
      <c r="T264" s="241">
        <v>1</v>
      </c>
      <c r="U264" s="242">
        <f t="shared" si="385"/>
        <v>1</v>
      </c>
      <c r="V264" s="186">
        <f t="shared" si="386"/>
        <v>1</v>
      </c>
      <c r="W264" s="901">
        <v>0.25</v>
      </c>
      <c r="X264" s="476">
        <v>0.25</v>
      </c>
      <c r="Y264" s="486">
        <v>50000000</v>
      </c>
      <c r="Z264" s="378">
        <v>0</v>
      </c>
      <c r="AA264" s="174">
        <v>49974158</v>
      </c>
      <c r="AB264" s="273">
        <f t="shared" ref="AB264:AB291" si="389">+AA264/Y264</f>
        <v>0.99948316000000004</v>
      </c>
      <c r="AC264" s="269">
        <v>45099695</v>
      </c>
      <c r="AD264" s="637">
        <f t="shared" si="296"/>
        <v>0.90199390000000002</v>
      </c>
      <c r="AE264" s="156">
        <f>+AA264-AC264</f>
        <v>4874463</v>
      </c>
      <c r="AF264" s="174">
        <v>12639033</v>
      </c>
      <c r="AG264" s="174">
        <v>12244710</v>
      </c>
      <c r="AH264" s="614">
        <f t="shared" si="297"/>
        <v>0.96880117331761062</v>
      </c>
      <c r="AI264" s="250">
        <f t="shared" si="388"/>
        <v>250000000</v>
      </c>
      <c r="AJ264" s="250">
        <f t="shared" si="387"/>
        <v>49974158</v>
      </c>
      <c r="AK264" s="911">
        <f t="shared" si="298"/>
        <v>0.19989663199999999</v>
      </c>
      <c r="AL264" s="173"/>
      <c r="AM264" s="157"/>
      <c r="AN264" s="152" t="s">
        <v>302</v>
      </c>
      <c r="AO264" s="2206"/>
      <c r="AP264" s="558"/>
      <c r="AQ264" s="93"/>
      <c r="AR264" s="382"/>
    </row>
    <row r="265" spans="1:44" ht="12.75" customHeight="1">
      <c r="A265" s="355" t="s">
        <v>682</v>
      </c>
      <c r="B265" s="310" t="s">
        <v>853</v>
      </c>
      <c r="C265" s="407">
        <v>1</v>
      </c>
      <c r="D265" s="407">
        <v>1</v>
      </c>
      <c r="E265" s="859">
        <v>0</v>
      </c>
      <c r="F265" s="147">
        <v>1</v>
      </c>
      <c r="G265" s="667">
        <v>1</v>
      </c>
      <c r="H265" s="180">
        <f t="shared" si="383"/>
        <v>1</v>
      </c>
      <c r="I265" s="642">
        <f t="shared" si="384"/>
        <v>1</v>
      </c>
      <c r="J265" s="195"/>
      <c r="K265" s="195"/>
      <c r="L265" s="206"/>
      <c r="M265" s="207"/>
      <c r="N265" s="146"/>
      <c r="O265" s="195"/>
      <c r="P265" s="195"/>
      <c r="Q265" s="195"/>
      <c r="R265" s="150"/>
      <c r="S265" s="195"/>
      <c r="T265" s="241">
        <v>1</v>
      </c>
      <c r="U265" s="242">
        <f t="shared" si="385"/>
        <v>1</v>
      </c>
      <c r="V265" s="186">
        <f t="shared" si="386"/>
        <v>1</v>
      </c>
      <c r="W265" s="901">
        <v>0.25</v>
      </c>
      <c r="X265" s="476">
        <v>0.25</v>
      </c>
      <c r="Y265" s="486">
        <v>50000000</v>
      </c>
      <c r="Z265" s="378">
        <v>0</v>
      </c>
      <c r="AA265" s="174">
        <v>48189444</v>
      </c>
      <c r="AB265" s="273">
        <f t="shared" si="389"/>
        <v>0.96378887999999996</v>
      </c>
      <c r="AC265" s="269">
        <v>40343942</v>
      </c>
      <c r="AD265" s="637">
        <f t="shared" ref="AD265:AD294" si="390">+AC265/Y265</f>
        <v>0.80687883999999999</v>
      </c>
      <c r="AE265" s="156">
        <f>+AA265-AC265</f>
        <v>7845502</v>
      </c>
      <c r="AF265" s="174">
        <v>12639033</v>
      </c>
      <c r="AG265" s="174">
        <v>12230840</v>
      </c>
      <c r="AH265" s="614">
        <f t="shared" ref="AH265:AH294" si="391">+AG265/AF265</f>
        <v>0.96770377923690842</v>
      </c>
      <c r="AI265" s="250">
        <f t="shared" si="388"/>
        <v>250000000</v>
      </c>
      <c r="AJ265" s="250">
        <f t="shared" si="387"/>
        <v>48189444</v>
      </c>
      <c r="AK265" s="911">
        <f t="shared" ref="AK265:AK294" si="392">+AJ265/AI265</f>
        <v>0.19275777599999999</v>
      </c>
      <c r="AL265" s="173"/>
      <c r="AM265" s="157"/>
      <c r="AN265" s="152" t="s">
        <v>302</v>
      </c>
      <c r="AO265" s="2205"/>
      <c r="AP265" s="558"/>
      <c r="AQ265" s="93"/>
    </row>
    <row r="266" spans="1:44" ht="51.75" customHeight="1">
      <c r="A266" s="315" t="s">
        <v>499</v>
      </c>
      <c r="B266" s="138"/>
      <c r="C266" s="223"/>
      <c r="D266" s="223"/>
      <c r="E266" s="139"/>
      <c r="F266" s="139"/>
      <c r="G266" s="139"/>
      <c r="H266" s="161">
        <f>+(H267*W267)</f>
        <v>0</v>
      </c>
      <c r="I266" s="161">
        <f>+(I267*X267)</f>
        <v>0</v>
      </c>
      <c r="J266" s="194"/>
      <c r="K266" s="194"/>
      <c r="L266" s="141"/>
      <c r="M266" s="142"/>
      <c r="N266" s="142"/>
      <c r="O266" s="194"/>
      <c r="P266" s="194"/>
      <c r="Q266" s="194"/>
      <c r="R266" s="163"/>
      <c r="S266" s="194"/>
      <c r="T266" s="240"/>
      <c r="U266" s="261"/>
      <c r="V266" s="177">
        <f>+(V267*W267)</f>
        <v>0</v>
      </c>
      <c r="W266" s="471">
        <v>0.2</v>
      </c>
      <c r="X266" s="471">
        <v>0.2</v>
      </c>
      <c r="Y266" s="144">
        <f>SUM(Y267)</f>
        <v>85000000</v>
      </c>
      <c r="Z266" s="144">
        <f>SUM(Z267)</f>
        <v>0</v>
      </c>
      <c r="AA266" s="144">
        <f>SUM(AA267)</f>
        <v>83877190</v>
      </c>
      <c r="AB266" s="272">
        <f t="shared" si="389"/>
        <v>0.98679047058823532</v>
      </c>
      <c r="AC266" s="144">
        <f>SUM(AC267)</f>
        <v>79597592</v>
      </c>
      <c r="AD266" s="188">
        <f t="shared" si="390"/>
        <v>0.93644225882352938</v>
      </c>
      <c r="AE266" s="144">
        <f>SUM(AE267)</f>
        <v>4279598</v>
      </c>
      <c r="AF266" s="144">
        <f>SUM(AF267)</f>
        <v>5496745</v>
      </c>
      <c r="AG266" s="144">
        <f>SUM(AG267)</f>
        <v>4646533</v>
      </c>
      <c r="AH266" s="613">
        <f t="shared" si="391"/>
        <v>0.84532446020326579</v>
      </c>
      <c r="AI266" s="144">
        <f t="shared" ref="AI266" si="393">SUM(AI267)</f>
        <v>300000000</v>
      </c>
      <c r="AJ266" s="144">
        <f>SUM(AJ267)</f>
        <v>83877190</v>
      </c>
      <c r="AK266" s="910">
        <f t="shared" si="392"/>
        <v>0.27959063333333334</v>
      </c>
      <c r="AL266" s="179"/>
      <c r="AM266" s="165"/>
      <c r="AN266" s="553"/>
      <c r="AO266" s="144"/>
      <c r="AP266" s="557"/>
      <c r="AQ266" s="98"/>
    </row>
    <row r="267" spans="1:44" ht="12.75" customHeight="1">
      <c r="A267" s="356" t="s">
        <v>683</v>
      </c>
      <c r="B267" s="460" t="s">
        <v>854</v>
      </c>
      <c r="C267" s="220">
        <v>1</v>
      </c>
      <c r="D267" s="220">
        <v>1</v>
      </c>
      <c r="E267" s="859">
        <v>0</v>
      </c>
      <c r="F267" s="147">
        <v>0</v>
      </c>
      <c r="G267" s="147"/>
      <c r="H267" s="180">
        <f t="shared" ref="H267" si="394">IF((E267+G267)/C267&gt;=100%,100%,(E267+G267)/C267)</f>
        <v>0</v>
      </c>
      <c r="I267" s="642">
        <f t="shared" ref="I267" si="395">IF(F267/D267&gt;=100%,100%,F267/D267)</f>
        <v>0</v>
      </c>
      <c r="J267" s="195"/>
      <c r="K267" s="195"/>
      <c r="L267" s="206"/>
      <c r="M267" s="207"/>
      <c r="N267" s="146"/>
      <c r="O267" s="195"/>
      <c r="P267" s="195"/>
      <c r="Q267" s="195"/>
      <c r="R267" s="150"/>
      <c r="S267" s="195"/>
      <c r="T267" s="241">
        <v>1</v>
      </c>
      <c r="U267" s="242">
        <f t="shared" ref="U267" si="396">SUM(E267:F267)</f>
        <v>0</v>
      </c>
      <c r="V267" s="186">
        <f t="shared" ref="V267" si="397">IF(U267/T267&gt;=100%,100%,U267/T267)</f>
        <v>0</v>
      </c>
      <c r="W267" s="477">
        <v>1</v>
      </c>
      <c r="X267" s="477">
        <v>1</v>
      </c>
      <c r="Y267" s="547">
        <v>85000000</v>
      </c>
      <c r="Z267" s="487">
        <v>0</v>
      </c>
      <c r="AA267" s="174">
        <v>83877190</v>
      </c>
      <c r="AB267" s="273">
        <f t="shared" si="389"/>
        <v>0.98679047058823532</v>
      </c>
      <c r="AC267" s="269">
        <v>79597592</v>
      </c>
      <c r="AD267" s="189">
        <f t="shared" si="390"/>
        <v>0.93644225882352938</v>
      </c>
      <c r="AE267" s="156">
        <f>+AA267-AC267</f>
        <v>4279598</v>
      </c>
      <c r="AF267" s="174">
        <v>5496745</v>
      </c>
      <c r="AG267" s="174">
        <v>4646533</v>
      </c>
      <c r="AH267" s="614">
        <f t="shared" si="391"/>
        <v>0.84532446020326579</v>
      </c>
      <c r="AI267" s="250">
        <v>300000000</v>
      </c>
      <c r="AJ267" s="250">
        <f t="shared" si="387"/>
        <v>83877190</v>
      </c>
      <c r="AK267" s="911">
        <f t="shared" si="392"/>
        <v>0.27959063333333334</v>
      </c>
      <c r="AL267" s="173"/>
      <c r="AM267" s="157"/>
      <c r="AN267" s="152" t="s">
        <v>302</v>
      </c>
      <c r="AO267" s="594" t="s">
        <v>890</v>
      </c>
      <c r="AP267" s="558"/>
      <c r="AQ267" s="93"/>
    </row>
    <row r="268" spans="1:44" ht="51.75" customHeight="1">
      <c r="A268" s="315" t="s">
        <v>500</v>
      </c>
      <c r="B268" s="138"/>
      <c r="C268" s="223"/>
      <c r="D268" s="223"/>
      <c r="E268" s="139"/>
      <c r="F268" s="139"/>
      <c r="G268" s="139"/>
      <c r="H268" s="161">
        <f>+(H269*W269)</f>
        <v>1</v>
      </c>
      <c r="I268" s="161">
        <v>0</v>
      </c>
      <c r="J268" s="194"/>
      <c r="K268" s="194"/>
      <c r="L268" s="141"/>
      <c r="M268" s="142"/>
      <c r="N268" s="142"/>
      <c r="O268" s="194"/>
      <c r="P268" s="194"/>
      <c r="Q268" s="194"/>
      <c r="R268" s="163"/>
      <c r="S268" s="194"/>
      <c r="T268" s="240"/>
      <c r="U268" s="261"/>
      <c r="V268" s="177">
        <f>+(V269*W269)</f>
        <v>0</v>
      </c>
      <c r="W268" s="471">
        <v>0.2</v>
      </c>
      <c r="X268" s="471">
        <v>0.2</v>
      </c>
      <c r="Y268" s="144">
        <f>SUM(Y269)</f>
        <v>125000000</v>
      </c>
      <c r="Z268" s="144">
        <f>SUM(Z269)</f>
        <v>0</v>
      </c>
      <c r="AA268" s="144">
        <f>SUM(AA269)</f>
        <v>124935395</v>
      </c>
      <c r="AB268" s="272">
        <f t="shared" si="389"/>
        <v>0.99948316000000004</v>
      </c>
      <c r="AC268" s="144">
        <f>SUM(AC269)</f>
        <v>106661407.90000001</v>
      </c>
      <c r="AD268" s="188">
        <f t="shared" si="390"/>
        <v>0.85329126320000004</v>
      </c>
      <c r="AE268" s="144">
        <f>SUM(AE269)</f>
        <v>18273987.099999994</v>
      </c>
      <c r="AF268" s="144">
        <f>SUM(AF269)</f>
        <v>55130626</v>
      </c>
      <c r="AG268" s="144">
        <f>SUM(AG269)</f>
        <v>54337045</v>
      </c>
      <c r="AH268" s="613">
        <f t="shared" si="391"/>
        <v>0.98560544188270238</v>
      </c>
      <c r="AI268" s="144">
        <f>SUM(AI269)</f>
        <v>450000000</v>
      </c>
      <c r="AJ268" s="144">
        <f>SUM(AJ269)</f>
        <v>124935395</v>
      </c>
      <c r="AK268" s="910">
        <f t="shared" si="392"/>
        <v>0.27763421111111108</v>
      </c>
      <c r="AL268" s="179"/>
      <c r="AM268" s="165"/>
      <c r="AN268" s="553"/>
      <c r="AO268" s="144"/>
      <c r="AP268" s="557"/>
      <c r="AQ268" s="98"/>
    </row>
    <row r="269" spans="1:44" ht="12.75" customHeight="1" thickBot="1">
      <c r="A269" s="352" t="s">
        <v>684</v>
      </c>
      <c r="B269" s="457" t="s">
        <v>855</v>
      </c>
      <c r="C269" s="855">
        <v>0.1</v>
      </c>
      <c r="D269" s="220">
        <v>1</v>
      </c>
      <c r="E269" s="866">
        <v>0</v>
      </c>
      <c r="F269" s="678">
        <v>0</v>
      </c>
      <c r="G269" s="684">
        <v>0.1</v>
      </c>
      <c r="H269" s="180">
        <f t="shared" ref="H269" si="398">IF((E269+G269)/C269&gt;=100%,100%,(E269+G269)/C269)</f>
        <v>1</v>
      </c>
      <c r="I269" s="148">
        <f t="shared" ref="I269" si="399">IF(F269/D269&gt;=100%,100%,F269/D269)</f>
        <v>0</v>
      </c>
      <c r="J269" s="195"/>
      <c r="K269" s="195"/>
      <c r="L269" s="206"/>
      <c r="M269" s="207"/>
      <c r="N269" s="146"/>
      <c r="O269" s="195"/>
      <c r="P269" s="195"/>
      <c r="Q269" s="195"/>
      <c r="R269" s="150"/>
      <c r="S269" s="195"/>
      <c r="T269" s="241">
        <v>1</v>
      </c>
      <c r="U269" s="242">
        <f t="shared" ref="U269" si="400">SUM(E269:F269)</f>
        <v>0</v>
      </c>
      <c r="V269" s="186">
        <f t="shared" ref="V269" si="401">IF(U269/T269&gt;=100%,100%,U269/T269)</f>
        <v>0</v>
      </c>
      <c r="W269" s="885">
        <v>1</v>
      </c>
      <c r="X269" s="674">
        <v>1</v>
      </c>
      <c r="Y269" s="548">
        <v>125000000</v>
      </c>
      <c r="Z269" s="487">
        <v>0</v>
      </c>
      <c r="AA269" s="174">
        <v>124935395</v>
      </c>
      <c r="AB269" s="273">
        <f t="shared" si="389"/>
        <v>0.99948316000000004</v>
      </c>
      <c r="AC269" s="269">
        <v>106661407.90000001</v>
      </c>
      <c r="AD269" s="189">
        <f t="shared" si="390"/>
        <v>0.85329126320000004</v>
      </c>
      <c r="AE269" s="156">
        <f>+AA269-AC269</f>
        <v>18273987.099999994</v>
      </c>
      <c r="AF269" s="174">
        <v>55130626</v>
      </c>
      <c r="AG269" s="174">
        <v>54337045</v>
      </c>
      <c r="AH269" s="614">
        <f t="shared" si="391"/>
        <v>0.98560544188270238</v>
      </c>
      <c r="AI269" s="250">
        <v>450000000</v>
      </c>
      <c r="AJ269" s="250">
        <f t="shared" si="387"/>
        <v>124935395</v>
      </c>
      <c r="AK269" s="911">
        <f t="shared" si="392"/>
        <v>0.27763421111111108</v>
      </c>
      <c r="AL269" s="173"/>
      <c r="AM269" s="157"/>
      <c r="AN269" s="152" t="s">
        <v>302</v>
      </c>
      <c r="AO269" s="593" t="s">
        <v>890</v>
      </c>
      <c r="AP269" s="558"/>
      <c r="AQ269" s="93"/>
    </row>
    <row r="270" spans="1:44" ht="33.75" customHeight="1" thickBot="1">
      <c r="A270" s="314" t="s">
        <v>444</v>
      </c>
      <c r="B270" s="413"/>
      <c r="C270" s="835"/>
      <c r="D270" s="222"/>
      <c r="E270" s="862"/>
      <c r="F270" s="129"/>
      <c r="G270" s="129"/>
      <c r="H270" s="254">
        <f>+(H271*W271)</f>
        <v>0.98</v>
      </c>
      <c r="I270" s="130">
        <f>+(I271*X271)</f>
        <v>0.98</v>
      </c>
      <c r="J270" s="193"/>
      <c r="K270" s="193"/>
      <c r="L270" s="132"/>
      <c r="M270" s="133"/>
      <c r="N270" s="133"/>
      <c r="O270" s="193"/>
      <c r="P270" s="193"/>
      <c r="Q270" s="193"/>
      <c r="R270" s="159"/>
      <c r="S270" s="193"/>
      <c r="T270" s="239"/>
      <c r="U270" s="257"/>
      <c r="V270" s="465">
        <f>+(V271*W271)</f>
        <v>0.8577380952380953</v>
      </c>
      <c r="W270" s="883">
        <v>0.1</v>
      </c>
      <c r="X270" s="470">
        <v>0.1</v>
      </c>
      <c r="Y270" s="135">
        <f>+Y271</f>
        <v>720000000</v>
      </c>
      <c r="Z270" s="135">
        <f>+Z271</f>
        <v>0</v>
      </c>
      <c r="AA270" s="135">
        <f>+AA271</f>
        <v>714962042</v>
      </c>
      <c r="AB270" s="271">
        <f t="shared" si="389"/>
        <v>0.99300283611111106</v>
      </c>
      <c r="AC270" s="135">
        <f>+AC271</f>
        <v>684579237</v>
      </c>
      <c r="AD270" s="634">
        <f t="shared" si="390"/>
        <v>0.95080449583333337</v>
      </c>
      <c r="AE270" s="135">
        <f>+AE271</f>
        <v>30382805</v>
      </c>
      <c r="AF270" s="135">
        <f>+AF271</f>
        <v>215849882</v>
      </c>
      <c r="AG270" s="135">
        <f>+AG271</f>
        <v>211462179</v>
      </c>
      <c r="AH270" s="612">
        <f t="shared" si="391"/>
        <v>0.97967243271413973</v>
      </c>
      <c r="AI270" s="135">
        <f t="shared" ref="AI270:AJ270" si="402">+AI271</f>
        <v>3100000000</v>
      </c>
      <c r="AJ270" s="135">
        <f t="shared" si="402"/>
        <v>714962042</v>
      </c>
      <c r="AK270" s="915">
        <f t="shared" si="392"/>
        <v>0.23063291677419354</v>
      </c>
      <c r="AL270" s="172"/>
      <c r="AM270" s="160" t="s">
        <v>301</v>
      </c>
      <c r="AN270" s="136"/>
      <c r="AO270" s="135"/>
      <c r="AP270" s="556"/>
      <c r="AQ270" s="97"/>
    </row>
    <row r="271" spans="1:44" ht="51.75" customHeight="1">
      <c r="A271" s="315" t="s">
        <v>501</v>
      </c>
      <c r="B271" s="138"/>
      <c r="C271" s="849"/>
      <c r="D271" s="223"/>
      <c r="E271" s="873"/>
      <c r="F271" s="139"/>
      <c r="G271" s="139"/>
      <c r="H271" s="161">
        <f>+SUMPRODUCT(H272:H277,W272:W277)</f>
        <v>0.98</v>
      </c>
      <c r="I271" s="161">
        <f>+SUMPRODUCT(I272:I277,X272:X277)</f>
        <v>0.98</v>
      </c>
      <c r="J271" s="194"/>
      <c r="K271" s="194"/>
      <c r="L271" s="141"/>
      <c r="M271" s="142"/>
      <c r="N271" s="142"/>
      <c r="O271" s="194"/>
      <c r="P271" s="194"/>
      <c r="Q271" s="194"/>
      <c r="R271" s="163"/>
      <c r="S271" s="194"/>
      <c r="T271" s="240"/>
      <c r="U271" s="261"/>
      <c r="V271" s="177">
        <f>+SUMPRODUCT(V272:V277,W272:W277)</f>
        <v>0.8577380952380953</v>
      </c>
      <c r="W271" s="899">
        <v>1</v>
      </c>
      <c r="X271" s="471">
        <v>1</v>
      </c>
      <c r="Y271" s="144">
        <f>SUM(Y272:Y277)</f>
        <v>720000000</v>
      </c>
      <c r="Z271" s="144">
        <f>SUM(Z272:Z277)</f>
        <v>0</v>
      </c>
      <c r="AA271" s="144">
        <f>SUM(AA272:AA277)</f>
        <v>714962042</v>
      </c>
      <c r="AB271" s="272">
        <f t="shared" si="389"/>
        <v>0.99300283611111106</v>
      </c>
      <c r="AC271" s="144">
        <f>SUM(AC272:AC277)</f>
        <v>684579237</v>
      </c>
      <c r="AD271" s="636">
        <f t="shared" si="390"/>
        <v>0.95080449583333337</v>
      </c>
      <c r="AE271" s="144">
        <f>SUM(AE272:AE277)</f>
        <v>30382805</v>
      </c>
      <c r="AF271" s="144">
        <f>SUM(AF272:AF277)</f>
        <v>215849882</v>
      </c>
      <c r="AG271" s="144">
        <f>SUM(AG272:AG277)</f>
        <v>211462179</v>
      </c>
      <c r="AH271" s="613">
        <f t="shared" si="391"/>
        <v>0.97967243271413973</v>
      </c>
      <c r="AI271" s="144">
        <f t="shared" ref="AI271:AJ271" si="403">SUM(AI272:AI277)</f>
        <v>3100000000</v>
      </c>
      <c r="AJ271" s="144">
        <f t="shared" si="403"/>
        <v>714962042</v>
      </c>
      <c r="AK271" s="910">
        <f t="shared" si="392"/>
        <v>0.23063291677419354</v>
      </c>
      <c r="AL271" s="179"/>
      <c r="AM271" s="165"/>
      <c r="AN271" s="553"/>
      <c r="AO271" s="144"/>
      <c r="AP271" s="557"/>
      <c r="AQ271" s="98"/>
    </row>
    <row r="272" spans="1:44" ht="12.75" customHeight="1">
      <c r="A272" s="353" t="s">
        <v>685</v>
      </c>
      <c r="B272" s="458" t="s">
        <v>856</v>
      </c>
      <c r="C272" s="410">
        <v>0.7</v>
      </c>
      <c r="D272" s="410">
        <v>0.7</v>
      </c>
      <c r="E272" s="182">
        <v>1</v>
      </c>
      <c r="F272" s="182">
        <v>0.9</v>
      </c>
      <c r="G272" s="182"/>
      <c r="H272" s="180">
        <f t="shared" ref="H272:H276" si="404">IF((E272+G272)/C272&gt;=100%,100%,(E272+G272)/C272)</f>
        <v>1</v>
      </c>
      <c r="I272" s="642">
        <f t="shared" ref="I272:I277" si="405">IF(F272/D272&gt;=100%,100%,F272/D272)</f>
        <v>1</v>
      </c>
      <c r="J272" s="195"/>
      <c r="K272" s="195"/>
      <c r="L272" s="206"/>
      <c r="M272" s="207"/>
      <c r="N272" s="146"/>
      <c r="O272" s="195"/>
      <c r="P272" s="195"/>
      <c r="Q272" s="195"/>
      <c r="R272" s="150"/>
      <c r="S272" s="195"/>
      <c r="T272" s="309">
        <v>0.7</v>
      </c>
      <c r="U272" s="242">
        <f t="shared" ref="U272:U277" si="406">SUM(E272:F272)</f>
        <v>1.9</v>
      </c>
      <c r="V272" s="186">
        <f t="shared" ref="V272:V277" si="407">IF(U272/T272&gt;=100%,100%,U272/T272)</f>
        <v>1</v>
      </c>
      <c r="W272" s="504">
        <v>0.25</v>
      </c>
      <c r="X272" s="504">
        <v>0.3</v>
      </c>
      <c r="Y272" s="488">
        <v>190000000</v>
      </c>
      <c r="Z272" s="377">
        <v>0</v>
      </c>
      <c r="AA272" s="174">
        <v>187984459</v>
      </c>
      <c r="AB272" s="273">
        <f t="shared" si="389"/>
        <v>0.98939188947368417</v>
      </c>
      <c r="AC272" s="269">
        <v>165461038</v>
      </c>
      <c r="AD272" s="189">
        <f t="shared" si="390"/>
        <v>0.8708475684210526</v>
      </c>
      <c r="AE272" s="156">
        <f t="shared" ref="AE272:AE277" si="408">+AA272-AC272</f>
        <v>22523421</v>
      </c>
      <c r="AF272" s="174">
        <v>87266472</v>
      </c>
      <c r="AG272" s="174">
        <v>85708098</v>
      </c>
      <c r="AH272" s="614">
        <f t="shared" si="391"/>
        <v>0.98214235130302963</v>
      </c>
      <c r="AI272" s="250">
        <f>1500000000/2</f>
        <v>750000000</v>
      </c>
      <c r="AJ272" s="250">
        <f t="shared" ref="AJ272:AJ277" si="409">+SUM(Z272:AA272)</f>
        <v>187984459</v>
      </c>
      <c r="AK272" s="911">
        <f t="shared" si="392"/>
        <v>0.25064594533333334</v>
      </c>
      <c r="AL272" s="173"/>
      <c r="AM272" s="157"/>
      <c r="AN272" s="152" t="s">
        <v>302</v>
      </c>
      <c r="AO272" s="598" t="s">
        <v>926</v>
      </c>
      <c r="AP272" s="558"/>
      <c r="AQ272" s="93"/>
    </row>
    <row r="273" spans="1:43" ht="12.75" customHeight="1">
      <c r="A273" s="353" t="s">
        <v>686</v>
      </c>
      <c r="B273" s="458" t="s">
        <v>857</v>
      </c>
      <c r="C273" s="410">
        <v>0.2</v>
      </c>
      <c r="D273" s="410">
        <v>0.2</v>
      </c>
      <c r="E273" s="182">
        <v>0.34</v>
      </c>
      <c r="F273" s="182">
        <v>0.2</v>
      </c>
      <c r="G273" s="182"/>
      <c r="H273" s="180">
        <f t="shared" si="404"/>
        <v>1</v>
      </c>
      <c r="I273" s="642">
        <f t="shared" si="405"/>
        <v>1</v>
      </c>
      <c r="J273" s="195"/>
      <c r="K273" s="195"/>
      <c r="L273" s="206"/>
      <c r="M273" s="207"/>
      <c r="N273" s="146"/>
      <c r="O273" s="195"/>
      <c r="P273" s="195"/>
      <c r="Q273" s="195"/>
      <c r="R273" s="150"/>
      <c r="S273" s="195"/>
      <c r="T273" s="309">
        <v>0.7</v>
      </c>
      <c r="U273" s="242">
        <f t="shared" si="406"/>
        <v>0.54</v>
      </c>
      <c r="V273" s="186">
        <f t="shared" si="407"/>
        <v>0.77142857142857157</v>
      </c>
      <c r="W273" s="504">
        <v>0.25</v>
      </c>
      <c r="X273" s="504">
        <v>0.3</v>
      </c>
      <c r="Y273" s="489">
        <v>180000000</v>
      </c>
      <c r="Z273" s="377">
        <v>0</v>
      </c>
      <c r="AA273" s="174">
        <v>179908477</v>
      </c>
      <c r="AB273" s="273">
        <f t="shared" si="389"/>
        <v>0.99949153888888886</v>
      </c>
      <c r="AC273" s="269">
        <v>177267972</v>
      </c>
      <c r="AD273" s="189">
        <f t="shared" si="390"/>
        <v>0.98482206666666672</v>
      </c>
      <c r="AE273" s="156">
        <f t="shared" si="408"/>
        <v>2640505</v>
      </c>
      <c r="AF273" s="174">
        <v>111266472</v>
      </c>
      <c r="AG273" s="174">
        <v>109708098</v>
      </c>
      <c r="AH273" s="614">
        <f t="shared" si="391"/>
        <v>0.985994217557289</v>
      </c>
      <c r="AI273" s="250">
        <f>1500000000/2</f>
        <v>750000000</v>
      </c>
      <c r="AJ273" s="250">
        <f t="shared" si="409"/>
        <v>179908477</v>
      </c>
      <c r="AK273" s="911">
        <f t="shared" si="392"/>
        <v>0.23987796933333333</v>
      </c>
      <c r="AL273" s="173"/>
      <c r="AM273" s="157"/>
      <c r="AN273" s="152" t="s">
        <v>302</v>
      </c>
      <c r="AO273" s="594" t="s">
        <v>926</v>
      </c>
      <c r="AP273" s="558"/>
      <c r="AQ273" s="93"/>
    </row>
    <row r="274" spans="1:43" ht="12.75" customHeight="1">
      <c r="A274" s="353" t="s">
        <v>687</v>
      </c>
      <c r="B274" s="458" t="s">
        <v>858</v>
      </c>
      <c r="C274" s="409">
        <v>1</v>
      </c>
      <c r="D274" s="409">
        <v>0</v>
      </c>
      <c r="E274" s="147">
        <v>1</v>
      </c>
      <c r="F274" s="147">
        <v>0</v>
      </c>
      <c r="G274" s="147"/>
      <c r="H274" s="180">
        <f t="shared" si="404"/>
        <v>1</v>
      </c>
      <c r="I274" s="642">
        <v>0</v>
      </c>
      <c r="J274" s="195"/>
      <c r="K274" s="195"/>
      <c r="L274" s="206"/>
      <c r="M274" s="207"/>
      <c r="N274" s="146"/>
      <c r="O274" s="195"/>
      <c r="P274" s="195"/>
      <c r="Q274" s="195"/>
      <c r="R274" s="150"/>
      <c r="S274" s="195"/>
      <c r="T274" s="307">
        <v>1</v>
      </c>
      <c r="U274" s="242">
        <f t="shared" si="406"/>
        <v>1</v>
      </c>
      <c r="V274" s="186">
        <f t="shared" si="407"/>
        <v>1</v>
      </c>
      <c r="W274" s="504">
        <v>0.1</v>
      </c>
      <c r="X274" s="504">
        <v>0</v>
      </c>
      <c r="Y274" s="488">
        <v>0</v>
      </c>
      <c r="Z274" s="377">
        <v>0</v>
      </c>
      <c r="AA274" s="174">
        <v>0</v>
      </c>
      <c r="AB274" s="273" t="e">
        <f t="shared" si="389"/>
        <v>#DIV/0!</v>
      </c>
      <c r="AC274" s="269">
        <v>0</v>
      </c>
      <c r="AD274" s="637" t="e">
        <f t="shared" si="390"/>
        <v>#DIV/0!</v>
      </c>
      <c r="AE274" s="156">
        <f t="shared" si="408"/>
        <v>0</v>
      </c>
      <c r="AF274" s="174">
        <v>3427118</v>
      </c>
      <c r="AG274" s="174">
        <v>3268249</v>
      </c>
      <c r="AH274" s="614">
        <f t="shared" si="391"/>
        <v>0.95364355706456561</v>
      </c>
      <c r="AI274" s="250">
        <f>600000000/3</f>
        <v>200000000</v>
      </c>
      <c r="AJ274" s="250">
        <f t="shared" si="409"/>
        <v>0</v>
      </c>
      <c r="AK274" s="911">
        <f t="shared" si="392"/>
        <v>0</v>
      </c>
      <c r="AL274" s="173"/>
      <c r="AM274" s="157"/>
      <c r="AN274" s="152" t="s">
        <v>302</v>
      </c>
      <c r="AO274" s="2243" t="s">
        <v>926</v>
      </c>
      <c r="AP274" s="558"/>
      <c r="AQ274" s="93"/>
    </row>
    <row r="275" spans="1:43" ht="12.75" customHeight="1">
      <c r="A275" s="353" t="s">
        <v>688</v>
      </c>
      <c r="B275" s="458" t="s">
        <v>859</v>
      </c>
      <c r="C275" s="409">
        <v>2</v>
      </c>
      <c r="D275" s="409">
        <v>2</v>
      </c>
      <c r="E275" s="147">
        <v>3</v>
      </c>
      <c r="F275" s="147">
        <v>2</v>
      </c>
      <c r="G275" s="147"/>
      <c r="H275" s="180">
        <f t="shared" si="404"/>
        <v>1</v>
      </c>
      <c r="I275" s="642">
        <f t="shared" si="405"/>
        <v>1</v>
      </c>
      <c r="J275" s="195"/>
      <c r="K275" s="195"/>
      <c r="L275" s="206"/>
      <c r="M275" s="207"/>
      <c r="N275" s="146"/>
      <c r="O275" s="195"/>
      <c r="P275" s="195"/>
      <c r="Q275" s="195"/>
      <c r="R275" s="150"/>
      <c r="S275" s="195"/>
      <c r="T275" s="307">
        <v>8</v>
      </c>
      <c r="U275" s="242">
        <f t="shared" si="406"/>
        <v>5</v>
      </c>
      <c r="V275" s="186">
        <f t="shared" si="407"/>
        <v>0.625</v>
      </c>
      <c r="W275" s="504">
        <v>0.1</v>
      </c>
      <c r="X275" s="504">
        <v>0.1</v>
      </c>
      <c r="Y275" s="488">
        <v>50000000</v>
      </c>
      <c r="Z275" s="377">
        <v>0</v>
      </c>
      <c r="AA275" s="174">
        <v>49150353</v>
      </c>
      <c r="AB275" s="273">
        <f t="shared" si="389"/>
        <v>0.98300706000000004</v>
      </c>
      <c r="AC275" s="269">
        <v>48404799</v>
      </c>
      <c r="AD275" s="637">
        <f t="shared" si="390"/>
        <v>0.96809597999999997</v>
      </c>
      <c r="AE275" s="156">
        <f t="shared" si="408"/>
        <v>745554</v>
      </c>
      <c r="AF275" s="174">
        <v>1027118</v>
      </c>
      <c r="AG275" s="174">
        <v>868249</v>
      </c>
      <c r="AH275" s="614">
        <f t="shared" si="391"/>
        <v>0.84532546406547249</v>
      </c>
      <c r="AI275" s="250">
        <f t="shared" ref="AI275:AI276" si="410">600000000/3</f>
        <v>200000000</v>
      </c>
      <c r="AJ275" s="250">
        <f t="shared" si="409"/>
        <v>49150353</v>
      </c>
      <c r="AK275" s="911">
        <f t="shared" si="392"/>
        <v>0.24575176500000001</v>
      </c>
      <c r="AL275" s="173"/>
      <c r="AM275" s="157"/>
      <c r="AN275" s="152" t="s">
        <v>302</v>
      </c>
      <c r="AO275" s="2206"/>
      <c r="AP275" s="558"/>
      <c r="AQ275" s="93"/>
    </row>
    <row r="276" spans="1:43" ht="12.75" customHeight="1">
      <c r="A276" s="353" t="s">
        <v>689</v>
      </c>
      <c r="B276" s="458" t="s">
        <v>860</v>
      </c>
      <c r="C276" s="409">
        <v>4</v>
      </c>
      <c r="D276" s="409">
        <v>7</v>
      </c>
      <c r="E276" s="147">
        <v>4</v>
      </c>
      <c r="F276" s="147">
        <v>7</v>
      </c>
      <c r="G276" s="147"/>
      <c r="H276" s="180">
        <f t="shared" si="404"/>
        <v>1</v>
      </c>
      <c r="I276" s="642">
        <f t="shared" si="405"/>
        <v>1</v>
      </c>
      <c r="J276" s="195"/>
      <c r="K276" s="195"/>
      <c r="L276" s="206"/>
      <c r="M276" s="207"/>
      <c r="N276" s="146"/>
      <c r="O276" s="195"/>
      <c r="P276" s="195"/>
      <c r="Q276" s="195"/>
      <c r="R276" s="150"/>
      <c r="S276" s="195"/>
      <c r="T276" s="307">
        <v>21</v>
      </c>
      <c r="U276" s="242">
        <f t="shared" si="406"/>
        <v>11</v>
      </c>
      <c r="V276" s="186">
        <f t="shared" si="407"/>
        <v>0.52380952380952384</v>
      </c>
      <c r="W276" s="504">
        <v>0.1</v>
      </c>
      <c r="X276" s="504">
        <v>0.1</v>
      </c>
      <c r="Y276" s="488">
        <v>80000000</v>
      </c>
      <c r="Z276" s="377">
        <v>0</v>
      </c>
      <c r="AA276" s="174">
        <v>79282350</v>
      </c>
      <c r="AB276" s="273">
        <f t="shared" si="389"/>
        <v>0.99102937499999999</v>
      </c>
      <c r="AC276" s="269">
        <v>78086357</v>
      </c>
      <c r="AD276" s="637">
        <f t="shared" si="390"/>
        <v>0.97607946249999999</v>
      </c>
      <c r="AE276" s="156">
        <f t="shared" si="408"/>
        <v>1195993</v>
      </c>
      <c r="AF276" s="174">
        <v>1027118</v>
      </c>
      <c r="AG276" s="174">
        <v>868249</v>
      </c>
      <c r="AH276" s="614">
        <f t="shared" si="391"/>
        <v>0.84532546406547249</v>
      </c>
      <c r="AI276" s="250">
        <f t="shared" si="410"/>
        <v>200000000</v>
      </c>
      <c r="AJ276" s="250">
        <f t="shared" si="409"/>
        <v>79282350</v>
      </c>
      <c r="AK276" s="911">
        <f t="shared" si="392"/>
        <v>0.39641175000000001</v>
      </c>
      <c r="AL276" s="173"/>
      <c r="AM276" s="157"/>
      <c r="AN276" s="152" t="s">
        <v>302</v>
      </c>
      <c r="AO276" s="2205"/>
      <c r="AP276" s="558"/>
      <c r="AQ276" s="93"/>
    </row>
    <row r="277" spans="1:43" ht="12.75" customHeight="1" thickBot="1">
      <c r="A277" s="353" t="s">
        <v>690</v>
      </c>
      <c r="B277" s="458" t="s">
        <v>861</v>
      </c>
      <c r="C277" s="853">
        <v>1</v>
      </c>
      <c r="D277" s="410">
        <v>1</v>
      </c>
      <c r="E277" s="208">
        <v>0.9</v>
      </c>
      <c r="F277" s="182">
        <v>0.9</v>
      </c>
      <c r="G277" s="182"/>
      <c r="H277" s="180">
        <f>IF((E277+G277)/C277&gt;=100%,100%,(E277+G277)/C277)</f>
        <v>0.9</v>
      </c>
      <c r="I277" s="642">
        <f t="shared" si="405"/>
        <v>0.9</v>
      </c>
      <c r="J277" s="195"/>
      <c r="K277" s="195"/>
      <c r="L277" s="206"/>
      <c r="M277" s="207"/>
      <c r="N277" s="146"/>
      <c r="O277" s="195"/>
      <c r="P277" s="195"/>
      <c r="Q277" s="195"/>
      <c r="R277" s="150"/>
      <c r="S277" s="195"/>
      <c r="T277" s="309">
        <v>1</v>
      </c>
      <c r="U277" s="242">
        <f t="shared" si="406"/>
        <v>1.8</v>
      </c>
      <c r="V277" s="186">
        <f t="shared" si="407"/>
        <v>1</v>
      </c>
      <c r="W277" s="902">
        <v>0.2</v>
      </c>
      <c r="X277" s="504">
        <v>0.2</v>
      </c>
      <c r="Y277" s="545">
        <v>220000000</v>
      </c>
      <c r="Z277" s="377">
        <v>0</v>
      </c>
      <c r="AA277" s="174">
        <v>218636403</v>
      </c>
      <c r="AB277" s="273">
        <f t="shared" si="389"/>
        <v>0.99380183181818182</v>
      </c>
      <c r="AC277" s="269">
        <v>215359071</v>
      </c>
      <c r="AD277" s="637">
        <f t="shared" si="390"/>
        <v>0.97890486818181821</v>
      </c>
      <c r="AE277" s="156">
        <f t="shared" si="408"/>
        <v>3277332</v>
      </c>
      <c r="AF277" s="174">
        <v>11835584</v>
      </c>
      <c r="AG277" s="174">
        <v>11041236</v>
      </c>
      <c r="AH277" s="614">
        <f t="shared" si="391"/>
        <v>0.93288476512861551</v>
      </c>
      <c r="AI277" s="250">
        <v>1000000000</v>
      </c>
      <c r="AJ277" s="250">
        <f t="shared" si="409"/>
        <v>218636403</v>
      </c>
      <c r="AK277" s="911">
        <f t="shared" si="392"/>
        <v>0.21863640300000001</v>
      </c>
      <c r="AL277" s="173"/>
      <c r="AM277" s="157"/>
      <c r="AN277" s="152" t="s">
        <v>302</v>
      </c>
      <c r="AO277" s="598" t="s">
        <v>926</v>
      </c>
      <c r="AP277" s="558"/>
      <c r="AQ277" s="93"/>
    </row>
    <row r="278" spans="1:43" ht="33.75" customHeight="1" thickBot="1">
      <c r="A278" s="314" t="s">
        <v>445</v>
      </c>
      <c r="B278" s="413"/>
      <c r="C278" s="835"/>
      <c r="D278" s="222"/>
      <c r="E278" s="862"/>
      <c r="F278" s="129"/>
      <c r="G278" s="129"/>
      <c r="H278" s="254">
        <f>+(H279*W279)+(H282*W282)+(H284*W284)</f>
        <v>1</v>
      </c>
      <c r="I278" s="130">
        <f>+(I279*X279)+(I282*X282)+(I284*X284)</f>
        <v>0.97836000000000001</v>
      </c>
      <c r="J278" s="193"/>
      <c r="K278" s="193"/>
      <c r="L278" s="132"/>
      <c r="M278" s="133"/>
      <c r="N278" s="133"/>
      <c r="O278" s="193"/>
      <c r="P278" s="193"/>
      <c r="Q278" s="193"/>
      <c r="R278" s="159"/>
      <c r="S278" s="193"/>
      <c r="T278" s="239"/>
      <c r="U278" s="257"/>
      <c r="V278" s="465">
        <f>+(V279*W279)+(V282*W282)+(V284*W284)</f>
        <v>1</v>
      </c>
      <c r="W278" s="883">
        <v>0.1</v>
      </c>
      <c r="X278" s="470">
        <v>0.1</v>
      </c>
      <c r="Y278" s="135">
        <f>+Y279+Y282+Y284</f>
        <v>705000000</v>
      </c>
      <c r="Z278" s="135">
        <f>+Z279+Z282+Z284</f>
        <v>0</v>
      </c>
      <c r="AA278" s="135">
        <f>+AA279+AA282+AA284</f>
        <v>704630138</v>
      </c>
      <c r="AB278" s="271">
        <f t="shared" si="389"/>
        <v>0.9994753730496454</v>
      </c>
      <c r="AC278" s="135">
        <f>+AC279+AC282+AC284</f>
        <v>693090185</v>
      </c>
      <c r="AD278" s="634">
        <f t="shared" si="390"/>
        <v>0.98310664539007098</v>
      </c>
      <c r="AE278" s="135">
        <f>+AE279+AE282+AE284</f>
        <v>11539953</v>
      </c>
      <c r="AF278" s="135">
        <f>+AF279+AF282+AF284</f>
        <v>26064478.66</v>
      </c>
      <c r="AG278" s="135">
        <f>+AG279+AG282+AG284</f>
        <v>21146435</v>
      </c>
      <c r="AH278" s="612">
        <f t="shared" si="391"/>
        <v>0.81131241011363475</v>
      </c>
      <c r="AI278" s="135">
        <f t="shared" ref="AI278:AJ278" si="411">+AI279+AI282+AI284</f>
        <v>3000000000</v>
      </c>
      <c r="AJ278" s="135">
        <f t="shared" si="411"/>
        <v>704630138</v>
      </c>
      <c r="AK278" s="915">
        <f t="shared" si="392"/>
        <v>0.23487671266666665</v>
      </c>
      <c r="AL278" s="172"/>
      <c r="AM278" s="160" t="s">
        <v>301</v>
      </c>
      <c r="AN278" s="136"/>
      <c r="AO278" s="135"/>
      <c r="AP278" s="556"/>
      <c r="AQ278" s="97"/>
    </row>
    <row r="279" spans="1:43" ht="51.75" customHeight="1">
      <c r="A279" s="315" t="s">
        <v>502</v>
      </c>
      <c r="B279" s="138"/>
      <c r="C279" s="849"/>
      <c r="D279" s="223"/>
      <c r="E279" s="873"/>
      <c r="F279" s="139"/>
      <c r="G279" s="139"/>
      <c r="H279" s="140">
        <f>+SUMPRODUCT(H280:H281,W280:W281)</f>
        <v>1</v>
      </c>
      <c r="I279" s="161">
        <f>+SUMPRODUCT(I280:I281,X280:X281)</f>
        <v>1</v>
      </c>
      <c r="J279" s="194"/>
      <c r="K279" s="194"/>
      <c r="L279" s="141"/>
      <c r="M279" s="142"/>
      <c r="N279" s="142"/>
      <c r="O279" s="194"/>
      <c r="P279" s="194"/>
      <c r="Q279" s="194"/>
      <c r="R279" s="163"/>
      <c r="S279" s="194"/>
      <c r="T279" s="240"/>
      <c r="U279" s="261"/>
      <c r="V279" s="177">
        <f>+SUMPRODUCT(V280:V281,W280:W281)</f>
        <v>1</v>
      </c>
      <c r="W279" s="899">
        <v>0.4</v>
      </c>
      <c r="X279" s="471">
        <v>0.4</v>
      </c>
      <c r="Y279" s="144">
        <f>SUM(Y280:Y281)</f>
        <v>325000000</v>
      </c>
      <c r="Z279" s="144">
        <f>SUM(Z280:Z281)</f>
        <v>0</v>
      </c>
      <c r="AA279" s="144">
        <f>SUM(AA280:AA281)</f>
        <v>324832028</v>
      </c>
      <c r="AB279" s="272">
        <f t="shared" si="389"/>
        <v>0.99948316307692309</v>
      </c>
      <c r="AC279" s="144">
        <f>SUM(AC280:AC281)</f>
        <v>319554566</v>
      </c>
      <c r="AD279" s="636">
        <f t="shared" si="390"/>
        <v>0.98324481846153844</v>
      </c>
      <c r="AE279" s="144">
        <f>SUM(AE280:AE281)</f>
        <v>5277462</v>
      </c>
      <c r="AF279" s="144">
        <f>SUM(AF280:AF281)</f>
        <v>10271168</v>
      </c>
      <c r="AG279" s="144">
        <f>SUM(AG280:AG281)</f>
        <v>8682472</v>
      </c>
      <c r="AH279" s="613">
        <f t="shared" si="391"/>
        <v>0.84532469919681963</v>
      </c>
      <c r="AI279" s="144">
        <f t="shared" ref="AI279:AJ279" si="412">SUM(AI280:AI281)</f>
        <v>1400000000</v>
      </c>
      <c r="AJ279" s="144">
        <f t="shared" si="412"/>
        <v>324832028</v>
      </c>
      <c r="AK279" s="910">
        <f t="shared" si="392"/>
        <v>0.23202287714285713</v>
      </c>
      <c r="AL279" s="179"/>
      <c r="AM279" s="165"/>
      <c r="AN279" s="553"/>
      <c r="AO279" s="144"/>
      <c r="AP279" s="557"/>
      <c r="AQ279" s="98"/>
    </row>
    <row r="280" spans="1:43" ht="12.75" customHeight="1">
      <c r="A280" s="352" t="s">
        <v>691</v>
      </c>
      <c r="B280" s="457" t="s">
        <v>862</v>
      </c>
      <c r="C280" s="408">
        <v>1</v>
      </c>
      <c r="D280" s="408">
        <v>1</v>
      </c>
      <c r="E280" s="182">
        <v>1</v>
      </c>
      <c r="F280" s="182">
        <v>1</v>
      </c>
      <c r="G280" s="147"/>
      <c r="H280" s="180">
        <f t="shared" ref="H280:H281" si="413">IF((E280+G280)/C280&gt;=100%,100%,(E280+G280)/C280)</f>
        <v>1</v>
      </c>
      <c r="I280" s="642">
        <f t="shared" ref="I280:I281" si="414">IF(F280/D280&gt;=100%,100%,F280/D280)</f>
        <v>1</v>
      </c>
      <c r="J280" s="195"/>
      <c r="K280" s="195"/>
      <c r="L280" s="206"/>
      <c r="M280" s="207"/>
      <c r="N280" s="146"/>
      <c r="O280" s="195"/>
      <c r="P280" s="195"/>
      <c r="Q280" s="195"/>
      <c r="R280" s="150"/>
      <c r="S280" s="195"/>
      <c r="T280" s="309">
        <v>1</v>
      </c>
      <c r="U280" s="242">
        <f t="shared" ref="U280:U281" si="415">SUM(E280:F280)</f>
        <v>2</v>
      </c>
      <c r="V280" s="186">
        <f t="shared" ref="V280:V281" si="416">IF(U280/T280&gt;=100%,100%,U280/T280)</f>
        <v>1</v>
      </c>
      <c r="W280" s="901">
        <v>0.8</v>
      </c>
      <c r="X280" s="476">
        <v>0.8</v>
      </c>
      <c r="Y280" s="490">
        <v>185000000</v>
      </c>
      <c r="Z280" s="377">
        <v>0</v>
      </c>
      <c r="AA280" s="174">
        <v>184904170</v>
      </c>
      <c r="AB280" s="273">
        <f t="shared" si="389"/>
        <v>0.99948199999999998</v>
      </c>
      <c r="AC280" s="269">
        <v>181801172</v>
      </c>
      <c r="AD280" s="637">
        <f t="shared" si="390"/>
        <v>0.98270903783783781</v>
      </c>
      <c r="AE280" s="156">
        <f>+AA280-AC280</f>
        <v>3102998</v>
      </c>
      <c r="AF280" s="174">
        <v>5135584</v>
      </c>
      <c r="AG280" s="174">
        <v>4341236</v>
      </c>
      <c r="AH280" s="614">
        <f t="shared" si="391"/>
        <v>0.84532469919681963</v>
      </c>
      <c r="AI280" s="250">
        <f>1400000000/2</f>
        <v>700000000</v>
      </c>
      <c r="AJ280" s="250">
        <f t="shared" ref="AJ280:AJ285" si="417">+SUM(Z280:AA280)</f>
        <v>184904170</v>
      </c>
      <c r="AK280" s="914">
        <f t="shared" si="392"/>
        <v>0.2641488142857143</v>
      </c>
      <c r="AL280" s="173"/>
      <c r="AM280" s="157"/>
      <c r="AN280" s="152" t="s">
        <v>302</v>
      </c>
      <c r="AO280" s="593" t="s">
        <v>890</v>
      </c>
      <c r="AP280" s="558"/>
      <c r="AQ280" s="93"/>
    </row>
    <row r="281" spans="1:43" ht="12.75" customHeight="1">
      <c r="A281" s="352" t="s">
        <v>692</v>
      </c>
      <c r="B281" s="457" t="s">
        <v>863</v>
      </c>
      <c r="C281" s="408">
        <v>1</v>
      </c>
      <c r="D281" s="408">
        <v>0.5</v>
      </c>
      <c r="E281" s="182">
        <v>1</v>
      </c>
      <c r="F281" s="182">
        <v>0.5</v>
      </c>
      <c r="G281" s="147"/>
      <c r="H281" s="180">
        <f t="shared" si="413"/>
        <v>1</v>
      </c>
      <c r="I281" s="642">
        <f t="shared" si="414"/>
        <v>1</v>
      </c>
      <c r="J281" s="195"/>
      <c r="K281" s="195"/>
      <c r="L281" s="206"/>
      <c r="M281" s="207"/>
      <c r="N281" s="146"/>
      <c r="O281" s="195"/>
      <c r="P281" s="195"/>
      <c r="Q281" s="195"/>
      <c r="R281" s="150"/>
      <c r="S281" s="195"/>
      <c r="T281" s="309">
        <v>1</v>
      </c>
      <c r="U281" s="242">
        <f t="shared" si="415"/>
        <v>1.5</v>
      </c>
      <c r="V281" s="186">
        <f t="shared" si="416"/>
        <v>1</v>
      </c>
      <c r="W281" s="901">
        <v>0.2</v>
      </c>
      <c r="X281" s="476">
        <v>0.2</v>
      </c>
      <c r="Y281" s="490">
        <v>140000000</v>
      </c>
      <c r="Z281" s="377">
        <v>0</v>
      </c>
      <c r="AA281" s="174">
        <v>139927858</v>
      </c>
      <c r="AB281" s="273">
        <f t="shared" si="389"/>
        <v>0.9994847</v>
      </c>
      <c r="AC281" s="269">
        <v>137753394</v>
      </c>
      <c r="AD281" s="637">
        <f t="shared" si="390"/>
        <v>0.98395281428571424</v>
      </c>
      <c r="AE281" s="156">
        <f>+AA281-AC281</f>
        <v>2174464</v>
      </c>
      <c r="AF281" s="174">
        <v>5135584</v>
      </c>
      <c r="AG281" s="174">
        <v>4341236</v>
      </c>
      <c r="AH281" s="614">
        <f t="shared" si="391"/>
        <v>0.84532469919681963</v>
      </c>
      <c r="AI281" s="250">
        <f>1400000000/2</f>
        <v>700000000</v>
      </c>
      <c r="AJ281" s="250">
        <f t="shared" si="417"/>
        <v>139927858</v>
      </c>
      <c r="AK281" s="911">
        <f t="shared" si="392"/>
        <v>0.19989694</v>
      </c>
      <c r="AL281" s="173"/>
      <c r="AM281" s="157"/>
      <c r="AN281" s="152" t="s">
        <v>302</v>
      </c>
      <c r="AO281" s="593" t="s">
        <v>890</v>
      </c>
      <c r="AP281" s="558"/>
      <c r="AQ281" s="93"/>
    </row>
    <row r="282" spans="1:43" ht="51.75" customHeight="1">
      <c r="A282" s="315" t="s">
        <v>503</v>
      </c>
      <c r="B282" s="138"/>
      <c r="C282" s="223"/>
      <c r="D282" s="223"/>
      <c r="E282" s="139"/>
      <c r="F282" s="139"/>
      <c r="G282" s="139"/>
      <c r="H282" s="140">
        <f>+SUMPRODUCT(H283:H283,W283:W283)</f>
        <v>1</v>
      </c>
      <c r="I282" s="161">
        <f>+SUMPRODUCT(I283:I283,X283:X283)</f>
        <v>0.89180000000000004</v>
      </c>
      <c r="J282" s="194"/>
      <c r="K282" s="194"/>
      <c r="L282" s="141"/>
      <c r="M282" s="142"/>
      <c r="N282" s="142"/>
      <c r="O282" s="194"/>
      <c r="P282" s="194"/>
      <c r="Q282" s="194"/>
      <c r="R282" s="163"/>
      <c r="S282" s="194"/>
      <c r="T282" s="240"/>
      <c r="U282" s="261"/>
      <c r="V282" s="177">
        <f>+SUMPRODUCT(V283:V283,W283:W283)</f>
        <v>1</v>
      </c>
      <c r="W282" s="471">
        <v>0.2</v>
      </c>
      <c r="X282" s="471">
        <v>0.2</v>
      </c>
      <c r="Y282" s="144">
        <f>SUM(Y283)</f>
        <v>100000000</v>
      </c>
      <c r="Z282" s="144">
        <f>SUM(Z283)</f>
        <v>0</v>
      </c>
      <c r="AA282" s="144">
        <f>SUM(AA283)</f>
        <v>99948316</v>
      </c>
      <c r="AB282" s="272">
        <f t="shared" si="389"/>
        <v>0.99948316000000004</v>
      </c>
      <c r="AC282" s="144">
        <f>SUM(AC283)</f>
        <v>98274789</v>
      </c>
      <c r="AD282" s="636">
        <f t="shared" si="390"/>
        <v>0.98274788999999996</v>
      </c>
      <c r="AE282" s="144">
        <f>SUM(AE283)</f>
        <v>1673527</v>
      </c>
      <c r="AF282" s="144">
        <f>SUM(AF283)</f>
        <v>3081800</v>
      </c>
      <c r="AG282" s="144">
        <f>SUM(AG283)</f>
        <v>2605226</v>
      </c>
      <c r="AH282" s="613">
        <f t="shared" si="391"/>
        <v>0.84535855668765003</v>
      </c>
      <c r="AI282" s="144">
        <f t="shared" ref="AI282:AJ282" si="418">SUM(AI283)</f>
        <v>400000000</v>
      </c>
      <c r="AJ282" s="144">
        <f t="shared" si="418"/>
        <v>99948316</v>
      </c>
      <c r="AK282" s="910">
        <f t="shared" si="392"/>
        <v>0.24987079000000001</v>
      </c>
      <c r="AL282" s="179"/>
      <c r="AM282" s="165"/>
      <c r="AN282" s="553"/>
      <c r="AO282" s="144"/>
      <c r="AP282" s="557"/>
      <c r="AQ282" s="98"/>
    </row>
    <row r="283" spans="1:43" ht="12.75" customHeight="1">
      <c r="A283" s="353" t="s">
        <v>693</v>
      </c>
      <c r="B283" s="458" t="s">
        <v>864</v>
      </c>
      <c r="C283" s="408">
        <v>1</v>
      </c>
      <c r="D283" s="408">
        <v>1</v>
      </c>
      <c r="E283" s="182">
        <v>0.91300000000000003</v>
      </c>
      <c r="F283" s="682">
        <v>0.89180000000000004</v>
      </c>
      <c r="G283" s="182">
        <v>0.12</v>
      </c>
      <c r="H283" s="180">
        <f>IF((E283+G283)/C283&gt;=100%,100%,(E283+G283)/C283)</f>
        <v>1</v>
      </c>
      <c r="I283" s="642">
        <f t="shared" ref="I283" si="419">IF(F283/D283&gt;=100%,100%,F283/D283)</f>
        <v>0.89180000000000004</v>
      </c>
      <c r="J283" s="195"/>
      <c r="K283" s="195"/>
      <c r="L283" s="206"/>
      <c r="M283" s="207"/>
      <c r="N283" s="146"/>
      <c r="O283" s="195"/>
      <c r="P283" s="195"/>
      <c r="Q283" s="195"/>
      <c r="R283" s="150"/>
      <c r="S283" s="195"/>
      <c r="T283" s="309">
        <v>1</v>
      </c>
      <c r="U283" s="242">
        <f t="shared" ref="U283" si="420">SUM(E283:F283)</f>
        <v>1.8048000000000002</v>
      </c>
      <c r="V283" s="186">
        <f t="shared" ref="V283" si="421">IF(U283/T283&gt;=100%,100%,U283/T283)</f>
        <v>1</v>
      </c>
      <c r="W283" s="505">
        <v>1</v>
      </c>
      <c r="X283" s="505">
        <v>1</v>
      </c>
      <c r="Y283" s="545">
        <v>100000000</v>
      </c>
      <c r="Z283" s="377">
        <v>0</v>
      </c>
      <c r="AA283" s="174">
        <v>99948316</v>
      </c>
      <c r="AB283" s="273">
        <f t="shared" si="389"/>
        <v>0.99948316000000004</v>
      </c>
      <c r="AC283" s="269">
        <v>98274789</v>
      </c>
      <c r="AD283" s="637">
        <f t="shared" si="390"/>
        <v>0.98274788999999996</v>
      </c>
      <c r="AE283" s="156">
        <f>+AA283-AC283</f>
        <v>1673527</v>
      </c>
      <c r="AF283" s="174">
        <v>3081800</v>
      </c>
      <c r="AG283" s="174">
        <v>2605226</v>
      </c>
      <c r="AH283" s="614">
        <f t="shared" si="391"/>
        <v>0.84535855668765003</v>
      </c>
      <c r="AI283" s="250">
        <v>400000000</v>
      </c>
      <c r="AJ283" s="250">
        <f t="shared" si="417"/>
        <v>99948316</v>
      </c>
      <c r="AK283" s="911">
        <f t="shared" si="392"/>
        <v>0.24987079000000001</v>
      </c>
      <c r="AL283" s="173"/>
      <c r="AM283" s="157"/>
      <c r="AN283" s="152" t="s">
        <v>302</v>
      </c>
      <c r="AO283" s="598" t="s">
        <v>926</v>
      </c>
      <c r="AP283" s="558"/>
      <c r="AQ283" s="93"/>
    </row>
    <row r="284" spans="1:43" ht="51.75" customHeight="1">
      <c r="A284" s="315" t="s">
        <v>504</v>
      </c>
      <c r="B284" s="138"/>
      <c r="C284" s="223"/>
      <c r="D284" s="223"/>
      <c r="E284" s="139"/>
      <c r="F284" s="139"/>
      <c r="G284" s="139"/>
      <c r="H284" s="140">
        <f>+SUMPRODUCT(H285:H285,W285:W285)</f>
        <v>1</v>
      </c>
      <c r="I284" s="161">
        <f>+SUMPRODUCT(I285:I285,X285:X285)</f>
        <v>1</v>
      </c>
      <c r="J284" s="194"/>
      <c r="K284" s="194"/>
      <c r="L284" s="141"/>
      <c r="M284" s="142"/>
      <c r="N284" s="142"/>
      <c r="O284" s="194"/>
      <c r="P284" s="194"/>
      <c r="Q284" s="194"/>
      <c r="R284" s="163"/>
      <c r="S284" s="194"/>
      <c r="T284" s="240"/>
      <c r="U284" s="261"/>
      <c r="V284" s="177">
        <f>+SUMPRODUCT(V285:V285,W285:W285)</f>
        <v>1</v>
      </c>
      <c r="W284" s="471">
        <v>0.4</v>
      </c>
      <c r="X284" s="471">
        <v>0.4</v>
      </c>
      <c r="Y284" s="144">
        <f>SUM(Y285)</f>
        <v>280000000</v>
      </c>
      <c r="Z284" s="144">
        <f>SUM(Z285)</f>
        <v>0</v>
      </c>
      <c r="AA284" s="144">
        <f>SUM(AA285)</f>
        <v>279849794</v>
      </c>
      <c r="AB284" s="272">
        <f t="shared" si="389"/>
        <v>0.99946354999999998</v>
      </c>
      <c r="AC284" s="144">
        <f>SUM(AC285)</f>
        <v>275260830</v>
      </c>
      <c r="AD284" s="636">
        <f t="shared" si="390"/>
        <v>0.98307439285714282</v>
      </c>
      <c r="AE284" s="144">
        <f>SUM(AE285)</f>
        <v>4588964</v>
      </c>
      <c r="AF284" s="144">
        <f>SUM(AF285)</f>
        <v>12711510.66</v>
      </c>
      <c r="AG284" s="144">
        <f>SUM(AG285)</f>
        <v>9858737</v>
      </c>
      <c r="AH284" s="613">
        <f t="shared" si="391"/>
        <v>0.77557556011206619</v>
      </c>
      <c r="AI284" s="144">
        <f>SUM(AI285)</f>
        <v>1200000000</v>
      </c>
      <c r="AJ284" s="144">
        <f>SUM(AJ285)</f>
        <v>279849794</v>
      </c>
      <c r="AK284" s="910">
        <f t="shared" si="392"/>
        <v>0.23320816166666666</v>
      </c>
      <c r="AL284" s="179"/>
      <c r="AM284" s="165"/>
      <c r="AN284" s="553"/>
      <c r="AO284" s="144"/>
      <c r="AP284" s="557"/>
      <c r="AQ284" s="98"/>
    </row>
    <row r="285" spans="1:43" ht="12.75" customHeight="1" thickBot="1">
      <c r="A285" s="352" t="s">
        <v>694</v>
      </c>
      <c r="B285" s="457" t="s">
        <v>865</v>
      </c>
      <c r="C285" s="856">
        <v>1</v>
      </c>
      <c r="D285" s="408">
        <v>1</v>
      </c>
      <c r="E285" s="208">
        <v>1</v>
      </c>
      <c r="F285" s="182">
        <v>1</v>
      </c>
      <c r="G285" s="147"/>
      <c r="H285" s="180">
        <f>IF((E285+G285)/C285&gt;=100%,100%,(E285+G285)/C285)</f>
        <v>1</v>
      </c>
      <c r="I285" s="642">
        <f t="shared" ref="I285" si="422">IF(F285/D285&gt;=100%,100%,F285/D285)</f>
        <v>1</v>
      </c>
      <c r="J285" s="195"/>
      <c r="K285" s="195"/>
      <c r="L285" s="206"/>
      <c r="M285" s="207"/>
      <c r="N285" s="146"/>
      <c r="O285" s="195"/>
      <c r="P285" s="195"/>
      <c r="Q285" s="195"/>
      <c r="R285" s="150"/>
      <c r="S285" s="195"/>
      <c r="T285" s="309">
        <v>1</v>
      </c>
      <c r="U285" s="242">
        <f t="shared" ref="U285" si="423">SUM(E285:F285)</f>
        <v>2</v>
      </c>
      <c r="V285" s="186">
        <f t="shared" ref="V285" si="424">IF(U285/T285&gt;=100%,100%,U285/T285)</f>
        <v>1</v>
      </c>
      <c r="W285" s="903">
        <v>1</v>
      </c>
      <c r="X285" s="505">
        <v>1</v>
      </c>
      <c r="Y285" s="544">
        <v>280000000</v>
      </c>
      <c r="Z285" s="376">
        <v>0</v>
      </c>
      <c r="AA285" s="174">
        <v>279849794</v>
      </c>
      <c r="AB285" s="273">
        <f t="shared" si="389"/>
        <v>0.99946354999999998</v>
      </c>
      <c r="AC285" s="269">
        <v>275260830</v>
      </c>
      <c r="AD285" s="637">
        <f t="shared" si="390"/>
        <v>0.98307439285714282</v>
      </c>
      <c r="AE285" s="156">
        <f>+AA285-AC285</f>
        <v>4588964</v>
      </c>
      <c r="AF285" s="174">
        <v>12711510.66</v>
      </c>
      <c r="AG285" s="174">
        <v>9858737</v>
      </c>
      <c r="AH285" s="614">
        <f t="shared" si="391"/>
        <v>0.77557556011206619</v>
      </c>
      <c r="AI285" s="250">
        <v>1200000000</v>
      </c>
      <c r="AJ285" s="250">
        <f t="shared" si="417"/>
        <v>279849794</v>
      </c>
      <c r="AK285" s="911">
        <f t="shared" si="392"/>
        <v>0.23320816166666666</v>
      </c>
      <c r="AL285" s="173"/>
      <c r="AM285" s="157"/>
      <c r="AN285" s="152" t="s">
        <v>302</v>
      </c>
      <c r="AO285" s="593" t="s">
        <v>890</v>
      </c>
      <c r="AP285" s="558"/>
      <c r="AQ285" s="93"/>
    </row>
    <row r="286" spans="1:43" ht="33.75" customHeight="1" thickBot="1">
      <c r="A286" s="314" t="s">
        <v>446</v>
      </c>
      <c r="B286" s="413"/>
      <c r="C286" s="129"/>
      <c r="D286" s="222"/>
      <c r="E286" s="862"/>
      <c r="F286" s="129"/>
      <c r="G286" s="129"/>
      <c r="H286" s="130">
        <f>+(H287*W287)+(H289*W289)</f>
        <v>1</v>
      </c>
      <c r="I286" s="130">
        <f>+(I287*X287)+(I289*X289)</f>
        <v>0.93337499999999984</v>
      </c>
      <c r="J286" s="193"/>
      <c r="K286" s="193"/>
      <c r="L286" s="132"/>
      <c r="M286" s="133"/>
      <c r="N286" s="133"/>
      <c r="O286" s="193"/>
      <c r="P286" s="193"/>
      <c r="Q286" s="193"/>
      <c r="R286" s="159"/>
      <c r="S286" s="193"/>
      <c r="T286" s="239"/>
      <c r="U286" s="257"/>
      <c r="V286" s="465">
        <f>+(V287*W287)+(V289*W289)</f>
        <v>0.95</v>
      </c>
      <c r="W286" s="883">
        <v>0.1</v>
      </c>
      <c r="X286" s="470">
        <v>0.1</v>
      </c>
      <c r="Y286" s="135">
        <f>+Y287+Y289</f>
        <v>1196990838</v>
      </c>
      <c r="Z286" s="135">
        <f>+Z287+Z289</f>
        <v>0</v>
      </c>
      <c r="AA286" s="135">
        <f>+AA287+AA289</f>
        <v>1194059194.74</v>
      </c>
      <c r="AB286" s="271">
        <f t="shared" si="389"/>
        <v>0.9975508223062941</v>
      </c>
      <c r="AC286" s="135">
        <f>+AC287+AC289</f>
        <v>1145881107.95</v>
      </c>
      <c r="AD286" s="187">
        <f t="shared" si="390"/>
        <v>0.95730148600352116</v>
      </c>
      <c r="AE286" s="135">
        <f>+AE287+AE289</f>
        <v>48178086.789999962</v>
      </c>
      <c r="AF286" s="135">
        <f>+AF287+AF289</f>
        <v>425105198.80000001</v>
      </c>
      <c r="AG286" s="135">
        <f>+AG287+AG289</f>
        <v>419514621.80000001</v>
      </c>
      <c r="AH286" s="612">
        <f t="shared" si="391"/>
        <v>0.98684895640942227</v>
      </c>
      <c r="AI286" s="135">
        <f>+AI287+AI289</f>
        <v>9285000000</v>
      </c>
      <c r="AJ286" s="135">
        <f>+AJ287+AJ289</f>
        <v>1194059194.74</v>
      </c>
      <c r="AK286" s="915">
        <f t="shared" si="392"/>
        <v>0.12860088257835217</v>
      </c>
      <c r="AL286" s="172"/>
      <c r="AM286" s="160" t="s">
        <v>301</v>
      </c>
      <c r="AN286" s="136"/>
      <c r="AO286" s="135"/>
      <c r="AP286" s="556"/>
      <c r="AQ286" s="97"/>
    </row>
    <row r="287" spans="1:43" ht="51.75" customHeight="1">
      <c r="A287" s="314" t="s">
        <v>505</v>
      </c>
      <c r="B287" s="138"/>
      <c r="C287" s="139"/>
      <c r="D287" s="223"/>
      <c r="E287" s="873"/>
      <c r="F287" s="139"/>
      <c r="G287" s="139"/>
      <c r="H287" s="161">
        <f>+SUMPRODUCT(H288:H288,W288:W288)</f>
        <v>1</v>
      </c>
      <c r="I287" s="161">
        <f>+SUMPRODUCT(I288:I288,X288:X288)</f>
        <v>0</v>
      </c>
      <c r="J287" s="194"/>
      <c r="K287" s="194"/>
      <c r="L287" s="141"/>
      <c r="M287" s="142"/>
      <c r="N287" s="142"/>
      <c r="O287" s="194"/>
      <c r="P287" s="194"/>
      <c r="Q287" s="194"/>
      <c r="R287" s="163"/>
      <c r="S287" s="194"/>
      <c r="T287" s="240"/>
      <c r="U287" s="261"/>
      <c r="V287" s="177">
        <f>+SUMPRODUCT(V288:V288,W288:W288)</f>
        <v>0</v>
      </c>
      <c r="W287" s="899">
        <v>0.05</v>
      </c>
      <c r="X287" s="471">
        <v>0.05</v>
      </c>
      <c r="Y287" s="144">
        <f>SUM(Y288)</f>
        <v>0</v>
      </c>
      <c r="Z287" s="144">
        <f>SUM(Z288)</f>
        <v>0</v>
      </c>
      <c r="AA287" s="144">
        <f>SUM(AA288)</f>
        <v>0</v>
      </c>
      <c r="AB287" s="272">
        <v>0</v>
      </c>
      <c r="AC287" s="144">
        <f>SUM(AC288)</f>
        <v>0</v>
      </c>
      <c r="AD287" s="188" t="e">
        <f t="shared" si="390"/>
        <v>#DIV/0!</v>
      </c>
      <c r="AE287" s="144">
        <f>SUM(AE288)</f>
        <v>0</v>
      </c>
      <c r="AF287" s="144">
        <f>SUM(AF288)</f>
        <v>10041698</v>
      </c>
      <c r="AG287" s="144">
        <f>SUM(AG288)</f>
        <v>9285978</v>
      </c>
      <c r="AH287" s="613">
        <f t="shared" si="391"/>
        <v>0.92474181159401525</v>
      </c>
      <c r="AI287" s="144">
        <f>SUM(AI288)</f>
        <v>240000000</v>
      </c>
      <c r="AJ287" s="144">
        <f>SUM(AJ288)</f>
        <v>0</v>
      </c>
      <c r="AK287" s="910">
        <f t="shared" si="392"/>
        <v>0</v>
      </c>
      <c r="AL287" s="179"/>
      <c r="AM287" s="165"/>
      <c r="AN287" s="553"/>
      <c r="AO287" s="144"/>
      <c r="AP287" s="557"/>
      <c r="AQ287" s="98"/>
    </row>
    <row r="288" spans="1:43" ht="12.75" customHeight="1">
      <c r="A288" s="353" t="s">
        <v>695</v>
      </c>
      <c r="B288" s="458" t="s">
        <v>866</v>
      </c>
      <c r="C288" s="220">
        <v>1</v>
      </c>
      <c r="D288" s="220">
        <v>0</v>
      </c>
      <c r="E288" s="147">
        <v>0</v>
      </c>
      <c r="F288" s="147">
        <v>0</v>
      </c>
      <c r="G288" s="667">
        <v>1</v>
      </c>
      <c r="H288" s="180">
        <f>IF((E288+G288)/C288&gt;=100%,100%,(E288+G288)/C288)</f>
        <v>1</v>
      </c>
      <c r="I288" s="642">
        <v>0</v>
      </c>
      <c r="J288" s="195"/>
      <c r="K288" s="195"/>
      <c r="L288" s="206"/>
      <c r="M288" s="207"/>
      <c r="N288" s="146"/>
      <c r="O288" s="195"/>
      <c r="P288" s="195"/>
      <c r="Q288" s="195"/>
      <c r="R288" s="150"/>
      <c r="S288" s="195"/>
      <c r="T288" s="241">
        <v>2</v>
      </c>
      <c r="U288" s="242">
        <f t="shared" ref="U288" si="425">SUM(E288:F288)</f>
        <v>0</v>
      </c>
      <c r="V288" s="186">
        <f t="shared" ref="V288" si="426">IF(U288/T288&gt;=100%,100%,U288/T288)</f>
        <v>0</v>
      </c>
      <c r="W288" s="505">
        <v>1</v>
      </c>
      <c r="X288" s="505">
        <v>0</v>
      </c>
      <c r="Y288" s="545">
        <v>0</v>
      </c>
      <c r="Z288" s="377">
        <v>0</v>
      </c>
      <c r="AA288" s="174">
        <v>0</v>
      </c>
      <c r="AB288" s="273">
        <v>0</v>
      </c>
      <c r="AC288" s="269">
        <v>0</v>
      </c>
      <c r="AD288" s="189" t="e">
        <f t="shared" si="390"/>
        <v>#DIV/0!</v>
      </c>
      <c r="AE288" s="156">
        <f>+AA288-AC288</f>
        <v>0</v>
      </c>
      <c r="AF288" s="174">
        <v>10041698</v>
      </c>
      <c r="AG288" s="174">
        <v>9285978</v>
      </c>
      <c r="AH288" s="614">
        <f t="shared" si="391"/>
        <v>0.92474181159401525</v>
      </c>
      <c r="AI288" s="250">
        <v>240000000</v>
      </c>
      <c r="AJ288" s="250">
        <f t="shared" ref="AJ288:AJ291" si="427">+SUM(Z288:AA288)</f>
        <v>0</v>
      </c>
      <c r="AK288" s="911">
        <f t="shared" si="392"/>
        <v>0</v>
      </c>
      <c r="AL288" s="173"/>
      <c r="AM288" s="157"/>
      <c r="AN288" s="152" t="s">
        <v>302</v>
      </c>
      <c r="AO288" s="594" t="s">
        <v>914</v>
      </c>
      <c r="AP288" s="558"/>
      <c r="AQ288" s="93"/>
    </row>
    <row r="289" spans="1:43" ht="51.75" customHeight="1">
      <c r="A289" s="315" t="s">
        <v>506</v>
      </c>
      <c r="B289" s="138"/>
      <c r="C289" s="223"/>
      <c r="D289" s="223"/>
      <c r="E289" s="139"/>
      <c r="F289" s="139"/>
      <c r="G289" s="139"/>
      <c r="H289" s="161">
        <f>+SUMPRODUCT(H290:H292,W290:W292)</f>
        <v>1</v>
      </c>
      <c r="I289" s="161">
        <f>+SUMPRODUCT(I290:I292,X290:X292)</f>
        <v>0.98249999999999993</v>
      </c>
      <c r="J289" s="194"/>
      <c r="K289" s="194"/>
      <c r="L289" s="141"/>
      <c r="M289" s="142"/>
      <c r="N289" s="142"/>
      <c r="O289" s="194"/>
      <c r="P289" s="194"/>
      <c r="Q289" s="194"/>
      <c r="R289" s="163"/>
      <c r="S289" s="194"/>
      <c r="T289" s="240"/>
      <c r="U289" s="261"/>
      <c r="V289" s="177">
        <f>+SUMPRODUCT(V290:V292,W290:W292)</f>
        <v>1</v>
      </c>
      <c r="W289" s="471">
        <v>0.95</v>
      </c>
      <c r="X289" s="471">
        <v>0.95</v>
      </c>
      <c r="Y289" s="144">
        <f>SUM(Y290:Y292)</f>
        <v>1196990838</v>
      </c>
      <c r="Z289" s="144">
        <f>SUM(Z290:Z292)</f>
        <v>0</v>
      </c>
      <c r="AA289" s="602">
        <f>SUM(AA290:AA292)</f>
        <v>1194059194.74</v>
      </c>
      <c r="AB289" s="272">
        <f t="shared" si="389"/>
        <v>0.9975508223062941</v>
      </c>
      <c r="AC289" s="144">
        <f>SUM(AC290:AC292)</f>
        <v>1145881107.95</v>
      </c>
      <c r="AD289" s="188">
        <f t="shared" si="390"/>
        <v>0.95730148600352116</v>
      </c>
      <c r="AE289" s="144">
        <f>SUM(AE290:AE292)</f>
        <v>48178086.789999962</v>
      </c>
      <c r="AF289" s="144">
        <f>SUM(AF290:AF292)</f>
        <v>415063500.80000001</v>
      </c>
      <c r="AG289" s="144">
        <f>SUM(AG290:AG292)</f>
        <v>410228643.80000001</v>
      </c>
      <c r="AH289" s="613">
        <f t="shared" si="391"/>
        <v>0.98835152454821684</v>
      </c>
      <c r="AI289" s="144">
        <f t="shared" ref="AI289:AJ289" si="428">SUM(AI290:AI292)</f>
        <v>9045000000</v>
      </c>
      <c r="AJ289" s="144">
        <f t="shared" si="428"/>
        <v>1194059194.74</v>
      </c>
      <c r="AK289" s="910">
        <f t="shared" si="392"/>
        <v>0.13201317797014925</v>
      </c>
      <c r="AL289" s="179"/>
      <c r="AM289" s="165"/>
      <c r="AN289" s="553"/>
      <c r="AO289" s="144"/>
      <c r="AP289" s="557"/>
      <c r="AQ289" s="98"/>
    </row>
    <row r="290" spans="1:43" ht="12.75" customHeight="1">
      <c r="A290" s="354" t="s">
        <v>696</v>
      </c>
      <c r="B290" s="459" t="s">
        <v>883</v>
      </c>
      <c r="C290" s="411">
        <v>1</v>
      </c>
      <c r="D290" s="411">
        <v>1</v>
      </c>
      <c r="E290" s="872">
        <v>1</v>
      </c>
      <c r="F290" s="681">
        <v>0.96499999999999997</v>
      </c>
      <c r="G290" s="182"/>
      <c r="H290" s="180">
        <f t="shared" ref="H290:H292" si="429">IF((E290+G290)/C290&gt;=100%,100%,(E290+G290)/C290)</f>
        <v>1</v>
      </c>
      <c r="I290" s="642">
        <f t="shared" ref="H290:I293" si="430">IF(F290/D290&gt;=100%,100%,F290/D290)</f>
        <v>0.96499999999999997</v>
      </c>
      <c r="J290" s="195"/>
      <c r="K290" s="195"/>
      <c r="L290" s="206"/>
      <c r="M290" s="207"/>
      <c r="N290" s="146"/>
      <c r="O290" s="195"/>
      <c r="P290" s="195"/>
      <c r="Q290" s="195"/>
      <c r="R290" s="150"/>
      <c r="S290" s="195"/>
      <c r="T290" s="311">
        <v>1</v>
      </c>
      <c r="U290" s="242">
        <f t="shared" ref="U290:U292" si="431">SUM(E290:F290)</f>
        <v>1.9649999999999999</v>
      </c>
      <c r="V290" s="186">
        <f t="shared" ref="V290:V292" si="432">IF(U290/T290&gt;=100%,100%,U290/T290)</f>
        <v>1</v>
      </c>
      <c r="W290" s="506">
        <v>0.4</v>
      </c>
      <c r="X290" s="506">
        <v>0.5</v>
      </c>
      <c r="Y290" s="546">
        <v>596990838</v>
      </c>
      <c r="Z290" s="378">
        <v>0</v>
      </c>
      <c r="AA290" s="174">
        <v>596890161.70000005</v>
      </c>
      <c r="AB290" s="273">
        <f t="shared" si="389"/>
        <v>0.99983136039350751</v>
      </c>
      <c r="AC290" s="269">
        <v>592985606</v>
      </c>
      <c r="AD290" s="637">
        <f t="shared" si="390"/>
        <v>0.99329096571495457</v>
      </c>
      <c r="AE290" s="156">
        <f>+AA290-AC290</f>
        <v>3904555.7000000477</v>
      </c>
      <c r="AF290" s="174">
        <v>31123939</v>
      </c>
      <c r="AG290" s="174">
        <v>29864543</v>
      </c>
      <c r="AH290" s="614">
        <f t="shared" si="391"/>
        <v>0.9595360985638739</v>
      </c>
      <c r="AI290" s="250">
        <v>845000000</v>
      </c>
      <c r="AJ290" s="250">
        <f t="shared" si="427"/>
        <v>596890161.70000005</v>
      </c>
      <c r="AK290" s="914">
        <f t="shared" si="392"/>
        <v>0.70637888958579886</v>
      </c>
      <c r="AL290" s="173"/>
      <c r="AM290" s="157"/>
      <c r="AN290" s="152" t="s">
        <v>302</v>
      </c>
      <c r="AO290" s="595" t="s">
        <v>890</v>
      </c>
      <c r="AP290" s="558"/>
      <c r="AQ290" s="93"/>
    </row>
    <row r="291" spans="1:43" ht="12.75" customHeight="1">
      <c r="A291" s="354" t="s">
        <v>697</v>
      </c>
      <c r="B291" s="459" t="s">
        <v>884</v>
      </c>
      <c r="C291" s="411">
        <v>1</v>
      </c>
      <c r="D291" s="411">
        <v>1</v>
      </c>
      <c r="E291" s="182">
        <v>1</v>
      </c>
      <c r="F291" s="182">
        <v>1</v>
      </c>
      <c r="G291" s="182"/>
      <c r="H291" s="180">
        <f t="shared" si="429"/>
        <v>1</v>
      </c>
      <c r="I291" s="642">
        <f t="shared" si="430"/>
        <v>1</v>
      </c>
      <c r="J291" s="195"/>
      <c r="K291" s="195"/>
      <c r="L291" s="206"/>
      <c r="M291" s="207"/>
      <c r="N291" s="146"/>
      <c r="O291" s="195"/>
      <c r="P291" s="195"/>
      <c r="Q291" s="195"/>
      <c r="R291" s="150"/>
      <c r="S291" s="195"/>
      <c r="T291" s="311">
        <v>1</v>
      </c>
      <c r="U291" s="242">
        <f t="shared" si="431"/>
        <v>2</v>
      </c>
      <c r="V291" s="186">
        <f t="shared" si="432"/>
        <v>1</v>
      </c>
      <c r="W291" s="506">
        <v>0.4</v>
      </c>
      <c r="X291" s="506">
        <v>0.5</v>
      </c>
      <c r="Y291" s="546">
        <v>600000000</v>
      </c>
      <c r="Z291" s="378">
        <v>0</v>
      </c>
      <c r="AA291" s="174">
        <v>597169033.03999996</v>
      </c>
      <c r="AB291" s="273">
        <f t="shared" si="389"/>
        <v>0.99528172173333329</v>
      </c>
      <c r="AC291" s="269">
        <v>552895501.95000005</v>
      </c>
      <c r="AD291" s="189">
        <f t="shared" si="390"/>
        <v>0.92149250325000009</v>
      </c>
      <c r="AE291" s="156">
        <f>+AA291-AC291</f>
        <v>44273531.089999914</v>
      </c>
      <c r="AF291" s="174">
        <v>383939561.80000001</v>
      </c>
      <c r="AG291" s="174">
        <v>380364100.80000001</v>
      </c>
      <c r="AH291" s="614">
        <f t="shared" si="391"/>
        <v>0.99068743793101866</v>
      </c>
      <c r="AI291" s="250">
        <v>7500000000</v>
      </c>
      <c r="AJ291" s="250">
        <f t="shared" si="427"/>
        <v>597169033.03999996</v>
      </c>
      <c r="AK291" s="911">
        <f t="shared" si="392"/>
        <v>7.9622537738666663E-2</v>
      </c>
      <c r="AL291" s="173"/>
      <c r="AM291" s="157"/>
      <c r="AN291" s="152" t="s">
        <v>302</v>
      </c>
      <c r="AO291" s="595" t="s">
        <v>890</v>
      </c>
      <c r="AP291" s="558"/>
      <c r="AQ291" s="93"/>
    </row>
    <row r="292" spans="1:43" ht="12.75" customHeight="1" thickBot="1">
      <c r="A292" s="357" t="s">
        <v>698</v>
      </c>
      <c r="B292" s="459" t="s">
        <v>867</v>
      </c>
      <c r="C292" s="857">
        <v>4</v>
      </c>
      <c r="D292" s="412">
        <v>0</v>
      </c>
      <c r="E292" s="860">
        <v>4</v>
      </c>
      <c r="F292" s="147">
        <v>0</v>
      </c>
      <c r="G292" s="147"/>
      <c r="H292" s="180">
        <f t="shared" si="429"/>
        <v>1</v>
      </c>
      <c r="I292" s="642">
        <v>0</v>
      </c>
      <c r="J292" s="195"/>
      <c r="K292" s="195"/>
      <c r="L292" s="206"/>
      <c r="M292" s="207"/>
      <c r="N292" s="146"/>
      <c r="O292" s="195"/>
      <c r="P292" s="195"/>
      <c r="Q292" s="195"/>
      <c r="R292" s="150"/>
      <c r="S292" s="195"/>
      <c r="T292" s="312">
        <v>4</v>
      </c>
      <c r="U292" s="242">
        <f t="shared" si="431"/>
        <v>4</v>
      </c>
      <c r="V292" s="186">
        <f t="shared" si="432"/>
        <v>1</v>
      </c>
      <c r="W292" s="904">
        <v>0.2</v>
      </c>
      <c r="X292" s="507">
        <v>0</v>
      </c>
      <c r="Y292" s="549">
        <v>0</v>
      </c>
      <c r="Z292" s="378">
        <v>0</v>
      </c>
      <c r="AA292" s="174"/>
      <c r="AB292" s="273" t="e">
        <f>+AA292/Y292</f>
        <v>#DIV/0!</v>
      </c>
      <c r="AC292" s="269"/>
      <c r="AD292" s="554" t="e">
        <f t="shared" si="390"/>
        <v>#DIV/0!</v>
      </c>
      <c r="AE292" s="562"/>
      <c r="AF292" s="563"/>
      <c r="AG292" s="563"/>
      <c r="AH292" s="609" t="e">
        <f t="shared" si="391"/>
        <v>#DIV/0!</v>
      </c>
      <c r="AI292" s="564">
        <v>700000000</v>
      </c>
      <c r="AJ292" s="564">
        <f>+SUM(Z292:AA292)</f>
        <v>0</v>
      </c>
      <c r="AK292" s="916">
        <f t="shared" si="392"/>
        <v>0</v>
      </c>
      <c r="AL292" s="565"/>
      <c r="AM292" s="566"/>
      <c r="AN292" s="152" t="s">
        <v>302</v>
      </c>
      <c r="AO292" s="567" t="s">
        <v>890</v>
      </c>
      <c r="AP292" s="558"/>
      <c r="AQ292" s="93"/>
    </row>
    <row r="293" spans="1:43" s="610" customFormat="1" ht="42.75" customHeight="1" thickBot="1">
      <c r="A293" s="314" t="s">
        <v>964</v>
      </c>
      <c r="B293" s="413"/>
      <c r="C293" s="465">
        <v>0.2</v>
      </c>
      <c r="D293" s="254">
        <v>0.35</v>
      </c>
      <c r="E293" s="875">
        <v>0.14000000000000001</v>
      </c>
      <c r="F293" s="465">
        <v>0.34310000000000002</v>
      </c>
      <c r="G293" s="129"/>
      <c r="H293" s="130">
        <f t="shared" si="430"/>
        <v>0.70000000000000007</v>
      </c>
      <c r="I293" s="130">
        <f>IF(F293/D293&gt;=100%,100%,F293/D293)</f>
        <v>0.98028571428571443</v>
      </c>
      <c r="J293" s="193"/>
      <c r="K293" s="193"/>
      <c r="L293" s="132"/>
      <c r="M293" s="133"/>
      <c r="N293" s="133"/>
      <c r="O293" s="193"/>
      <c r="P293" s="193"/>
      <c r="Q293" s="193"/>
      <c r="R293" s="159"/>
      <c r="S293" s="193"/>
      <c r="T293" s="239"/>
      <c r="U293" s="257"/>
      <c r="V293" s="465"/>
      <c r="W293" s="883">
        <v>0.01</v>
      </c>
      <c r="X293" s="470">
        <v>0.01</v>
      </c>
      <c r="Y293" s="135">
        <v>24223450000</v>
      </c>
      <c r="Z293" s="135"/>
      <c r="AA293" s="135">
        <v>23747240643</v>
      </c>
      <c r="AB293" s="271">
        <f>+AA293/Y293</f>
        <v>0.98034097715230495</v>
      </c>
      <c r="AC293" s="135">
        <v>20520865554.009998</v>
      </c>
      <c r="AD293" s="187">
        <f t="shared" si="390"/>
        <v>0.84714875684553592</v>
      </c>
      <c r="AE293" s="135">
        <f>+AA293-AC293</f>
        <v>3226375088.9900017</v>
      </c>
      <c r="AF293" s="135">
        <v>14250000</v>
      </c>
      <c r="AG293" s="135">
        <v>0</v>
      </c>
      <c r="AH293" s="612">
        <f t="shared" si="391"/>
        <v>0</v>
      </c>
      <c r="AI293" s="135"/>
      <c r="AJ293" s="135"/>
      <c r="AK293" s="280"/>
      <c r="AL293" s="172"/>
      <c r="AM293" s="160"/>
      <c r="AN293" s="136"/>
      <c r="AO293" s="135"/>
      <c r="AP293" s="611"/>
      <c r="AQ293" s="611"/>
    </row>
    <row r="294" spans="1:43" ht="40.5" customHeight="1" thickBot="1">
      <c r="A294" s="2185" t="s">
        <v>35</v>
      </c>
      <c r="B294" s="2186"/>
      <c r="C294" s="116"/>
      <c r="D294" s="116"/>
      <c r="E294" s="116"/>
      <c r="F294" s="116"/>
      <c r="G294" s="116"/>
      <c r="H294" s="109">
        <f>(H8*W8)+(H56*W56)+(H99*W99)+(H146*W146)+(H211*W211)</f>
        <v>0.87773928667826073</v>
      </c>
      <c r="I294" s="644">
        <f>(I8*X8)+(I56*X56)+(I99*X99)+(I146*X146)+(I211*X211)</f>
        <v>0.87738692759740267</v>
      </c>
      <c r="J294" s="116"/>
      <c r="K294" s="116"/>
      <c r="L294" s="116"/>
      <c r="M294" s="116"/>
      <c r="N294" s="116"/>
      <c r="O294" s="116"/>
      <c r="P294" s="116"/>
      <c r="Q294" s="116"/>
      <c r="R294" s="116"/>
      <c r="S294" s="85"/>
      <c r="T294" s="116"/>
      <c r="U294" s="227"/>
      <c r="V294" s="109">
        <f>(V8*W8)+(V56*W56)+(V99*W99)+(V146*W146)+(V211*W211)</f>
        <v>0.67644227353853559</v>
      </c>
      <c r="W294" s="255"/>
      <c r="X294" s="85"/>
      <c r="Y294" s="252">
        <f>+Y8+Y56+Y99+Y146+Y211+Y293</f>
        <v>155439506138</v>
      </c>
      <c r="Z294" s="252">
        <f>+Z8+Z56+Z99+Z146+Z211</f>
        <v>125000000</v>
      </c>
      <c r="AA294" s="252">
        <f>+AA8+AA56+AA99+AA146+AA211+AA293</f>
        <v>154291387964.76001</v>
      </c>
      <c r="AB294" s="263">
        <f>+AA294/Y294</f>
        <v>0.99261372992126795</v>
      </c>
      <c r="AC294" s="252">
        <f>+AC8+AC56+AC99+AC146+AC211+AC293</f>
        <v>122471350821.31</v>
      </c>
      <c r="AD294" s="196">
        <f t="shared" si="390"/>
        <v>0.78790362800419156</v>
      </c>
      <c r="AE294" s="252">
        <f>+AE8+AE56+AE99+AE146+AE211+AE293</f>
        <v>27030066603.429996</v>
      </c>
      <c r="AF294" s="252">
        <f>+AF8+AF56+AF99+AF146+AF211</f>
        <v>16415323982.040003</v>
      </c>
      <c r="AG294" s="252">
        <f>+AG8+AG56+AG99+AG146+AG211</f>
        <v>6432597740.8399992</v>
      </c>
      <c r="AH294" s="196">
        <f t="shared" si="391"/>
        <v>0.39186541477206915</v>
      </c>
      <c r="AI294" s="252">
        <f>+AI8+AI56+AI99+AI146+AI211</f>
        <v>354924908891.20001</v>
      </c>
      <c r="AJ294" s="252">
        <f>+AJ8+AJ56+AJ99+AJ146+AJ211</f>
        <v>130669147321.75999</v>
      </c>
      <c r="AK294" s="196">
        <f t="shared" si="392"/>
        <v>0.3681599798953975</v>
      </c>
      <c r="AL294" s="283"/>
      <c r="AM294" s="284"/>
      <c r="AN294" s="286"/>
      <c r="AO294" s="286"/>
      <c r="AP294" s="286"/>
      <c r="AQ294" s="285"/>
    </row>
    <row r="295" spans="1:43" ht="19.5" customHeight="1">
      <c r="A295" s="2187" t="s">
        <v>36</v>
      </c>
      <c r="B295" s="2187"/>
      <c r="C295" s="2187"/>
      <c r="D295" s="2187"/>
      <c r="E295" s="2187"/>
      <c r="F295" s="2187"/>
      <c r="G295" s="2187"/>
      <c r="H295" s="2187"/>
      <c r="I295" s="2187"/>
      <c r="J295" s="2187"/>
      <c r="K295" s="2187"/>
      <c r="L295" s="2187"/>
      <c r="M295" s="2187"/>
      <c r="N295" s="2187"/>
      <c r="O295" s="2187"/>
      <c r="P295" s="2187"/>
      <c r="Q295" s="2187"/>
      <c r="R295" s="2187"/>
      <c r="S295" s="2187"/>
      <c r="T295" s="2187"/>
      <c r="U295" s="2187"/>
      <c r="V295" s="2187"/>
      <c r="W295" s="2187"/>
      <c r="X295" s="2187"/>
      <c r="Y295" s="2187"/>
      <c r="Z295" s="2187"/>
      <c r="AA295" s="2187"/>
      <c r="AB295" s="2187"/>
      <c r="AC295" s="2187"/>
      <c r="AD295" s="2187"/>
      <c r="AE295" s="2187"/>
      <c r="AF295" s="2187"/>
      <c r="AG295" s="2187"/>
      <c r="AH295" s="2187"/>
      <c r="AI295" s="2187"/>
      <c r="AJ295" s="2187"/>
      <c r="AK295" s="2187"/>
      <c r="AL295" s="2171"/>
    </row>
    <row r="296" spans="1:43">
      <c r="Y296" s="608"/>
      <c r="AL296" s="95"/>
    </row>
    <row r="297" spans="1:43" ht="23.25" customHeight="1">
      <c r="A297" s="617"/>
      <c r="B297" s="617"/>
      <c r="C297" s="617"/>
      <c r="D297" s="617"/>
      <c r="E297" s="617"/>
      <c r="F297" s="617"/>
      <c r="G297" s="617"/>
      <c r="H297" s="617"/>
      <c r="I297" s="617"/>
      <c r="J297" s="617"/>
      <c r="K297" s="115"/>
      <c r="L297" s="115"/>
      <c r="M297" s="115"/>
      <c r="N297" s="115"/>
      <c r="O297" s="115"/>
      <c r="P297" s="115"/>
      <c r="Q297" s="115"/>
      <c r="R297" s="115"/>
      <c r="S297" s="617"/>
      <c r="T297" s="617"/>
      <c r="U297" s="617"/>
      <c r="V297" s="617"/>
      <c r="W297" s="617"/>
      <c r="X297" s="617"/>
      <c r="Y297" s="617"/>
      <c r="Z297" s="617"/>
      <c r="AA297" s="617"/>
      <c r="AB297" s="617"/>
      <c r="AC297" s="617"/>
      <c r="AD297" s="617"/>
      <c r="AE297" s="618"/>
      <c r="AF297" s="617"/>
      <c r="AG297" s="617"/>
      <c r="AH297" s="617"/>
      <c r="AI297" s="617"/>
      <c r="AJ297" s="617"/>
      <c r="AK297" s="617"/>
    </row>
    <row r="298" spans="1:43" ht="19.5" customHeight="1">
      <c r="A298" s="2188"/>
      <c r="B298" s="2188"/>
      <c r="C298" s="115"/>
      <c r="D298" s="115"/>
      <c r="E298" s="115"/>
      <c r="F298" s="115"/>
      <c r="G298" s="115"/>
      <c r="H298" s="115"/>
      <c r="I298" s="115"/>
      <c r="J298" s="115"/>
      <c r="K298" s="115"/>
      <c r="L298" s="115"/>
      <c r="M298" s="115"/>
      <c r="N298" s="115"/>
      <c r="O298" s="115"/>
      <c r="P298" s="115"/>
      <c r="Q298" s="115"/>
      <c r="R298" s="115"/>
      <c r="S298" s="115"/>
      <c r="T298" s="115"/>
      <c r="U298" s="115"/>
      <c r="V298" s="115"/>
      <c r="W298" s="115"/>
      <c r="X298" s="115"/>
      <c r="Y298" s="2188"/>
      <c r="Z298" s="2188"/>
      <c r="AA298" s="2188"/>
      <c r="AB298" s="2188"/>
      <c r="AC298" s="2188"/>
      <c r="AD298" s="2188"/>
      <c r="AE298" s="2188"/>
      <c r="AF298" s="2188"/>
      <c r="AG298" s="2188"/>
      <c r="AH298" s="2188"/>
      <c r="AI298" s="2188"/>
      <c r="AJ298" s="2188"/>
      <c r="AK298" s="2188"/>
    </row>
    <row r="299" spans="1:43" ht="59.25" customHeight="1">
      <c r="A299" s="2169"/>
      <c r="B299" s="2169"/>
      <c r="C299" s="115"/>
      <c r="D299" s="115"/>
      <c r="E299" s="115"/>
      <c r="F299" s="115"/>
      <c r="G299" s="115"/>
      <c r="H299" s="115"/>
      <c r="I299" s="115"/>
      <c r="J299" s="114"/>
      <c r="K299" s="114"/>
      <c r="L299" s="114"/>
      <c r="M299" s="114"/>
      <c r="N299" s="114"/>
      <c r="O299" s="114"/>
      <c r="P299" s="114"/>
      <c r="Q299" s="114"/>
      <c r="R299" s="114"/>
      <c r="S299" s="114"/>
      <c r="T299" s="115"/>
      <c r="U299" s="115"/>
      <c r="V299" s="115"/>
      <c r="W299" s="114"/>
      <c r="X299" s="114"/>
      <c r="Y299" s="2170"/>
      <c r="Z299" s="2170"/>
      <c r="AA299" s="2170"/>
      <c r="AB299" s="2170"/>
      <c r="AC299" s="2170"/>
      <c r="AD299" s="2170"/>
      <c r="AE299" s="2170"/>
      <c r="AF299" s="2170"/>
      <c r="AG299" s="2170"/>
      <c r="AH299" s="2170"/>
      <c r="AI299" s="2170"/>
      <c r="AJ299" s="2170"/>
      <c r="AK299" s="2170"/>
    </row>
    <row r="300" spans="1:43" ht="42.75" customHeight="1">
      <c r="A300" s="2169"/>
      <c r="B300" s="2169"/>
      <c r="C300" s="115"/>
      <c r="D300" s="115"/>
      <c r="E300" s="115"/>
      <c r="F300" s="115"/>
      <c r="G300" s="115"/>
      <c r="H300" s="115"/>
      <c r="I300" s="115"/>
      <c r="J300" s="114"/>
      <c r="K300" s="114"/>
      <c r="L300" s="114"/>
      <c r="M300" s="114"/>
      <c r="N300" s="114"/>
      <c r="O300" s="114"/>
      <c r="P300" s="114"/>
      <c r="Q300" s="114"/>
      <c r="R300" s="114"/>
      <c r="S300" s="114"/>
      <c r="T300" s="115"/>
      <c r="U300" s="115"/>
      <c r="V300" s="115"/>
      <c r="W300" s="114"/>
      <c r="X300" s="114"/>
      <c r="Y300" s="2170"/>
      <c r="Z300" s="2170"/>
      <c r="AA300" s="2170"/>
      <c r="AB300" s="2170"/>
      <c r="AC300" s="2170"/>
      <c r="AD300" s="2170"/>
      <c r="AE300" s="2170"/>
      <c r="AF300" s="2170"/>
      <c r="AG300" s="2170"/>
      <c r="AH300" s="2170"/>
      <c r="AI300" s="2170"/>
      <c r="AJ300" s="2170"/>
      <c r="AK300" s="2170"/>
    </row>
    <row r="301" spans="1:43" ht="27" customHeight="1">
      <c r="A301" s="2169"/>
      <c r="B301" s="2169"/>
      <c r="C301" s="115"/>
      <c r="D301" s="115"/>
      <c r="E301" s="115"/>
      <c r="F301" s="115"/>
      <c r="G301" s="115"/>
      <c r="H301" s="115"/>
      <c r="I301" s="115"/>
      <c r="J301" s="114"/>
      <c r="K301" s="114"/>
      <c r="L301" s="114"/>
      <c r="M301" s="114"/>
      <c r="N301" s="114"/>
      <c r="O301" s="114"/>
      <c r="P301" s="114"/>
      <c r="Q301" s="114"/>
      <c r="R301" s="114"/>
      <c r="S301" s="114"/>
      <c r="T301" s="115"/>
      <c r="U301" s="115"/>
      <c r="V301" s="115"/>
      <c r="W301" s="114"/>
      <c r="X301" s="114"/>
      <c r="Y301" s="2170"/>
      <c r="Z301" s="2170"/>
      <c r="AA301" s="2170"/>
      <c r="AB301" s="2170"/>
      <c r="AC301" s="2170"/>
      <c r="AD301" s="2170"/>
      <c r="AE301" s="2170"/>
      <c r="AF301" s="2170"/>
      <c r="AG301" s="2170"/>
      <c r="AH301" s="2170"/>
      <c r="AI301" s="2170"/>
      <c r="AJ301" s="2170"/>
      <c r="AK301" s="2170"/>
    </row>
    <row r="302" spans="1:43" ht="40.5" customHeight="1">
      <c r="A302" s="2169"/>
      <c r="B302" s="2169"/>
      <c r="C302" s="115"/>
      <c r="D302" s="115"/>
      <c r="E302" s="115"/>
      <c r="F302" s="115"/>
      <c r="G302" s="115"/>
      <c r="H302" s="115"/>
      <c r="I302" s="115"/>
      <c r="J302" s="114"/>
      <c r="K302" s="114"/>
      <c r="L302" s="114"/>
      <c r="M302" s="114"/>
      <c r="N302" s="114"/>
      <c r="O302" s="114"/>
      <c r="P302" s="114"/>
      <c r="Q302" s="114"/>
      <c r="R302" s="114"/>
      <c r="S302" s="114"/>
      <c r="T302" s="115"/>
      <c r="U302" s="115"/>
      <c r="V302" s="115"/>
      <c r="W302" s="114"/>
      <c r="X302" s="114"/>
      <c r="Y302" s="2170"/>
      <c r="Z302" s="2170"/>
      <c r="AA302" s="2170"/>
      <c r="AB302" s="2170"/>
      <c r="AC302" s="2170"/>
      <c r="AD302" s="2170"/>
      <c r="AE302" s="2170"/>
      <c r="AF302" s="2170"/>
      <c r="AG302" s="2170"/>
      <c r="AH302" s="2170"/>
      <c r="AI302" s="2170"/>
      <c r="AJ302" s="2170"/>
      <c r="AK302" s="2170"/>
    </row>
    <row r="303" spans="1:43" ht="35.25" customHeight="1">
      <c r="A303" s="2169"/>
      <c r="B303" s="2169"/>
      <c r="C303" s="115"/>
      <c r="D303" s="115"/>
      <c r="E303" s="115"/>
      <c r="F303" s="115"/>
      <c r="G303" s="115"/>
      <c r="H303" s="115"/>
      <c r="I303" s="115"/>
      <c r="J303" s="114"/>
      <c r="K303" s="114"/>
      <c r="L303" s="114"/>
      <c r="M303" s="114"/>
      <c r="N303" s="114"/>
      <c r="O303" s="114"/>
      <c r="P303" s="114"/>
      <c r="Q303" s="114"/>
      <c r="R303" s="114"/>
      <c r="S303" s="114"/>
      <c r="T303" s="115"/>
      <c r="U303" s="115"/>
      <c r="V303" s="115"/>
      <c r="W303" s="114"/>
      <c r="X303" s="114"/>
      <c r="Y303" s="2170"/>
      <c r="Z303" s="2170"/>
      <c r="AA303" s="2170"/>
      <c r="AB303" s="2170"/>
      <c r="AC303" s="2170"/>
      <c r="AD303" s="2170"/>
      <c r="AE303" s="2170"/>
      <c r="AF303" s="2170"/>
      <c r="AG303" s="2170"/>
      <c r="AH303" s="2170"/>
      <c r="AI303" s="2170"/>
      <c r="AJ303" s="2170"/>
      <c r="AK303" s="2170"/>
    </row>
    <row r="304" spans="1:43" ht="41.25" customHeight="1">
      <c r="A304" s="2169"/>
      <c r="B304" s="2169"/>
      <c r="C304" s="115"/>
      <c r="D304" s="115"/>
      <c r="E304" s="115"/>
      <c r="F304" s="115"/>
      <c r="G304" s="115"/>
      <c r="H304" s="115"/>
      <c r="I304" s="115"/>
      <c r="J304" s="114"/>
      <c r="K304" s="114"/>
      <c r="L304" s="114"/>
      <c r="M304" s="114"/>
      <c r="N304" s="114"/>
      <c r="O304" s="114"/>
      <c r="P304" s="114"/>
      <c r="Q304" s="114"/>
      <c r="R304" s="114"/>
      <c r="S304" s="114"/>
      <c r="T304" s="115"/>
      <c r="U304" s="115"/>
      <c r="V304" s="115"/>
      <c r="W304" s="114"/>
      <c r="X304" s="114"/>
      <c r="Y304" s="2170"/>
      <c r="Z304" s="2170"/>
      <c r="AA304" s="2170"/>
      <c r="AB304" s="2170"/>
      <c r="AC304" s="2170"/>
      <c r="AD304" s="2170"/>
      <c r="AE304" s="2170"/>
      <c r="AF304" s="2170"/>
      <c r="AG304" s="2170"/>
      <c r="AH304" s="2170"/>
      <c r="AI304" s="2170"/>
      <c r="AJ304" s="2170"/>
      <c r="AK304" s="2170"/>
    </row>
    <row r="305" spans="1:37" ht="39" customHeight="1">
      <c r="A305" s="2169"/>
      <c r="B305" s="2169"/>
      <c r="C305" s="115"/>
      <c r="D305" s="115"/>
      <c r="E305" s="115"/>
      <c r="F305" s="115"/>
      <c r="G305" s="115"/>
      <c r="H305" s="115"/>
      <c r="I305" s="115"/>
      <c r="J305" s="114"/>
      <c r="K305" s="114"/>
      <c r="L305" s="114"/>
      <c r="M305" s="114"/>
      <c r="N305" s="114"/>
      <c r="O305" s="114"/>
      <c r="P305" s="114"/>
      <c r="Q305" s="114"/>
      <c r="R305" s="114"/>
      <c r="S305" s="114"/>
      <c r="T305" s="115"/>
      <c r="U305" s="115"/>
      <c r="V305" s="115"/>
      <c r="W305" s="114"/>
      <c r="X305" s="114"/>
      <c r="Y305" s="2170"/>
      <c r="Z305" s="2170"/>
      <c r="AA305" s="2170"/>
      <c r="AB305" s="2170"/>
      <c r="AC305" s="2170"/>
      <c r="AD305" s="2170"/>
      <c r="AE305" s="2170"/>
      <c r="AF305" s="2170"/>
      <c r="AG305" s="2170"/>
      <c r="AH305" s="2170"/>
      <c r="AI305" s="2170"/>
      <c r="AJ305" s="2170"/>
      <c r="AK305" s="2170"/>
    </row>
    <row r="306" spans="1:37" ht="81" customHeight="1">
      <c r="A306" s="2169"/>
      <c r="B306" s="2169"/>
      <c r="C306" s="115"/>
      <c r="D306" s="115"/>
      <c r="E306" s="115"/>
      <c r="F306" s="115"/>
      <c r="G306" s="115"/>
      <c r="H306" s="115"/>
      <c r="I306" s="115"/>
      <c r="J306" s="114"/>
      <c r="K306" s="114"/>
      <c r="L306" s="114"/>
      <c r="M306" s="114"/>
      <c r="N306" s="114"/>
      <c r="O306" s="114"/>
      <c r="P306" s="114"/>
      <c r="Q306" s="114"/>
      <c r="R306" s="114"/>
      <c r="S306" s="114"/>
      <c r="T306" s="115"/>
      <c r="U306" s="115"/>
      <c r="V306" s="115"/>
      <c r="W306" s="114"/>
      <c r="X306" s="114"/>
      <c r="Y306" s="2170"/>
      <c r="Z306" s="2170"/>
      <c r="AA306" s="2170"/>
      <c r="AB306" s="2170"/>
      <c r="AC306" s="2170"/>
      <c r="AD306" s="2170"/>
      <c r="AE306" s="2170"/>
      <c r="AF306" s="2170"/>
      <c r="AG306" s="2170"/>
      <c r="AH306" s="2170"/>
      <c r="AI306" s="2170"/>
      <c r="AJ306" s="2170"/>
      <c r="AK306" s="2170"/>
    </row>
    <row r="307" spans="1:37" ht="33.75" customHeight="1">
      <c r="A307" s="2169"/>
      <c r="B307" s="2169"/>
      <c r="C307" s="115"/>
      <c r="D307" s="115"/>
      <c r="E307" s="115"/>
      <c r="F307" s="115"/>
      <c r="G307" s="115"/>
      <c r="H307" s="115"/>
      <c r="I307" s="115"/>
      <c r="J307" s="114"/>
      <c r="K307" s="114"/>
      <c r="L307" s="114"/>
      <c r="M307" s="114"/>
      <c r="N307" s="114"/>
      <c r="O307" s="114"/>
      <c r="P307" s="114"/>
      <c r="Q307" s="114"/>
      <c r="R307" s="114"/>
      <c r="S307" s="114"/>
      <c r="T307" s="115"/>
      <c r="U307" s="115"/>
      <c r="V307" s="115"/>
      <c r="W307" s="114"/>
      <c r="X307" s="114"/>
      <c r="Y307" s="2170"/>
      <c r="Z307" s="2170"/>
      <c r="AA307" s="2170"/>
      <c r="AB307" s="2170"/>
      <c r="AC307" s="2170"/>
      <c r="AD307" s="2170"/>
      <c r="AE307" s="2170"/>
      <c r="AF307" s="2170"/>
      <c r="AG307" s="2170"/>
      <c r="AH307" s="2170"/>
      <c r="AI307" s="2170"/>
      <c r="AJ307" s="2170"/>
      <c r="AK307" s="2170"/>
    </row>
    <row r="308" spans="1:37" ht="147.75" customHeight="1">
      <c r="A308" s="2169"/>
      <c r="B308" s="2169"/>
      <c r="C308" s="115"/>
      <c r="D308" s="115"/>
      <c r="E308" s="115"/>
      <c r="F308" s="115"/>
      <c r="G308" s="115"/>
      <c r="H308" s="115"/>
      <c r="I308" s="115"/>
      <c r="J308" s="114"/>
      <c r="K308" s="114"/>
      <c r="L308" s="114"/>
      <c r="M308" s="114"/>
      <c r="N308" s="114"/>
      <c r="O308" s="114"/>
      <c r="P308" s="114"/>
      <c r="Q308" s="114"/>
      <c r="R308" s="114"/>
      <c r="S308" s="114"/>
      <c r="T308" s="115"/>
      <c r="U308" s="115"/>
      <c r="V308" s="115"/>
      <c r="W308" s="114"/>
      <c r="X308" s="114"/>
      <c r="Y308" s="2170"/>
      <c r="Z308" s="2170"/>
      <c r="AA308" s="2170"/>
      <c r="AB308" s="2170"/>
      <c r="AC308" s="2170"/>
      <c r="AD308" s="2170"/>
      <c r="AE308" s="2170"/>
      <c r="AF308" s="2170"/>
      <c r="AG308" s="2170"/>
      <c r="AH308" s="2170"/>
      <c r="AI308" s="2170"/>
      <c r="AJ308" s="2170"/>
      <c r="AK308" s="2170"/>
    </row>
    <row r="309" spans="1:37" ht="36" customHeight="1">
      <c r="A309" s="2169"/>
      <c r="B309" s="2169"/>
      <c r="C309" s="115"/>
      <c r="D309" s="115"/>
      <c r="E309" s="115"/>
      <c r="F309" s="115"/>
      <c r="G309" s="115"/>
      <c r="H309" s="115"/>
      <c r="I309" s="115"/>
      <c r="J309" s="114"/>
      <c r="K309" s="114"/>
      <c r="L309" s="114"/>
      <c r="M309" s="114"/>
      <c r="N309" s="114"/>
      <c r="O309" s="114"/>
      <c r="P309" s="114"/>
      <c r="Q309" s="114"/>
      <c r="R309" s="114"/>
      <c r="S309" s="114"/>
      <c r="T309" s="115"/>
      <c r="U309" s="115"/>
      <c r="V309" s="115"/>
      <c r="W309" s="114"/>
      <c r="X309" s="114"/>
      <c r="Y309" s="2170"/>
      <c r="Z309" s="2170"/>
      <c r="AA309" s="2170"/>
      <c r="AB309" s="2170"/>
      <c r="AC309" s="2170"/>
      <c r="AD309" s="2170"/>
      <c r="AE309" s="2170"/>
      <c r="AF309" s="2170"/>
      <c r="AG309" s="2170"/>
      <c r="AH309" s="2170"/>
      <c r="AI309" s="2170"/>
      <c r="AJ309" s="2170"/>
      <c r="AK309" s="2170"/>
    </row>
    <row r="310" spans="1:37" ht="82.5" customHeight="1">
      <c r="A310" s="2169"/>
      <c r="B310" s="2169"/>
      <c r="C310" s="115"/>
      <c r="D310" s="115"/>
      <c r="E310" s="115"/>
      <c r="F310" s="115"/>
      <c r="G310" s="115"/>
      <c r="H310" s="115"/>
      <c r="I310" s="115"/>
      <c r="J310" s="114"/>
      <c r="K310" s="114"/>
      <c r="L310" s="114"/>
      <c r="M310" s="114"/>
      <c r="N310" s="114"/>
      <c r="O310" s="114"/>
      <c r="P310" s="114"/>
      <c r="Q310" s="114"/>
      <c r="R310" s="114"/>
      <c r="S310" s="114"/>
      <c r="T310" s="115"/>
      <c r="U310" s="115"/>
      <c r="V310" s="115"/>
      <c r="W310" s="114"/>
      <c r="X310" s="114"/>
      <c r="Y310" s="2170"/>
      <c r="Z310" s="2170"/>
      <c r="AA310" s="2170"/>
      <c r="AB310" s="2170"/>
      <c r="AC310" s="2170"/>
      <c r="AD310" s="2170"/>
      <c r="AE310" s="2170"/>
      <c r="AF310" s="2170"/>
      <c r="AG310" s="2170"/>
      <c r="AH310" s="2170"/>
      <c r="AI310" s="2170"/>
      <c r="AJ310" s="2170"/>
      <c r="AK310" s="2170"/>
    </row>
    <row r="311" spans="1:37" ht="22.5" customHeight="1">
      <c r="A311" s="2169"/>
      <c r="B311" s="2171"/>
      <c r="C311" s="2171"/>
      <c r="D311" s="2171"/>
      <c r="E311" s="2171"/>
      <c r="F311" s="2171"/>
      <c r="G311" s="2171"/>
      <c r="H311" s="2171"/>
      <c r="I311" s="2171"/>
      <c r="J311" s="2171"/>
      <c r="K311" s="2171"/>
      <c r="L311" s="2171"/>
      <c r="M311" s="2171"/>
      <c r="N311" s="2171"/>
      <c r="O311" s="2171"/>
      <c r="P311" s="2171"/>
      <c r="Q311" s="2171"/>
      <c r="R311" s="2171"/>
      <c r="S311" s="2171"/>
      <c r="T311" s="2171"/>
      <c r="U311" s="2171"/>
      <c r="V311" s="2171"/>
      <c r="W311" s="2171"/>
      <c r="X311" s="2171"/>
      <c r="Y311" s="2171"/>
      <c r="Z311" s="2171"/>
      <c r="AA311" s="2171"/>
      <c r="AB311" s="2171"/>
      <c r="AC311" s="2171"/>
      <c r="AD311" s="2171"/>
      <c r="AE311" s="2171"/>
      <c r="AF311" s="2171"/>
      <c r="AG311" s="2171"/>
      <c r="AH311" s="2171"/>
      <c r="AI311" s="2171"/>
      <c r="AJ311" s="2171"/>
      <c r="AK311" s="2171"/>
    </row>
  </sheetData>
  <mergeCells count="100">
    <mergeCell ref="AO126:AO127"/>
    <mergeCell ref="AO130:AO131"/>
    <mergeCell ref="AO136:AO139"/>
    <mergeCell ref="AO90:AO91"/>
    <mergeCell ref="AO274:AO276"/>
    <mergeCell ref="AO235:AO237"/>
    <mergeCell ref="AO241:AO243"/>
    <mergeCell ref="AO254:AO255"/>
    <mergeCell ref="AO262:AO265"/>
    <mergeCell ref="AO169:AO172"/>
    <mergeCell ref="AO181:AO182"/>
    <mergeCell ref="AO204:AO205"/>
    <mergeCell ref="AO221:AO225"/>
    <mergeCell ref="AO93:AO96"/>
    <mergeCell ref="AO102:AO104"/>
    <mergeCell ref="AO108:AO110"/>
    <mergeCell ref="AO115:AO116"/>
    <mergeCell ref="AO122:AO123"/>
    <mergeCell ref="AO27:AO30"/>
    <mergeCell ref="AO34:AO35"/>
    <mergeCell ref="AO39:AO40"/>
    <mergeCell ref="AO41:AO43"/>
    <mergeCell ref="AO47:AO48"/>
    <mergeCell ref="AO54:AO55"/>
    <mergeCell ref="A1:AO1"/>
    <mergeCell ref="T6:T7"/>
    <mergeCell ref="U6:U7"/>
    <mergeCell ref="V6:V7"/>
    <mergeCell ref="AB6:AB7"/>
    <mergeCell ref="AC6:AC7"/>
    <mergeCell ref="AD6:AD7"/>
    <mergeCell ref="AM5:AM7"/>
    <mergeCell ref="AN5:AN7"/>
    <mergeCell ref="AO5:AO7"/>
    <mergeCell ref="B6:B7"/>
    <mergeCell ref="A2:AO2"/>
    <mergeCell ref="A3:AO3"/>
    <mergeCell ref="AI6:AI7"/>
    <mergeCell ref="AJ6:AJ7"/>
    <mergeCell ref="AF6:AF7"/>
    <mergeCell ref="AO11:AO12"/>
    <mergeCell ref="AO13:AO15"/>
    <mergeCell ref="AO16:AO18"/>
    <mergeCell ref="AO24:AO25"/>
    <mergeCell ref="AQ5:AQ7"/>
    <mergeCell ref="AP5:AP7"/>
    <mergeCell ref="AG6:AG7"/>
    <mergeCell ref="AK6:AK7"/>
    <mergeCell ref="X6:X7"/>
    <mergeCell ref="M6:M7"/>
    <mergeCell ref="O6:O7"/>
    <mergeCell ref="P6:P7"/>
    <mergeCell ref="Q6:Q7"/>
    <mergeCell ref="AE6:AE7"/>
    <mergeCell ref="Z6:AA6"/>
    <mergeCell ref="A299:B299"/>
    <mergeCell ref="Y299:AK299"/>
    <mergeCell ref="B5:X5"/>
    <mergeCell ref="Y5:AK5"/>
    <mergeCell ref="A294:B294"/>
    <mergeCell ref="A295:AL295"/>
    <mergeCell ref="A298:B298"/>
    <mergeCell ref="C6:D6"/>
    <mergeCell ref="E6:F6"/>
    <mergeCell ref="H6:I6"/>
    <mergeCell ref="J6:J7"/>
    <mergeCell ref="S6:S7"/>
    <mergeCell ref="AL5:AL7"/>
    <mergeCell ref="N6:N7"/>
    <mergeCell ref="AH6:AH7"/>
    <mergeCell ref="Y298:AK298"/>
    <mergeCell ref="A306:B306"/>
    <mergeCell ref="Y306:AK306"/>
    <mergeCell ref="A307:B307"/>
    <mergeCell ref="Y307:AK307"/>
    <mergeCell ref="A300:B300"/>
    <mergeCell ref="Y300:AK300"/>
    <mergeCell ref="A301:B301"/>
    <mergeCell ref="A303:B303"/>
    <mergeCell ref="Y303:AK303"/>
    <mergeCell ref="A304:B304"/>
    <mergeCell ref="Y304:AK304"/>
    <mergeCell ref="A305:B305"/>
    <mergeCell ref="Y305:AK305"/>
    <mergeCell ref="A310:B310"/>
    <mergeCell ref="Y310:AK310"/>
    <mergeCell ref="A311:AK311"/>
    <mergeCell ref="R6:R7"/>
    <mergeCell ref="K6:K7"/>
    <mergeCell ref="Y6:Y7"/>
    <mergeCell ref="W6:W7"/>
    <mergeCell ref="Y301:AK301"/>
    <mergeCell ref="A302:B302"/>
    <mergeCell ref="Y302:AK302"/>
    <mergeCell ref="A309:B309"/>
    <mergeCell ref="Y309:AK309"/>
    <mergeCell ref="A5:A7"/>
    <mergeCell ref="A308:B308"/>
    <mergeCell ref="Y308:AK308"/>
    <mergeCell ref="L6:L7"/>
  </mergeCells>
  <phoneticPr fontId="38" type="noConversion"/>
  <printOptions horizontalCentered="1" verticalCentered="1"/>
  <pageMargins left="0" right="0" top="0.98425196850393704" bottom="0.98425196850393704" header="0" footer="0"/>
  <pageSetup scale="10" orientation="landscape" r:id="rId1"/>
  <headerFooter alignWithMargins="0"/>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2A6FA627-10E2-7743-A2B2-1A2BFE41B84B}">
          <x14:formula1>
            <xm:f>'Anexo2 Protocolo Inf Gestión GD'!$F$15:$I$15</xm:f>
          </x14:formula1>
          <xm:sqref>N59:N63 N133 N145 N11:N22 N24:N25 N34:N36 N38:N44 N149 N72:N73 N81:N91 N93:N96 N247:N249 N119:N120 N46:N55 N210 N220:N226 N214:N217 N231:N233 N152:N156 N241:N244 N235:N238 N136:N139 N166 N184:N189 N204:N207 N252:N256 N258:N259 N262:N265 N267 N269 N272:N277 N280:N281 N228 N283 N288 N290:N293 N65:N70 N98 N122:N124 N126:N131 N142:N143 N159:N160 N162 N164 N169:N175 N177 N179:N182 N192:N199 N201 N27:N32 N75:N79 N101:N117 N285</xm:sqref>
        </x14:dataValidation>
        <x14:dataValidation type="list" allowBlank="1" showInputMessage="1" showErrorMessage="1" xr:uid="{679C128E-85A6-40F0-A4DA-F9081211D3BB}">
          <x14:formula1>
            <xm:f>'Anexo2 Protocolo Inf Gestión GD'!$H$13:$I$13</xm:f>
          </x14:formula1>
          <xm:sqref>L59:L63 L133 L145 L11:L22 L24:L25 L34:L36 L38:L44 L149 L72:L73 L81:L91 L93:L96 L247:L249 L119:L120 L46:L55 L210 L220:L226 L214:L217 L231:L233 L152:L156 L241:L244 L235:L238 L136:L139 L166 L184:L189 L204:L207 L252:L256 L258:L259 L262:L265 L267 L269 L272:L277 L280:L281 L228 L283 L288 L290:L293 L65:L70 L98 L122:L124 L126:L131 L142:L143 L159:L160 L162 L164 L169:L175 L177 L179:L182 L192:L199 L201 L27:L32 L75:L79 L101:L117 L285</xm:sqref>
        </x14:dataValidation>
        <x14:dataValidation type="list" errorStyle="information" allowBlank="1" showInputMessage="1" promptTitle="Acciones de Funcionamiento" prompt="Seleccione de la lista desplegable o escriba la acción que corresponda" xr:uid="{75BD1554-1442-46EF-AEF6-768153559E2A}">
          <x14:formula1>
            <xm:f>'Anexo2 Protocolo Inf Gestión GD'!$H$14:$J$14</xm:f>
          </x14:formula1>
          <xm:sqref>M59:M63 M133 M145 M11:M22 M24:M25 M34:M36 M38:M44 M149 M72:M73 M81:M91 M93:M96 M247:M249 M119:M120 M46:M55 M210 M220:M226 M214:M217 M231:M233 M152:M156 M241:M244 M235:M238 M136:M139 M166 M184:M189 M204:M207 M252:M256 M258:M259 M262:M265 M267 M269 M272:M277 M280:M281 M228 M283 M288 M290:M293 M65:M70 M98 M122:M124 M126:M131 M142:M143 M159:M160 M162 M164 M169:M175 M177 M179:M182 M192:M199 M201 M27:M32 M75:M79 M101:M117 M285</xm:sqref>
        </x14:dataValidation>
        <x14:dataValidation type="list" allowBlank="1" showInputMessage="1" showErrorMessage="1" xr:uid="{00000000-0002-0000-0100-000000000000}">
          <x14:formula1>
            <xm:f>Hoja1!$A$1:$A$10</xm:f>
          </x14:formula1>
          <xm:sqref>AM8:AM293</xm:sqref>
        </x14:dataValidation>
        <x14:dataValidation type="list" allowBlank="1" showInputMessage="1" showErrorMessage="1" xr:uid="{00000000-0002-0000-0100-000001000000}">
          <x14:formula1>
            <xm:f>Hoja1!$B$1:$B$28</xm:f>
          </x14:formula1>
          <xm:sqref>AN8:AN293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B28"/>
  <sheetViews>
    <sheetView topLeftCell="A3" workbookViewId="0">
      <selection sqref="A1:XFD1048576"/>
    </sheetView>
  </sheetViews>
  <sheetFormatPr baseColWidth="10" defaultColWidth="11.42578125" defaultRowHeight="12.75"/>
  <cols>
    <col min="1" max="16384" width="11.42578125" style="83"/>
  </cols>
  <sheetData>
    <row r="1" spans="1:2">
      <c r="A1" s="83" t="s">
        <v>293</v>
      </c>
      <c r="B1" s="84" t="s">
        <v>31</v>
      </c>
    </row>
    <row r="2" spans="1:2">
      <c r="A2" s="83" t="s">
        <v>294</v>
      </c>
      <c r="B2" s="84" t="s">
        <v>4</v>
      </c>
    </row>
    <row r="3" spans="1:2">
      <c r="A3" s="83" t="s">
        <v>295</v>
      </c>
      <c r="B3" s="84" t="s">
        <v>5</v>
      </c>
    </row>
    <row r="4" spans="1:2">
      <c r="A4" s="83" t="s">
        <v>296</v>
      </c>
      <c r="B4" s="84" t="s">
        <v>6</v>
      </c>
    </row>
    <row r="5" spans="1:2">
      <c r="A5" s="83" t="s">
        <v>297</v>
      </c>
      <c r="B5" s="84" t="s">
        <v>7</v>
      </c>
    </row>
    <row r="6" spans="1:2">
      <c r="A6" s="83" t="s">
        <v>298</v>
      </c>
      <c r="B6" s="84" t="s">
        <v>8</v>
      </c>
    </row>
    <row r="7" spans="1:2">
      <c r="A7" s="83" t="s">
        <v>299</v>
      </c>
      <c r="B7" s="84" t="s">
        <v>9</v>
      </c>
    </row>
    <row r="8" spans="1:2">
      <c r="A8" s="83" t="s">
        <v>300</v>
      </c>
      <c r="B8" s="84" t="s">
        <v>10</v>
      </c>
    </row>
    <row r="9" spans="1:2">
      <c r="A9" s="83" t="s">
        <v>301</v>
      </c>
      <c r="B9" s="84" t="s">
        <v>11</v>
      </c>
    </row>
    <row r="10" spans="1:2">
      <c r="A10" s="83" t="s">
        <v>302</v>
      </c>
      <c r="B10" s="84" t="s">
        <v>12</v>
      </c>
    </row>
    <row r="11" spans="1:2">
      <c r="B11" s="84" t="s">
        <v>13</v>
      </c>
    </row>
    <row r="12" spans="1:2">
      <c r="B12" s="84" t="s">
        <v>14</v>
      </c>
    </row>
    <row r="13" spans="1:2">
      <c r="B13" s="84" t="s">
        <v>15</v>
      </c>
    </row>
    <row r="14" spans="1:2">
      <c r="B14" s="84" t="s">
        <v>16</v>
      </c>
    </row>
    <row r="15" spans="1:2">
      <c r="B15" s="84" t="s">
        <v>18</v>
      </c>
    </row>
    <row r="16" spans="1:2">
      <c r="B16" s="84" t="s">
        <v>19</v>
      </c>
    </row>
    <row r="17" spans="2:2">
      <c r="B17" s="84" t="s">
        <v>20</v>
      </c>
    </row>
    <row r="18" spans="2:2">
      <c r="B18" s="84" t="s">
        <v>21</v>
      </c>
    </row>
    <row r="19" spans="2:2">
      <c r="B19" s="84" t="s">
        <v>22</v>
      </c>
    </row>
    <row r="20" spans="2:2">
      <c r="B20" s="84" t="s">
        <v>23</v>
      </c>
    </row>
    <row r="21" spans="2:2">
      <c r="B21" s="84" t="s">
        <v>24</v>
      </c>
    </row>
    <row r="22" spans="2:2">
      <c r="B22" s="84" t="s">
        <v>25</v>
      </c>
    </row>
    <row r="23" spans="2:2">
      <c r="B23" s="84" t="s">
        <v>26</v>
      </c>
    </row>
    <row r="24" spans="2:2">
      <c r="B24" s="84" t="s">
        <v>27</v>
      </c>
    </row>
    <row r="25" spans="2:2">
      <c r="B25" s="84" t="s">
        <v>28</v>
      </c>
    </row>
    <row r="26" spans="2:2">
      <c r="B26" s="84" t="s">
        <v>29</v>
      </c>
    </row>
    <row r="27" spans="2:2">
      <c r="B27" s="84" t="s">
        <v>30</v>
      </c>
    </row>
    <row r="28" spans="2:2">
      <c r="B28" s="83" t="s">
        <v>302</v>
      </c>
    </row>
  </sheetData>
  <hyperlinks>
    <hyperlink ref="B1" location="'1POMCAS'!A1" display="Porcentaje de avance en la formulación y/o ajuste de los Planes de Ordenación y Manejo de Cuencas (POMCAS), Planes de Manejo de Acuíferos (PMA) y Planes de Manejo de Microcuencas (PMM)" xr:uid="{00000000-0004-0000-0200-000000000000}"/>
    <hyperlink ref="B2" location="'2PORH'!A1" display="Porcentaje de cuerpos de agua con planes de ordenamiento del recurso hídrico (PORH) adoptados" xr:uid="{00000000-0004-0000-0200-000001000000}"/>
    <hyperlink ref="B3" location="'3PSMV'!_Toc467769470" display="Porcentaje de Planes de Saneamiento y Manejo de Vertimientos (PSMV) con seguimiento" xr:uid="{00000000-0004-0000-0200-000002000000}"/>
    <hyperlink ref="B4" location="'4UsoAguas'!_Toc467769471" display="Porcentaje de cuerpos de agua con reglamentación del uso de las aguas" xr:uid="{00000000-0004-0000-0200-000003000000}"/>
    <hyperlink ref="B5" location="'5PUEAA'!_Toc467769472" display="Porcentaje de Programas de Uso Eficiente y Ahorro del Agua (PUEAA) con seguimiento" xr:uid="{00000000-0004-0000-0200-000004000000}"/>
    <hyperlink ref="B6" location="'6POMCASejec'!_Toc467769473" display="Porcentaje de Planes de Ordenación y Manejo de Cuencas (POMCAS), Planes de Manejo de Acuíferos (PMA) y Planes de Manejo de Microcuencas (PMM) en ejecución" xr:uid="{00000000-0004-0000-0200-000005000000}"/>
    <hyperlink ref="B7" location="'7Clima'!_Toc467769474" display="Porcentaje de entes territoriales asesorados en la incorporación, planificación y ejecución de acciones relacionadas con cambio climático en el marco de los instrumentos de planificación territorial" xr:uid="{00000000-0004-0000-0200-000006000000}"/>
    <hyperlink ref="B8" location="'8Suelo'!_Toc467769475" display="Porcentaje de suelos degradados en recuperación o rehabilitación" xr:uid="{00000000-0004-0000-0200-000007000000}"/>
    <hyperlink ref="B9" location="'9RUNAP'!_Toc467769476" display="Porcentaje de la superficie de áreas protegidas regionales declaradas, homologadas o recategorizadas, inscritas en el RUNAP" xr:uid="{00000000-0004-0000-0200-000008000000}"/>
    <hyperlink ref="B10" location="'10Paramos'!_Toc467769477" display="Porcentaje de páramos delimitados por el MADS, con zonificación y régimen de usos adoptados por la CAR" xr:uid="{00000000-0004-0000-0200-000009000000}"/>
    <hyperlink ref="B11" location="'11Forest'!_Toc467769478" display="Porcentaje de avance en la formulación del Plan de Ordenación Forestal" xr:uid="{00000000-0004-0000-0200-00000A000000}"/>
    <hyperlink ref="B12" location="'12PlanesAP'!_Toc467769479" display="Porcentaje de áreas protegidas con planes de manejo en ejecución" xr:uid="{00000000-0004-0000-0200-00000B000000}"/>
    <hyperlink ref="B13" location="'13Amenaz'!_Toc467769480" display="Porcentaje de especies amenazadas con medidas de conservación y manejo en ejecución" xr:uid="{00000000-0004-0000-0200-00000C000000}"/>
    <hyperlink ref="B14" location="'14Invasor'!_Toc467769481" display="Porcentaje de especies invasoras con medidas de prevención, control y manejo en ejecución" xr:uid="{00000000-0004-0000-0200-00000D000000}"/>
    <hyperlink ref="B15" location="'15Restaura'!_Toc467769482" display="Porcentaje de áreas de ecosistemas en restauración, rehabilitación y reforestación" xr:uid="{00000000-0004-0000-0200-00000E000000}"/>
    <hyperlink ref="B16" location="'16MIZC'!_Toc467769483" display="Implementación de acciones en manejo integrado de zonas costeras" xr:uid="{00000000-0004-0000-0200-00000F000000}"/>
    <hyperlink ref="B17" location="'17PGIRS'!_Toc467769484" display="Porcentaje de Planes de Gestión Integral de Residuos Sólidos (PGIRS) con seguimiento a metas de aprovechamiento" xr:uid="{00000000-0004-0000-0200-000010000000}"/>
    <hyperlink ref="B18" location="'18Sector'!_Toc467769485" display="Porcentaje de sectores con acompañamiento para la reconversión hacia sistemas sostenibles de producción" xr:uid="{00000000-0004-0000-0200-000011000000}"/>
    <hyperlink ref="B19" location="'19GAU'!_Toc467769486" display="Porcentaje de ejecución de acciones en Gestión Ambiental Urbana" xr:uid="{00000000-0004-0000-0200-000012000000}"/>
    <hyperlink ref="B20" location="'20Negoc'!_Toc467769487" display="Implementación del Programa Regional de Negocios Verdes por la autoridad ambiental" xr:uid="{00000000-0004-0000-0200-000013000000}"/>
    <hyperlink ref="B22" location="'22Autor'!_Toc467769489" display="Porcentaje de autorizaciones ambientales con seguimiento" xr:uid="{00000000-0004-0000-0200-000014000000}"/>
    <hyperlink ref="B23" location="'23Sanc'!_Toc467769490" display="Porcentaje de Procesos Sancionatorios Resueltos" xr:uid="{00000000-0004-0000-0200-000015000000}"/>
    <hyperlink ref="B24" location="'24POT'!_Toc467769491" display="Porcentaje de municipios asesorados o asistidos en la inclusión del componente ambiental en los procesos de planificación y ordenamiento territorial, con énfasis en la incorporación de las determinantes ambientales para la revisión y ajuste de los POT" xr:uid="{00000000-0004-0000-0200-000016000000}"/>
    <hyperlink ref="B25" location="'25Redes'!_Toc467769492" display="Porcentaje de redes y estaciones de monitoreo en operación" xr:uid="{00000000-0004-0000-0200-000017000000}"/>
    <hyperlink ref="B26" location="'26SIAC'!_Toc467769493" display="Porcentaje de actualización y reporte de la información en el SIAC" xr:uid="{00000000-0004-0000-0200-000018000000}"/>
    <hyperlink ref="B27" location="'27Educa'!_Toc467769494" display="Ejecución de Acciones en Educación Ambiental" xr:uid="{00000000-0004-0000-0200-000019000000}"/>
    <hyperlink ref="B21" location="'21TiempoT'!_Toc467769488" display="Tiempo promedio de trámite para la resolución de autorizaciones ambientales otorgadas por la corporación" xr:uid="{00000000-0004-0000-0200-00001A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FB075D-7B3F-4AC6-B952-F3BA3E8F1852}">
  <sheetPr>
    <pageSetUpPr fitToPage="1"/>
  </sheetPr>
  <dimension ref="A1:S40"/>
  <sheetViews>
    <sheetView topLeftCell="A22" zoomScale="140" zoomScaleNormal="140" zoomScaleSheetLayoutView="100" workbookViewId="0">
      <selection activeCell="B25" sqref="B25"/>
    </sheetView>
  </sheetViews>
  <sheetFormatPr baseColWidth="10" defaultColWidth="11.42578125" defaultRowHeight="12.75"/>
  <cols>
    <col min="1" max="1" width="47.42578125" style="6" customWidth="1"/>
    <col min="2" max="2" width="84.140625" style="6" customWidth="1"/>
    <col min="3" max="5" width="11.42578125" style="6"/>
    <col min="6" max="6" width="21.42578125" style="6" customWidth="1"/>
    <col min="7" max="7" width="16.7109375" style="6" customWidth="1"/>
    <col min="8" max="8" width="15" style="6" customWidth="1"/>
    <col min="9" max="9" width="21.140625" style="6" customWidth="1"/>
    <col min="10" max="16384" width="11.42578125" style="6"/>
  </cols>
  <sheetData>
    <row r="1" spans="1:19" ht="130.5" customHeight="1" thickBot="1">
      <c r="A1" s="2248"/>
      <c r="B1" s="2248"/>
    </row>
    <row r="2" spans="1:19" ht="27" customHeight="1" thickBot="1">
      <c r="A2" s="2249" t="s">
        <v>37</v>
      </c>
      <c r="B2" s="2250"/>
      <c r="F2" s="94"/>
      <c r="G2" s="94"/>
      <c r="H2" s="94"/>
      <c r="I2" s="94"/>
      <c r="J2" s="94"/>
      <c r="K2" s="94"/>
      <c r="L2" s="94"/>
      <c r="M2" s="94"/>
      <c r="N2" s="94"/>
      <c r="O2" s="94"/>
      <c r="P2" s="94"/>
      <c r="Q2" s="94"/>
      <c r="R2" s="94"/>
      <c r="S2" s="94"/>
    </row>
    <row r="3" spans="1:19" ht="24.75" customHeight="1" thickBot="1">
      <c r="A3" s="2251" t="s">
        <v>38</v>
      </c>
      <c r="B3" s="2252"/>
      <c r="F3" s="94"/>
      <c r="G3" s="94"/>
      <c r="H3" s="94"/>
      <c r="I3" s="94"/>
      <c r="J3" s="94"/>
      <c r="K3" s="94"/>
      <c r="L3" s="94"/>
      <c r="M3" s="94"/>
      <c r="N3" s="94"/>
      <c r="O3" s="94"/>
      <c r="P3" s="94"/>
      <c r="Q3" s="94"/>
      <c r="R3" s="94"/>
      <c r="S3" s="94"/>
    </row>
    <row r="4" spans="1:19">
      <c r="A4" s="7" t="s">
        <v>39</v>
      </c>
      <c r="B4" s="7" t="s">
        <v>40</v>
      </c>
      <c r="F4" s="94"/>
      <c r="G4" s="94"/>
      <c r="H4" s="94"/>
      <c r="I4" s="94"/>
      <c r="J4" s="94"/>
      <c r="K4" s="94"/>
      <c r="L4" s="94"/>
      <c r="M4" s="94"/>
      <c r="N4" s="94"/>
      <c r="O4" s="94"/>
      <c r="P4" s="94"/>
      <c r="Q4" s="94"/>
      <c r="R4" s="94"/>
      <c r="S4" s="94"/>
    </row>
    <row r="5" spans="1:19" ht="36">
      <c r="A5" s="8" t="s">
        <v>364</v>
      </c>
      <c r="B5" s="9" t="s">
        <v>366</v>
      </c>
      <c r="F5" s="94"/>
      <c r="G5" s="94"/>
      <c r="H5" s="94"/>
      <c r="I5" s="94"/>
      <c r="J5" s="94"/>
      <c r="K5" s="94"/>
      <c r="L5" s="94"/>
      <c r="M5" s="94"/>
      <c r="N5" s="94"/>
      <c r="O5" s="94"/>
      <c r="P5" s="94"/>
      <c r="Q5" s="94"/>
      <c r="R5" s="94"/>
      <c r="S5" s="94"/>
    </row>
    <row r="6" spans="1:19" ht="34.5" customHeight="1">
      <c r="A6" s="8" t="s">
        <v>41</v>
      </c>
      <c r="B6" s="9" t="s">
        <v>367</v>
      </c>
      <c r="F6" s="94"/>
      <c r="G6" s="94"/>
      <c r="H6" s="94"/>
      <c r="I6" s="94"/>
      <c r="J6" s="94"/>
      <c r="K6" s="94"/>
      <c r="L6" s="94"/>
      <c r="M6" s="94"/>
      <c r="N6" s="94"/>
      <c r="O6" s="94"/>
      <c r="P6" s="94"/>
      <c r="Q6" s="94"/>
      <c r="R6" s="94"/>
      <c r="S6" s="94"/>
    </row>
    <row r="7" spans="1:19" ht="24" customHeight="1">
      <c r="A7" s="8" t="s">
        <v>42</v>
      </c>
      <c r="B7" s="9" t="s">
        <v>368</v>
      </c>
      <c r="F7" s="94"/>
      <c r="G7" s="94"/>
      <c r="H7" s="94"/>
      <c r="I7" s="94"/>
      <c r="J7" s="94"/>
      <c r="K7" s="94"/>
      <c r="L7" s="94"/>
      <c r="M7" s="94"/>
      <c r="N7" s="94"/>
      <c r="O7" s="94"/>
      <c r="P7" s="94"/>
      <c r="Q7" s="94"/>
      <c r="R7" s="94"/>
      <c r="S7" s="94"/>
    </row>
    <row r="8" spans="1:19" ht="32.25" customHeight="1">
      <c r="A8" s="8" t="s">
        <v>369</v>
      </c>
      <c r="B8" s="9" t="s">
        <v>43</v>
      </c>
      <c r="F8" s="94"/>
      <c r="G8" s="94"/>
      <c r="H8" s="94"/>
      <c r="I8" s="94"/>
      <c r="J8" s="94"/>
      <c r="K8" s="94"/>
      <c r="L8" s="94"/>
      <c r="M8" s="94"/>
      <c r="N8" s="94"/>
      <c r="O8" s="94"/>
      <c r="P8" s="94"/>
      <c r="Q8" s="94"/>
      <c r="R8" s="94"/>
      <c r="S8" s="94"/>
    </row>
    <row r="9" spans="1:19" ht="32.25" customHeight="1">
      <c r="A9" s="8" t="s">
        <v>370</v>
      </c>
      <c r="B9" s="9" t="s">
        <v>371</v>
      </c>
      <c r="F9" s="94"/>
      <c r="G9" s="94"/>
      <c r="H9" s="94"/>
      <c r="I9" s="94"/>
      <c r="J9" s="94"/>
      <c r="K9" s="94"/>
      <c r="L9" s="94"/>
      <c r="M9" s="94"/>
      <c r="N9" s="94"/>
      <c r="O9" s="94"/>
      <c r="P9" s="94"/>
      <c r="Q9" s="94"/>
      <c r="R9" s="94"/>
      <c r="S9" s="94"/>
    </row>
    <row r="10" spans="1:19" ht="49.5" customHeight="1">
      <c r="A10" s="8" t="s">
        <v>44</v>
      </c>
      <c r="B10" s="9" t="s">
        <v>372</v>
      </c>
      <c r="F10" s="94"/>
      <c r="G10" s="94"/>
      <c r="H10" s="94"/>
      <c r="I10" s="94"/>
      <c r="J10" s="94"/>
      <c r="K10" s="94"/>
      <c r="L10" s="94"/>
      <c r="M10" s="94"/>
      <c r="N10" s="94"/>
      <c r="O10" s="94"/>
      <c r="P10" s="94"/>
      <c r="Q10" s="94"/>
      <c r="R10" s="94"/>
      <c r="S10" s="94"/>
    </row>
    <row r="11" spans="1:19" ht="21" customHeight="1">
      <c r="A11" s="8" t="s">
        <v>248</v>
      </c>
      <c r="B11" s="9" t="s">
        <v>373</v>
      </c>
      <c r="F11" s="94"/>
      <c r="G11" s="94"/>
      <c r="H11" s="94"/>
      <c r="I11" s="94"/>
      <c r="J11" s="94"/>
      <c r="K11" s="94"/>
      <c r="L11" s="94"/>
      <c r="M11" s="94"/>
      <c r="N11" s="94"/>
      <c r="O11" s="94"/>
      <c r="P11" s="94"/>
      <c r="Q11" s="94"/>
      <c r="R11" s="94"/>
      <c r="S11" s="94"/>
    </row>
    <row r="12" spans="1:19" ht="21" customHeight="1">
      <c r="A12" s="91" t="s">
        <v>374</v>
      </c>
      <c r="B12" s="9" t="s">
        <v>376</v>
      </c>
      <c r="F12" s="94"/>
      <c r="G12" s="94"/>
      <c r="H12" s="94"/>
      <c r="I12" s="94"/>
      <c r="J12" s="94"/>
      <c r="K12" s="94"/>
      <c r="L12" s="94"/>
      <c r="M12" s="94"/>
      <c r="N12" s="94"/>
      <c r="O12" s="94"/>
      <c r="P12" s="94"/>
      <c r="Q12" s="94"/>
      <c r="R12" s="94"/>
      <c r="S12" s="94"/>
    </row>
    <row r="13" spans="1:19" ht="21" customHeight="1">
      <c r="A13" s="91" t="s">
        <v>339</v>
      </c>
      <c r="B13" s="9" t="s">
        <v>375</v>
      </c>
      <c r="F13" s="94"/>
      <c r="G13" s="94" t="s">
        <v>323</v>
      </c>
      <c r="H13" s="94" t="s">
        <v>336</v>
      </c>
      <c r="I13" s="94" t="s">
        <v>337</v>
      </c>
      <c r="J13" s="94"/>
      <c r="K13" s="94"/>
      <c r="L13" s="94"/>
      <c r="M13" s="94"/>
      <c r="N13" s="94"/>
      <c r="O13" s="94"/>
      <c r="P13" s="94"/>
      <c r="Q13" s="94"/>
      <c r="R13" s="94"/>
      <c r="S13" s="94"/>
    </row>
    <row r="14" spans="1:19" ht="21" customHeight="1">
      <c r="A14" s="91" t="s">
        <v>340</v>
      </c>
      <c r="B14" s="9" t="s">
        <v>409</v>
      </c>
      <c r="F14" s="94"/>
      <c r="G14" s="94" t="s">
        <v>333</v>
      </c>
      <c r="H14" s="94" t="s">
        <v>332</v>
      </c>
      <c r="I14" s="94" t="s">
        <v>334</v>
      </c>
      <c r="J14" s="94" t="s">
        <v>335</v>
      </c>
      <c r="K14" s="94"/>
      <c r="L14" s="94"/>
      <c r="M14" s="94"/>
      <c r="N14" s="94"/>
      <c r="O14" s="94"/>
      <c r="P14" s="94"/>
      <c r="Q14" s="94"/>
      <c r="R14" s="94"/>
      <c r="S14" s="94"/>
    </row>
    <row r="15" spans="1:19" ht="21" customHeight="1">
      <c r="A15" s="91" t="s">
        <v>341</v>
      </c>
      <c r="B15" s="9" t="s">
        <v>377</v>
      </c>
      <c r="E15" s="6" t="s">
        <v>324</v>
      </c>
      <c r="F15" s="94" t="s">
        <v>325</v>
      </c>
      <c r="G15" s="94" t="s">
        <v>326</v>
      </c>
      <c r="H15" s="94" t="s">
        <v>327</v>
      </c>
      <c r="I15" s="94" t="s">
        <v>328</v>
      </c>
      <c r="J15" s="94"/>
      <c r="K15" s="94"/>
      <c r="L15" s="94"/>
      <c r="M15" s="94"/>
      <c r="N15" s="94"/>
      <c r="O15" s="94"/>
      <c r="P15" s="94"/>
      <c r="Q15" s="94"/>
      <c r="R15" s="94"/>
      <c r="S15" s="94"/>
    </row>
    <row r="16" spans="1:19" ht="21" customHeight="1">
      <c r="A16" s="91" t="s">
        <v>342</v>
      </c>
      <c r="B16" s="9" t="s">
        <v>410</v>
      </c>
      <c r="F16" s="94"/>
      <c r="G16" s="94"/>
      <c r="H16" s="94"/>
      <c r="I16" s="94"/>
      <c r="J16" s="94"/>
      <c r="K16" s="94"/>
      <c r="L16" s="94"/>
      <c r="M16" s="94"/>
      <c r="N16" s="94"/>
      <c r="O16" s="94"/>
      <c r="P16" s="94"/>
      <c r="Q16" s="94"/>
      <c r="R16" s="94"/>
      <c r="S16" s="94"/>
    </row>
    <row r="17" spans="1:19" ht="21" customHeight="1">
      <c r="A17" s="91" t="s">
        <v>343</v>
      </c>
      <c r="B17" s="92" t="s">
        <v>378</v>
      </c>
      <c r="F17" s="94"/>
      <c r="G17" s="94"/>
      <c r="H17" s="94"/>
      <c r="I17" s="94"/>
      <c r="J17" s="94"/>
      <c r="K17" s="94"/>
      <c r="L17" s="94"/>
      <c r="M17" s="94"/>
      <c r="N17" s="94"/>
      <c r="O17" s="94"/>
      <c r="P17" s="94"/>
      <c r="Q17" s="94"/>
      <c r="R17" s="94"/>
      <c r="S17" s="94"/>
    </row>
    <row r="18" spans="1:19" ht="21" customHeight="1">
      <c r="A18" s="91" t="s">
        <v>344</v>
      </c>
      <c r="B18" s="9" t="s">
        <v>379</v>
      </c>
      <c r="F18" s="94"/>
      <c r="G18" s="94"/>
      <c r="H18" s="94"/>
      <c r="I18" s="94"/>
      <c r="J18" s="94"/>
      <c r="K18" s="94"/>
      <c r="L18" s="94"/>
      <c r="M18" s="94"/>
      <c r="N18" s="94"/>
      <c r="O18" s="94"/>
      <c r="P18" s="94"/>
      <c r="Q18" s="94"/>
      <c r="R18" s="94"/>
      <c r="S18" s="94"/>
    </row>
    <row r="19" spans="1:19" ht="21" customHeight="1">
      <c r="A19" s="91" t="s">
        <v>345</v>
      </c>
      <c r="B19" s="9" t="s">
        <v>380</v>
      </c>
      <c r="F19" s="94"/>
      <c r="G19" s="94"/>
      <c r="H19" s="94"/>
      <c r="I19" s="94"/>
      <c r="J19" s="94"/>
      <c r="K19" s="94"/>
      <c r="L19" s="94"/>
      <c r="M19" s="94"/>
      <c r="N19" s="94"/>
      <c r="O19" s="94"/>
      <c r="P19" s="94"/>
      <c r="Q19" s="94"/>
      <c r="R19" s="94"/>
      <c r="S19" s="94"/>
    </row>
    <row r="20" spans="1:19" ht="40.5" customHeight="1">
      <c r="A20" s="8" t="s">
        <v>381</v>
      </c>
      <c r="B20" s="9" t="s">
        <v>45</v>
      </c>
    </row>
    <row r="21" spans="1:19" ht="21.75" customHeight="1">
      <c r="A21" s="8" t="s">
        <v>382</v>
      </c>
      <c r="B21" s="9" t="s">
        <v>46</v>
      </c>
    </row>
    <row r="22" spans="1:19" ht="21.75" customHeight="1">
      <c r="A22" s="8" t="s">
        <v>383</v>
      </c>
      <c r="B22" s="9" t="s">
        <v>249</v>
      </c>
    </row>
    <row r="23" spans="1:19" ht="21" customHeight="1">
      <c r="A23" s="8" t="s">
        <v>384</v>
      </c>
      <c r="B23" s="9" t="s">
        <v>886</v>
      </c>
    </row>
    <row r="24" spans="1:19" ht="24.75" customHeight="1">
      <c r="A24" s="8" t="s">
        <v>385</v>
      </c>
      <c r="B24" s="9" t="s">
        <v>386</v>
      </c>
    </row>
    <row r="25" spans="1:19" ht="24.75" customHeight="1">
      <c r="A25" s="8" t="s">
        <v>349</v>
      </c>
      <c r="B25" s="9" t="s">
        <v>387</v>
      </c>
    </row>
    <row r="26" spans="1:19" ht="22.5" customHeight="1">
      <c r="A26" s="8" t="s">
        <v>388</v>
      </c>
      <c r="B26" s="9" t="s">
        <v>47</v>
      </c>
    </row>
    <row r="27" spans="1:19" ht="39" customHeight="1">
      <c r="A27" s="8" t="s">
        <v>389</v>
      </c>
      <c r="B27" s="9" t="s">
        <v>48</v>
      </c>
    </row>
    <row r="28" spans="1:19" ht="22.5" customHeight="1">
      <c r="A28" s="8" t="s">
        <v>390</v>
      </c>
      <c r="B28" s="9" t="s">
        <v>411</v>
      </c>
    </row>
    <row r="29" spans="1:19" ht="21.75" customHeight="1">
      <c r="A29" s="8" t="s">
        <v>352</v>
      </c>
      <c r="B29" s="9" t="s">
        <v>316</v>
      </c>
    </row>
    <row r="30" spans="1:19" ht="25.5" customHeight="1">
      <c r="A30" s="8" t="s">
        <v>391</v>
      </c>
      <c r="B30" s="9" t="s">
        <v>412</v>
      </c>
    </row>
    <row r="31" spans="1:19" ht="25.5" customHeight="1">
      <c r="A31" s="8" t="s">
        <v>392</v>
      </c>
      <c r="B31" s="9" t="s">
        <v>413</v>
      </c>
    </row>
    <row r="32" spans="1:19" ht="25.5" customHeight="1">
      <c r="A32" s="8" t="s">
        <v>393</v>
      </c>
      <c r="B32" s="92" t="s">
        <v>395</v>
      </c>
    </row>
    <row r="33" spans="1:2" ht="25.5" customHeight="1">
      <c r="A33" s="8" t="s">
        <v>394</v>
      </c>
      <c r="B33" s="92" t="s">
        <v>396</v>
      </c>
    </row>
    <row r="34" spans="1:2" ht="21" customHeight="1">
      <c r="A34" s="8" t="s">
        <v>397</v>
      </c>
      <c r="B34" s="9" t="s">
        <v>247</v>
      </c>
    </row>
    <row r="35" spans="1:2" ht="98.25" customHeight="1">
      <c r="A35" s="8" t="s">
        <v>398</v>
      </c>
      <c r="B35" s="9" t="s">
        <v>245</v>
      </c>
    </row>
    <row r="36" spans="1:2" ht="18">
      <c r="A36" s="8" t="s">
        <v>400</v>
      </c>
      <c r="B36" s="9" t="s">
        <v>414</v>
      </c>
    </row>
    <row r="37" spans="1:2" ht="18">
      <c r="A37" s="8" t="s">
        <v>401</v>
      </c>
      <c r="B37" s="9" t="s">
        <v>49</v>
      </c>
    </row>
    <row r="38" spans="1:2" ht="18">
      <c r="A38" s="112" t="s">
        <v>402</v>
      </c>
      <c r="B38" s="113" t="s">
        <v>403</v>
      </c>
    </row>
    <row r="39" spans="1:2">
      <c r="A39" s="112" t="s">
        <v>404</v>
      </c>
      <c r="B39" s="113" t="s">
        <v>405</v>
      </c>
    </row>
    <row r="40" spans="1:2" ht="13.5" thickBot="1">
      <c r="A40" s="10" t="s">
        <v>406</v>
      </c>
      <c r="B40" s="11" t="s">
        <v>407</v>
      </c>
    </row>
  </sheetData>
  <mergeCells count="3">
    <mergeCell ref="A1:B1"/>
    <mergeCell ref="A2:B2"/>
    <mergeCell ref="A3:B3"/>
  </mergeCells>
  <printOptions horizontalCentered="1" verticalCentered="1"/>
  <pageMargins left="0.78740157480314965" right="0.78740157480314965" top="0.98425196850393704" bottom="0.98425196850393704" header="0" footer="0"/>
  <pageSetup scale="45" orientation="landscape"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E4678-5FE3-4E4F-B6AF-FF86274D1FFB}">
  <sheetPr>
    <pageSetUpPr fitToPage="1"/>
  </sheetPr>
  <dimension ref="A1:XES305"/>
  <sheetViews>
    <sheetView topLeftCell="J5" zoomScale="81" zoomScaleNormal="130" zoomScaleSheetLayoutView="100" workbookViewId="0">
      <pane ySplit="2" topLeftCell="A245" activePane="bottomLeft" state="frozen"/>
      <selection activeCell="J5" sqref="J5"/>
      <selection pane="bottomLeft" activeCell="T141" sqref="T141"/>
    </sheetView>
  </sheetViews>
  <sheetFormatPr baseColWidth="10" defaultColWidth="11.42578125" defaultRowHeight="36" customHeight="1"/>
  <cols>
    <col min="1" max="1" width="10" hidden="1" customWidth="1"/>
    <col min="2" max="2" width="14.7109375" hidden="1" customWidth="1"/>
    <col min="3" max="3" width="14.140625" hidden="1" customWidth="1"/>
    <col min="4" max="4" width="16.140625" hidden="1" customWidth="1"/>
    <col min="5" max="9" width="0" hidden="1" customWidth="1"/>
    <col min="10" max="10" width="75.140625" customWidth="1"/>
    <col min="11" max="11" width="24.42578125" hidden="1" customWidth="1"/>
    <col min="12" max="12" width="10.85546875" hidden="1" customWidth="1"/>
    <col min="13" max="13" width="8.28515625" hidden="1" customWidth="1"/>
    <col min="14" max="14" width="23.5703125" customWidth="1"/>
    <col min="15" max="15" width="25.7109375" hidden="1" customWidth="1"/>
    <col min="16" max="16" width="25.140625" hidden="1" customWidth="1"/>
    <col min="17" max="17" width="23.85546875" hidden="1" customWidth="1"/>
    <col min="18" max="18" width="22.5703125" hidden="1" customWidth="1"/>
    <col min="19" max="19" width="19.28515625" customWidth="1"/>
    <col min="20" max="20" width="24.42578125" customWidth="1"/>
    <col min="21" max="21" width="14" customWidth="1"/>
    <col min="22" max="22" width="36.28515625" customWidth="1"/>
    <col min="23" max="23" width="19.42578125" hidden="1" customWidth="1"/>
    <col min="24" max="24" width="15.140625" hidden="1" customWidth="1"/>
    <col min="25" max="25" width="0" hidden="1" customWidth="1"/>
  </cols>
  <sheetData>
    <row r="1" spans="1:25" ht="109.5" customHeight="1" thickBot="1">
      <c r="A1" s="2253"/>
      <c r="B1" s="2254"/>
      <c r="C1" s="2254"/>
      <c r="D1" s="2254"/>
      <c r="E1" s="2254"/>
      <c r="F1" s="2255"/>
      <c r="G1" s="2255"/>
      <c r="H1" s="2255"/>
      <c r="I1" s="2254"/>
      <c r="J1" s="2254"/>
      <c r="K1" s="2254"/>
      <c r="L1" s="2254"/>
      <c r="M1" s="2254"/>
      <c r="N1" s="2254"/>
      <c r="O1" s="2254"/>
      <c r="P1" s="2254"/>
      <c r="Q1" s="2254"/>
      <c r="R1" s="2254"/>
      <c r="S1" s="2254"/>
      <c r="T1" s="2254"/>
      <c r="U1" s="2254"/>
      <c r="V1" s="2256"/>
    </row>
    <row r="2" spans="1:25" ht="26.25" customHeight="1">
      <c r="A2" s="2257" t="s">
        <v>197</v>
      </c>
      <c r="B2" s="2258"/>
      <c r="C2" s="2258"/>
      <c r="D2" s="2258"/>
      <c r="E2" s="2258"/>
      <c r="F2" s="2259"/>
      <c r="G2" s="2259"/>
      <c r="H2" s="2259"/>
      <c r="I2" s="2258"/>
      <c r="J2" s="2258"/>
      <c r="K2" s="2258"/>
      <c r="L2" s="2258"/>
      <c r="M2" s="2258"/>
      <c r="N2" s="2258"/>
      <c r="O2" s="2258"/>
      <c r="P2" s="2258"/>
      <c r="Q2" s="2258"/>
      <c r="R2" s="2258"/>
      <c r="S2" s="2258"/>
      <c r="T2" s="2258"/>
      <c r="U2" s="2258"/>
      <c r="V2" s="2260"/>
    </row>
    <row r="3" spans="1:25" ht="26.25" customHeight="1">
      <c r="A3" s="2261" t="s">
        <v>965</v>
      </c>
      <c r="B3" s="2262"/>
      <c r="C3" s="2262"/>
      <c r="D3" s="2262"/>
      <c r="E3" s="2262"/>
      <c r="F3" s="2263"/>
      <c r="G3" s="2263"/>
      <c r="H3" s="2263"/>
      <c r="I3" s="2262"/>
      <c r="J3" s="2262"/>
      <c r="K3" s="2262"/>
      <c r="L3" s="2262"/>
      <c r="M3" s="2262"/>
      <c r="N3" s="2262"/>
      <c r="O3" s="2262"/>
      <c r="P3" s="2262"/>
      <c r="Q3" s="2262"/>
      <c r="R3" s="2262"/>
      <c r="S3" s="2262"/>
      <c r="T3" s="2262"/>
      <c r="U3" s="2262"/>
      <c r="V3" s="2264"/>
    </row>
    <row r="4" spans="1:25" ht="26.25" customHeight="1" thickBot="1">
      <c r="A4" s="2265" t="s">
        <v>966</v>
      </c>
      <c r="B4" s="2266"/>
      <c r="C4" s="2266"/>
      <c r="D4" s="2266"/>
      <c r="E4" s="2266"/>
      <c r="F4" s="2267"/>
      <c r="G4" s="2267"/>
      <c r="H4" s="2267"/>
      <c r="I4" s="2266"/>
      <c r="J4" s="2266"/>
      <c r="K4" s="2266"/>
      <c r="L4" s="2266"/>
      <c r="M4" s="2266"/>
      <c r="N4" s="2266"/>
      <c r="O4" s="2266"/>
      <c r="P4" s="2266"/>
      <c r="Q4" s="2266"/>
      <c r="R4" s="2266"/>
      <c r="S4" s="2266"/>
      <c r="T4" s="2266"/>
      <c r="U4" s="2266"/>
      <c r="V4" s="2268"/>
    </row>
    <row r="5" spans="1:25" ht="36" customHeight="1" thickTop="1" thickBot="1">
      <c r="A5" s="2279" t="s">
        <v>102</v>
      </c>
      <c r="B5" s="2280"/>
      <c r="C5" s="2280"/>
      <c r="D5" s="2280"/>
      <c r="E5" s="2280"/>
      <c r="F5" s="2280"/>
      <c r="G5" s="2280"/>
      <c r="H5" s="2280"/>
      <c r="I5" s="2281"/>
      <c r="J5" s="2269" t="s">
        <v>103</v>
      </c>
      <c r="K5" s="2269" t="s">
        <v>104</v>
      </c>
      <c r="L5" s="2271" t="s">
        <v>105</v>
      </c>
      <c r="M5" s="2271"/>
      <c r="N5" s="2269" t="s">
        <v>106</v>
      </c>
      <c r="O5" s="2272" t="s">
        <v>107</v>
      </c>
      <c r="P5" s="2273"/>
      <c r="Q5" s="2273"/>
      <c r="R5" s="2274"/>
      <c r="S5" s="2275" t="s">
        <v>108</v>
      </c>
      <c r="T5" s="2269" t="s">
        <v>109</v>
      </c>
      <c r="U5" s="2282" t="s">
        <v>110</v>
      </c>
      <c r="V5" s="2269" t="s">
        <v>111</v>
      </c>
      <c r="W5" s="2277" t="s">
        <v>112</v>
      </c>
      <c r="X5" s="2278" t="s">
        <v>113</v>
      </c>
    </row>
    <row r="6" spans="1:25" s="24" customFormat="1" ht="36" customHeight="1" thickTop="1" thickBot="1">
      <c r="A6" s="21" t="s">
        <v>114</v>
      </c>
      <c r="B6" s="21" t="s">
        <v>50</v>
      </c>
      <c r="C6" s="657" t="s">
        <v>115</v>
      </c>
      <c r="D6" s="21" t="s">
        <v>53</v>
      </c>
      <c r="E6" s="21" t="s">
        <v>116</v>
      </c>
      <c r="F6" s="21" t="s">
        <v>117</v>
      </c>
      <c r="G6" s="21" t="s">
        <v>118</v>
      </c>
      <c r="H6" s="21" t="s">
        <v>119</v>
      </c>
      <c r="I6" s="87" t="s">
        <v>120</v>
      </c>
      <c r="J6" s="2270"/>
      <c r="K6" s="2270"/>
      <c r="L6" s="664" t="s">
        <v>121</v>
      </c>
      <c r="M6" s="22" t="s">
        <v>122</v>
      </c>
      <c r="N6" s="2270"/>
      <c r="O6" s="23" t="s">
        <v>123</v>
      </c>
      <c r="P6" s="664" t="s">
        <v>124</v>
      </c>
      <c r="Q6" s="23" t="s">
        <v>125</v>
      </c>
      <c r="R6" s="23" t="s">
        <v>126</v>
      </c>
      <c r="S6" s="2276"/>
      <c r="T6" s="2270"/>
      <c r="U6" s="2269"/>
      <c r="V6" s="2270"/>
      <c r="W6" s="2277"/>
      <c r="X6" s="2278"/>
    </row>
    <row r="7" spans="1:25" ht="22.5" customHeight="1" thickTop="1" thickBot="1">
      <c r="A7" s="695" t="s">
        <v>127</v>
      </c>
      <c r="B7" s="695"/>
      <c r="C7" s="695"/>
      <c r="D7" s="695"/>
      <c r="E7" s="695"/>
      <c r="F7" s="25"/>
      <c r="G7" s="25"/>
      <c r="H7" s="25"/>
      <c r="I7" s="111"/>
      <c r="J7" s="696" t="s">
        <v>128</v>
      </c>
      <c r="K7" s="697">
        <f>+K8+K142</f>
        <v>176425203672.97998</v>
      </c>
      <c r="L7" s="697">
        <f>+L8+L142</f>
        <v>0</v>
      </c>
      <c r="M7" s="697">
        <f>+M8+M142</f>
        <v>0</v>
      </c>
      <c r="N7" s="1849">
        <f t="shared" ref="N7:N70" si="0">K7+L7-M7</f>
        <v>176425203672.97998</v>
      </c>
      <c r="O7" s="1849">
        <f t="shared" ref="O7:T7" si="1">+O8+O142</f>
        <v>9334357836.1430016</v>
      </c>
      <c r="P7" s="1849">
        <f t="shared" si="1"/>
        <v>155439506137.89899</v>
      </c>
      <c r="Q7" s="1849">
        <f t="shared" si="1"/>
        <v>4595624478.9379997</v>
      </c>
      <c r="R7" s="1849">
        <f t="shared" si="1"/>
        <v>7055715220</v>
      </c>
      <c r="S7" s="697">
        <f t="shared" si="1"/>
        <v>0</v>
      </c>
      <c r="T7" s="1849">
        <f t="shared" si="1"/>
        <v>151515903255.41</v>
      </c>
      <c r="U7" s="698" t="e">
        <f>T7/S7</f>
        <v>#DIV/0!</v>
      </c>
      <c r="V7" s="695"/>
      <c r="W7" s="695" t="s">
        <v>967</v>
      </c>
      <c r="X7" s="695" t="s">
        <v>968</v>
      </c>
      <c r="Y7" s="699" t="s">
        <v>968</v>
      </c>
    </row>
    <row r="8" spans="1:25" ht="22.5" customHeight="1" thickTop="1" thickBot="1">
      <c r="A8" s="700">
        <v>1</v>
      </c>
      <c r="B8" s="701" t="s">
        <v>129</v>
      </c>
      <c r="C8" s="701"/>
      <c r="D8" s="701"/>
      <c r="E8" s="701"/>
      <c r="F8" s="26"/>
      <c r="G8" s="26"/>
      <c r="H8" s="26"/>
      <c r="I8" s="26"/>
      <c r="J8" s="702" t="s">
        <v>130</v>
      </c>
      <c r="K8" s="703">
        <f>+K9+K17</f>
        <v>149793017432.51999</v>
      </c>
      <c r="L8" s="703">
        <f>+L9+L17</f>
        <v>0</v>
      </c>
      <c r="M8" s="703">
        <f>+M9+M17</f>
        <v>0</v>
      </c>
      <c r="N8" s="1850">
        <f t="shared" si="0"/>
        <v>149793017432.51999</v>
      </c>
      <c r="O8" s="703">
        <f t="shared" ref="O8:T8" si="2">+O9+O17</f>
        <v>9334357836.1430016</v>
      </c>
      <c r="P8" s="703">
        <f t="shared" si="2"/>
        <v>128807319897.439</v>
      </c>
      <c r="Q8" s="703">
        <f t="shared" si="2"/>
        <v>4595624478.9379997</v>
      </c>
      <c r="R8" s="703">
        <f t="shared" si="2"/>
        <v>7055715220</v>
      </c>
      <c r="S8" s="703">
        <f t="shared" si="2"/>
        <v>0</v>
      </c>
      <c r="T8" s="1850">
        <f t="shared" si="2"/>
        <v>128338824600.41</v>
      </c>
      <c r="U8" s="704" t="e">
        <f t="shared" ref="U8:U71" si="3">T8/S8</f>
        <v>#DIV/0!</v>
      </c>
      <c r="V8" s="700"/>
      <c r="W8" s="700" t="s">
        <v>969</v>
      </c>
      <c r="X8" s="700"/>
      <c r="Y8" s="699" t="s">
        <v>968</v>
      </c>
    </row>
    <row r="9" spans="1:25" ht="22.5" customHeight="1" thickTop="1" thickBot="1">
      <c r="A9" s="705">
        <v>1</v>
      </c>
      <c r="B9" s="706" t="s">
        <v>129</v>
      </c>
      <c r="C9" s="706" t="s">
        <v>129</v>
      </c>
      <c r="D9" s="706"/>
      <c r="E9" s="706"/>
      <c r="F9" s="707"/>
      <c r="G9" s="707"/>
      <c r="H9" s="707"/>
      <c r="I9" s="707"/>
      <c r="J9" s="708" t="s">
        <v>131</v>
      </c>
      <c r="K9" s="709">
        <f t="shared" ref="K9:T9" si="4">+K10</f>
        <v>0</v>
      </c>
      <c r="L9" s="709">
        <f>+L10</f>
        <v>0</v>
      </c>
      <c r="M9" s="709">
        <f>+M10</f>
        <v>0</v>
      </c>
      <c r="N9" s="1851">
        <f t="shared" si="0"/>
        <v>0</v>
      </c>
      <c r="O9" s="709">
        <f t="shared" si="4"/>
        <v>0</v>
      </c>
      <c r="P9" s="709">
        <f t="shared" si="4"/>
        <v>0</v>
      </c>
      <c r="Q9" s="709">
        <f t="shared" si="4"/>
        <v>0</v>
      </c>
      <c r="R9" s="709">
        <f t="shared" si="4"/>
        <v>0</v>
      </c>
      <c r="S9" s="709">
        <f t="shared" si="4"/>
        <v>0</v>
      </c>
      <c r="T9" s="1851">
        <f t="shared" si="4"/>
        <v>0</v>
      </c>
      <c r="U9" s="710" t="e">
        <f t="shared" si="3"/>
        <v>#DIV/0!</v>
      </c>
      <c r="V9" s="705"/>
      <c r="W9" s="705" t="s">
        <v>970</v>
      </c>
      <c r="X9" s="705" t="s">
        <v>971</v>
      </c>
      <c r="Y9" s="699" t="s">
        <v>968</v>
      </c>
    </row>
    <row r="10" spans="1:25" ht="22.5" customHeight="1" thickTop="1" thickBot="1">
      <c r="A10" s="711" t="s">
        <v>127</v>
      </c>
      <c r="B10" s="712" t="s">
        <v>129</v>
      </c>
      <c r="C10" s="712" t="s">
        <v>129</v>
      </c>
      <c r="D10" s="712" t="s">
        <v>129</v>
      </c>
      <c r="E10" s="712"/>
      <c r="F10" s="713"/>
      <c r="G10" s="713"/>
      <c r="H10" s="713"/>
      <c r="I10" s="713"/>
      <c r="J10" s="714" t="s">
        <v>132</v>
      </c>
      <c r="K10" s="715">
        <f>+K11+K14</f>
        <v>0</v>
      </c>
      <c r="L10" s="715">
        <f>+L11+L14</f>
        <v>0</v>
      </c>
      <c r="M10" s="715">
        <f>+M11+M14</f>
        <v>0</v>
      </c>
      <c r="N10" s="1852">
        <f t="shared" si="0"/>
        <v>0</v>
      </c>
      <c r="O10" s="715">
        <f t="shared" ref="O10:T10" si="5">+O11+O14</f>
        <v>0</v>
      </c>
      <c r="P10" s="715">
        <f t="shared" si="5"/>
        <v>0</v>
      </c>
      <c r="Q10" s="715">
        <f t="shared" si="5"/>
        <v>0</v>
      </c>
      <c r="R10" s="715">
        <f t="shared" si="5"/>
        <v>0</v>
      </c>
      <c r="S10" s="715">
        <f t="shared" si="5"/>
        <v>0</v>
      </c>
      <c r="T10" s="1852">
        <f t="shared" si="5"/>
        <v>0</v>
      </c>
      <c r="U10" s="716" t="e">
        <f t="shared" si="3"/>
        <v>#DIV/0!</v>
      </c>
      <c r="V10" s="712"/>
      <c r="W10" s="711" t="s">
        <v>972</v>
      </c>
      <c r="X10" s="711" t="s">
        <v>973</v>
      </c>
      <c r="Y10" s="699" t="s">
        <v>968</v>
      </c>
    </row>
    <row r="11" spans="1:25" s="1" customFormat="1" ht="22.5" customHeight="1" thickTop="1" thickBot="1">
      <c r="A11" s="694" t="s">
        <v>127</v>
      </c>
      <c r="B11" s="694" t="s">
        <v>129</v>
      </c>
      <c r="C11" s="694" t="s">
        <v>129</v>
      </c>
      <c r="D11" s="694" t="s">
        <v>129</v>
      </c>
      <c r="E11" s="694" t="s">
        <v>129</v>
      </c>
      <c r="F11" s="88"/>
      <c r="G11" s="88"/>
      <c r="H11" s="88"/>
      <c r="I11" s="88"/>
      <c r="J11" s="717" t="s">
        <v>133</v>
      </c>
      <c r="K11" s="718">
        <f>+K12+K13</f>
        <v>0</v>
      </c>
      <c r="L11" s="718">
        <f>+L12+L13</f>
        <v>0</v>
      </c>
      <c r="M11" s="718">
        <f>+M12+M13</f>
        <v>0</v>
      </c>
      <c r="N11" s="1843">
        <f t="shared" si="0"/>
        <v>0</v>
      </c>
      <c r="O11" s="718">
        <f t="shared" ref="O11:T11" si="6">+O12+O13</f>
        <v>0</v>
      </c>
      <c r="P11" s="718">
        <f t="shared" si="6"/>
        <v>0</v>
      </c>
      <c r="Q11" s="718">
        <f t="shared" si="6"/>
        <v>0</v>
      </c>
      <c r="R11" s="718">
        <f t="shared" si="6"/>
        <v>0</v>
      </c>
      <c r="S11" s="718">
        <f t="shared" si="6"/>
        <v>0</v>
      </c>
      <c r="T11" s="1843">
        <f t="shared" si="6"/>
        <v>0</v>
      </c>
      <c r="U11" s="719" t="e">
        <f t="shared" si="3"/>
        <v>#DIV/0!</v>
      </c>
      <c r="V11" s="720"/>
      <c r="W11" s="720" t="s">
        <v>974</v>
      </c>
      <c r="X11" s="720" t="s">
        <v>975</v>
      </c>
      <c r="Y11" s="699" t="s">
        <v>968</v>
      </c>
    </row>
    <row r="12" spans="1:25" ht="22.5" customHeight="1" thickTop="1" thickBot="1">
      <c r="A12" s="88" t="s">
        <v>127</v>
      </c>
      <c r="B12" s="88" t="s">
        <v>129</v>
      </c>
      <c r="C12" s="88" t="s">
        <v>129</v>
      </c>
      <c r="D12" s="88" t="s">
        <v>129</v>
      </c>
      <c r="E12" s="88" t="s">
        <v>129</v>
      </c>
      <c r="F12" s="694" t="s">
        <v>129</v>
      </c>
      <c r="G12" s="88"/>
      <c r="H12" s="88"/>
      <c r="I12" s="88"/>
      <c r="J12" s="86" t="s">
        <v>976</v>
      </c>
      <c r="K12" s="658"/>
      <c r="L12" s="658"/>
      <c r="M12" s="658"/>
      <c r="N12" s="1853">
        <f t="shared" si="0"/>
        <v>0</v>
      </c>
      <c r="O12" s="658"/>
      <c r="P12" s="658"/>
      <c r="Q12" s="658"/>
      <c r="R12" s="658"/>
      <c r="S12" s="658"/>
      <c r="T12" s="1853"/>
      <c r="U12" s="721" t="e">
        <f t="shared" si="3"/>
        <v>#DIV/0!</v>
      </c>
      <c r="V12" s="27"/>
      <c r="W12" s="27"/>
      <c r="X12" s="27"/>
      <c r="Y12" s="699" t="s">
        <v>968</v>
      </c>
    </row>
    <row r="13" spans="1:25" ht="22.5" customHeight="1" thickTop="1" thickBot="1">
      <c r="A13" s="88" t="s">
        <v>127</v>
      </c>
      <c r="B13" s="88" t="s">
        <v>129</v>
      </c>
      <c r="C13" s="88" t="s">
        <v>129</v>
      </c>
      <c r="D13" s="88" t="s">
        <v>129</v>
      </c>
      <c r="E13" s="88" t="s">
        <v>129</v>
      </c>
      <c r="F13" s="694" t="s">
        <v>134</v>
      </c>
      <c r="G13" s="88"/>
      <c r="H13" s="88"/>
      <c r="I13" s="88"/>
      <c r="J13" s="86" t="s">
        <v>977</v>
      </c>
      <c r="K13" s="658"/>
      <c r="L13" s="658"/>
      <c r="M13" s="658"/>
      <c r="N13" s="1853">
        <f t="shared" si="0"/>
        <v>0</v>
      </c>
      <c r="O13" s="658"/>
      <c r="P13" s="658"/>
      <c r="Q13" s="658"/>
      <c r="R13" s="658"/>
      <c r="S13" s="658"/>
      <c r="T13" s="1853"/>
      <c r="U13" s="721" t="e">
        <f t="shared" si="3"/>
        <v>#DIV/0!</v>
      </c>
      <c r="V13" s="27"/>
      <c r="W13" s="27"/>
      <c r="X13" s="27"/>
      <c r="Y13" s="699" t="s">
        <v>968</v>
      </c>
    </row>
    <row r="14" spans="1:25" s="1" customFormat="1" ht="22.5" customHeight="1" thickTop="1" thickBot="1">
      <c r="A14" s="694" t="s">
        <v>127</v>
      </c>
      <c r="B14" s="694" t="s">
        <v>129</v>
      </c>
      <c r="C14" s="694" t="s">
        <v>129</v>
      </c>
      <c r="D14" s="694" t="s">
        <v>129</v>
      </c>
      <c r="E14" s="694" t="s">
        <v>134</v>
      </c>
      <c r="F14" s="88"/>
      <c r="G14" s="88"/>
      <c r="H14"/>
      <c r="I14" s="88"/>
      <c r="J14" s="717" t="s">
        <v>978</v>
      </c>
      <c r="K14" s="722">
        <f>+K15+K16</f>
        <v>0</v>
      </c>
      <c r="L14" s="722">
        <f>+L15+L16</f>
        <v>0</v>
      </c>
      <c r="M14" s="722">
        <f>+M15+M16</f>
        <v>0</v>
      </c>
      <c r="N14" s="1854">
        <f t="shared" si="0"/>
        <v>0</v>
      </c>
      <c r="O14" s="722">
        <f t="shared" ref="O14:T14" si="7">+O15+O16</f>
        <v>0</v>
      </c>
      <c r="P14" s="722">
        <f t="shared" si="7"/>
        <v>0</v>
      </c>
      <c r="Q14" s="722">
        <f t="shared" si="7"/>
        <v>0</v>
      </c>
      <c r="R14" s="722">
        <f t="shared" si="7"/>
        <v>0</v>
      </c>
      <c r="S14" s="722">
        <f t="shared" si="7"/>
        <v>0</v>
      </c>
      <c r="T14" s="1854">
        <f t="shared" si="7"/>
        <v>0</v>
      </c>
      <c r="U14" s="723" t="e">
        <f t="shared" si="3"/>
        <v>#DIV/0!</v>
      </c>
      <c r="V14" s="720"/>
      <c r="W14" s="720" t="s">
        <v>979</v>
      </c>
      <c r="X14" s="720" t="s">
        <v>980</v>
      </c>
      <c r="Y14" s="699" t="s">
        <v>968</v>
      </c>
    </row>
    <row r="15" spans="1:25" ht="22.5" customHeight="1" thickTop="1" thickBot="1">
      <c r="A15" s="88" t="s">
        <v>127</v>
      </c>
      <c r="B15" s="88" t="s">
        <v>129</v>
      </c>
      <c r="C15" s="88" t="s">
        <v>129</v>
      </c>
      <c r="D15" s="88" t="s">
        <v>129</v>
      </c>
      <c r="E15" s="88" t="s">
        <v>134</v>
      </c>
      <c r="F15" s="694" t="s">
        <v>129</v>
      </c>
      <c r="G15" s="88"/>
      <c r="H15" s="88"/>
      <c r="I15" s="88"/>
      <c r="J15" s="86" t="s">
        <v>981</v>
      </c>
      <c r="K15" s="28"/>
      <c r="L15" s="28"/>
      <c r="M15" s="28"/>
      <c r="N15" s="1853">
        <f t="shared" si="0"/>
        <v>0</v>
      </c>
      <c r="O15" s="28"/>
      <c r="P15" s="28"/>
      <c r="Q15" s="28"/>
      <c r="R15" s="28"/>
      <c r="S15" s="658"/>
      <c r="T15" s="1856"/>
      <c r="U15" s="89" t="e">
        <f t="shared" si="3"/>
        <v>#DIV/0!</v>
      </c>
      <c r="V15" s="27"/>
      <c r="W15" s="27"/>
      <c r="X15" s="27"/>
      <c r="Y15" s="699" t="s">
        <v>968</v>
      </c>
    </row>
    <row r="16" spans="1:25" ht="22.5" customHeight="1" thickTop="1" thickBot="1">
      <c r="A16" s="88" t="s">
        <v>127</v>
      </c>
      <c r="B16" s="88" t="s">
        <v>129</v>
      </c>
      <c r="C16" s="88" t="s">
        <v>129</v>
      </c>
      <c r="D16" s="88" t="s">
        <v>129</v>
      </c>
      <c r="E16" s="88" t="s">
        <v>134</v>
      </c>
      <c r="F16" s="694" t="s">
        <v>134</v>
      </c>
      <c r="G16" s="88"/>
      <c r="H16" s="88"/>
      <c r="I16" s="88"/>
      <c r="J16" s="86" t="s">
        <v>982</v>
      </c>
      <c r="K16" s="28"/>
      <c r="L16" s="28"/>
      <c r="M16" s="28"/>
      <c r="N16" s="1853">
        <f t="shared" si="0"/>
        <v>0</v>
      </c>
      <c r="O16" s="28"/>
      <c r="P16" s="28"/>
      <c r="Q16" s="28"/>
      <c r="R16" s="28"/>
      <c r="S16" s="658"/>
      <c r="T16" s="1856"/>
      <c r="U16" s="89" t="e">
        <f t="shared" si="3"/>
        <v>#DIV/0!</v>
      </c>
      <c r="V16" s="27"/>
      <c r="W16" s="27"/>
      <c r="X16" s="27"/>
      <c r="Y16" s="699" t="s">
        <v>968</v>
      </c>
    </row>
    <row r="17" spans="1:25" ht="22.5" customHeight="1" thickTop="1" thickBot="1">
      <c r="A17" s="705" t="s">
        <v>127</v>
      </c>
      <c r="B17" s="706" t="s">
        <v>129</v>
      </c>
      <c r="C17" s="706" t="s">
        <v>134</v>
      </c>
      <c r="D17" s="706"/>
      <c r="E17" s="706"/>
      <c r="F17" s="707"/>
      <c r="G17" s="707"/>
      <c r="H17" s="707"/>
      <c r="I17" s="707"/>
      <c r="J17" s="708" t="s">
        <v>135</v>
      </c>
      <c r="K17" s="709">
        <f>+K18+K33+K76+K84+K110</f>
        <v>149793017432.51999</v>
      </c>
      <c r="L17" s="709">
        <f>+L18+L33+L76+L84+L110</f>
        <v>0</v>
      </c>
      <c r="M17" s="709">
        <f>+M18+M33+M76+M84+M110</f>
        <v>0</v>
      </c>
      <c r="N17" s="1851">
        <f t="shared" si="0"/>
        <v>149793017432.51999</v>
      </c>
      <c r="O17" s="709">
        <f t="shared" ref="O17:S17" si="8">+O18+O33+O76+O84+O110</f>
        <v>9334357836.1430016</v>
      </c>
      <c r="P17" s="709">
        <f t="shared" si="8"/>
        <v>128807319897.439</v>
      </c>
      <c r="Q17" s="709">
        <f t="shared" si="8"/>
        <v>4595624478.9379997</v>
      </c>
      <c r="R17" s="709">
        <f t="shared" si="8"/>
        <v>7055715220</v>
      </c>
      <c r="S17" s="709">
        <f t="shared" si="8"/>
        <v>0</v>
      </c>
      <c r="T17" s="1851">
        <f>+T18+T33+T76+T84+T110</f>
        <v>128338824600.41</v>
      </c>
      <c r="U17" s="710" t="e">
        <f t="shared" si="3"/>
        <v>#DIV/0!</v>
      </c>
      <c r="V17" s="705"/>
      <c r="W17" s="705" t="s">
        <v>983</v>
      </c>
      <c r="X17" s="705" t="s">
        <v>984</v>
      </c>
      <c r="Y17" s="699" t="s">
        <v>968</v>
      </c>
    </row>
    <row r="18" spans="1:25" ht="22.5" customHeight="1" thickTop="1" thickBot="1">
      <c r="A18" s="711" t="s">
        <v>127</v>
      </c>
      <c r="B18" s="712" t="s">
        <v>129</v>
      </c>
      <c r="C18" s="712" t="s">
        <v>134</v>
      </c>
      <c r="D18" s="712" t="s">
        <v>129</v>
      </c>
      <c r="E18" s="712"/>
      <c r="F18" s="713"/>
      <c r="G18" s="713"/>
      <c r="H18" s="713"/>
      <c r="I18" s="713"/>
      <c r="J18" s="714" t="s">
        <v>136</v>
      </c>
      <c r="K18" s="715">
        <f t="shared" ref="K18:M19" si="9">+K19</f>
        <v>15428783424.129999</v>
      </c>
      <c r="L18" s="715">
        <f t="shared" si="9"/>
        <v>0</v>
      </c>
      <c r="M18" s="715">
        <f t="shared" si="9"/>
        <v>0</v>
      </c>
      <c r="N18" s="1852">
        <f t="shared" si="0"/>
        <v>15428783424.129999</v>
      </c>
      <c r="O18" s="715">
        <f t="shared" ref="O18:T19" si="10">+O19</f>
        <v>1542878342.4130001</v>
      </c>
      <c r="P18" s="715">
        <f t="shared" si="10"/>
        <v>11181640348.890997</v>
      </c>
      <c r="Q18" s="715">
        <f t="shared" si="10"/>
        <v>2704264732.8260002</v>
      </c>
      <c r="R18" s="715">
        <f t="shared" si="10"/>
        <v>0</v>
      </c>
      <c r="S18" s="715">
        <f>+S19</f>
        <v>0</v>
      </c>
      <c r="T18" s="1852">
        <f t="shared" si="10"/>
        <v>12356977058.41</v>
      </c>
      <c r="U18" s="716" t="e">
        <f t="shared" si="3"/>
        <v>#DIV/0!</v>
      </c>
      <c r="V18" s="712"/>
      <c r="W18" s="711" t="s">
        <v>985</v>
      </c>
      <c r="X18" s="711" t="s">
        <v>986</v>
      </c>
      <c r="Y18" s="699" t="s">
        <v>968</v>
      </c>
    </row>
    <row r="19" spans="1:25" ht="22.5" customHeight="1" thickTop="1" thickBot="1">
      <c r="A19" s="720" t="s">
        <v>127</v>
      </c>
      <c r="B19" s="720" t="s">
        <v>129</v>
      </c>
      <c r="C19" s="694" t="s">
        <v>134</v>
      </c>
      <c r="D19" s="720" t="s">
        <v>129</v>
      </c>
      <c r="E19" s="694" t="s">
        <v>129</v>
      </c>
      <c r="F19" s="88"/>
      <c r="G19" s="88"/>
      <c r="H19" s="88"/>
      <c r="I19" s="88"/>
      <c r="J19" s="717" t="s">
        <v>137</v>
      </c>
      <c r="K19" s="718">
        <f t="shared" si="9"/>
        <v>15428783424.129999</v>
      </c>
      <c r="L19" s="718">
        <f t="shared" si="9"/>
        <v>0</v>
      </c>
      <c r="M19" s="718">
        <f t="shared" si="9"/>
        <v>0</v>
      </c>
      <c r="N19" s="1843">
        <f t="shared" si="0"/>
        <v>15428783424.129999</v>
      </c>
      <c r="O19" s="718">
        <f t="shared" si="10"/>
        <v>1542878342.4130001</v>
      </c>
      <c r="P19" s="718">
        <f t="shared" si="10"/>
        <v>11181640348.890997</v>
      </c>
      <c r="Q19" s="718">
        <f t="shared" si="10"/>
        <v>2704264732.8260002</v>
      </c>
      <c r="R19" s="718">
        <f t="shared" si="10"/>
        <v>0</v>
      </c>
      <c r="S19" s="718">
        <f>+S20</f>
        <v>0</v>
      </c>
      <c r="T19" s="1843">
        <f t="shared" si="10"/>
        <v>12356977058.41</v>
      </c>
      <c r="U19" s="719" t="e">
        <f t="shared" si="3"/>
        <v>#DIV/0!</v>
      </c>
      <c r="V19" s="27"/>
      <c r="W19" s="27" t="s">
        <v>987</v>
      </c>
      <c r="X19" s="27" t="s">
        <v>968</v>
      </c>
      <c r="Y19" s="699" t="s">
        <v>968</v>
      </c>
    </row>
    <row r="20" spans="1:25" ht="22.5" customHeight="1" thickTop="1" thickBot="1">
      <c r="A20" s="27" t="s">
        <v>127</v>
      </c>
      <c r="B20" s="27" t="s">
        <v>129</v>
      </c>
      <c r="C20" s="88" t="s">
        <v>134</v>
      </c>
      <c r="D20" s="27" t="s">
        <v>129</v>
      </c>
      <c r="E20" s="27" t="s">
        <v>129</v>
      </c>
      <c r="F20" s="694" t="s">
        <v>129</v>
      </c>
      <c r="G20" s="88"/>
      <c r="H20" s="88"/>
      <c r="I20" s="88"/>
      <c r="J20" s="717" t="s">
        <v>138</v>
      </c>
      <c r="K20" s="718">
        <f t="shared" ref="K20:S20" si="11">+K21+K24+K27+K30</f>
        <v>15428783424.129999</v>
      </c>
      <c r="L20" s="718">
        <f>+L21+L24+L27+L30</f>
        <v>0</v>
      </c>
      <c r="M20" s="718">
        <f>+M21+M24+M27+M30</f>
        <v>0</v>
      </c>
      <c r="N20" s="1843">
        <f t="shared" si="0"/>
        <v>15428783424.129999</v>
      </c>
      <c r="O20" s="718">
        <f t="shared" si="11"/>
        <v>1542878342.4130001</v>
      </c>
      <c r="P20" s="718">
        <f t="shared" si="11"/>
        <v>11181640348.890997</v>
      </c>
      <c r="Q20" s="718">
        <f t="shared" si="11"/>
        <v>2704264732.8260002</v>
      </c>
      <c r="R20" s="718">
        <f t="shared" si="11"/>
        <v>0</v>
      </c>
      <c r="S20" s="718">
        <f t="shared" si="11"/>
        <v>0</v>
      </c>
      <c r="T20" s="1843">
        <f>+T21+T24+T27+T30</f>
        <v>12356977058.41</v>
      </c>
      <c r="U20" s="719" t="e">
        <f t="shared" si="3"/>
        <v>#DIV/0!</v>
      </c>
      <c r="V20" s="27"/>
      <c r="W20" s="27" t="s">
        <v>988</v>
      </c>
      <c r="X20" s="27" t="s">
        <v>989</v>
      </c>
      <c r="Y20" s="699" t="s">
        <v>968</v>
      </c>
    </row>
    <row r="21" spans="1:25" ht="22.5" customHeight="1" thickTop="1" thickBot="1">
      <c r="A21" s="27" t="s">
        <v>127</v>
      </c>
      <c r="B21" s="27" t="s">
        <v>129</v>
      </c>
      <c r="C21" s="88" t="s">
        <v>134</v>
      </c>
      <c r="D21" s="27" t="s">
        <v>129</v>
      </c>
      <c r="E21" s="27" t="s">
        <v>129</v>
      </c>
      <c r="F21" s="27" t="s">
        <v>129</v>
      </c>
      <c r="G21" s="694" t="s">
        <v>129</v>
      </c>
      <c r="H21" s="88"/>
      <c r="I21" s="88"/>
      <c r="J21" s="717" t="s">
        <v>990</v>
      </c>
      <c r="K21" s="718">
        <f t="shared" ref="K21:R21" si="12">SUM(K22:K23)</f>
        <v>0</v>
      </c>
      <c r="L21" s="718">
        <f>SUM(L22:L23)</f>
        <v>0</v>
      </c>
      <c r="M21" s="718">
        <f>SUM(M22:M23)</f>
        <v>0</v>
      </c>
      <c r="N21" s="1843">
        <f t="shared" si="0"/>
        <v>0</v>
      </c>
      <c r="O21" s="718">
        <f t="shared" si="12"/>
        <v>0</v>
      </c>
      <c r="P21" s="718">
        <f t="shared" si="12"/>
        <v>0</v>
      </c>
      <c r="Q21" s="718">
        <f t="shared" si="12"/>
        <v>0</v>
      </c>
      <c r="R21" s="718">
        <f t="shared" si="12"/>
        <v>0</v>
      </c>
      <c r="S21" s="718">
        <f>SUM(S22:S23)</f>
        <v>0</v>
      </c>
      <c r="T21" s="1843">
        <f>SUM(T22:T23)</f>
        <v>0</v>
      </c>
      <c r="U21" s="719" t="e">
        <f t="shared" si="3"/>
        <v>#DIV/0!</v>
      </c>
      <c r="V21" s="27"/>
      <c r="W21" s="27"/>
      <c r="X21" s="27"/>
      <c r="Y21" s="699" t="s">
        <v>968</v>
      </c>
    </row>
    <row r="22" spans="1:25" ht="22.5" customHeight="1" thickTop="1" thickBot="1">
      <c r="A22" s="27" t="s">
        <v>127</v>
      </c>
      <c r="B22" s="27" t="s">
        <v>129</v>
      </c>
      <c r="C22" s="88" t="s">
        <v>134</v>
      </c>
      <c r="D22" s="27" t="s">
        <v>129</v>
      </c>
      <c r="E22" s="27" t="s">
        <v>129</v>
      </c>
      <c r="F22" s="27" t="s">
        <v>129</v>
      </c>
      <c r="G22" s="27" t="s">
        <v>129</v>
      </c>
      <c r="H22" s="27" t="s">
        <v>129</v>
      </c>
      <c r="I22" s="88"/>
      <c r="J22" s="86" t="s">
        <v>991</v>
      </c>
      <c r="K22" s="658"/>
      <c r="L22" s="658"/>
      <c r="M22" s="658"/>
      <c r="N22" s="1853">
        <f t="shared" si="0"/>
        <v>0</v>
      </c>
      <c r="O22" s="658"/>
      <c r="P22" s="658"/>
      <c r="Q22" s="658"/>
      <c r="R22" s="658"/>
      <c r="S22" s="658"/>
      <c r="T22" s="1853"/>
      <c r="U22" s="721" t="e">
        <f t="shared" si="3"/>
        <v>#DIV/0!</v>
      </c>
      <c r="V22" s="27"/>
      <c r="W22" s="27"/>
      <c r="X22" s="27"/>
      <c r="Y22" s="699" t="s">
        <v>968</v>
      </c>
    </row>
    <row r="23" spans="1:25" ht="22.5" customHeight="1" thickTop="1" thickBot="1">
      <c r="A23" s="27" t="s">
        <v>127</v>
      </c>
      <c r="B23" s="27" t="s">
        <v>129</v>
      </c>
      <c r="C23" s="88" t="s">
        <v>134</v>
      </c>
      <c r="D23" s="27" t="s">
        <v>129</v>
      </c>
      <c r="E23" s="27" t="s">
        <v>129</v>
      </c>
      <c r="F23" s="27" t="s">
        <v>129</v>
      </c>
      <c r="G23" s="27" t="s">
        <v>129</v>
      </c>
      <c r="H23" s="88" t="s">
        <v>134</v>
      </c>
      <c r="I23" s="88"/>
      <c r="J23" s="86" t="s">
        <v>992</v>
      </c>
      <c r="K23" s="658"/>
      <c r="L23" s="658"/>
      <c r="M23" s="658"/>
      <c r="N23" s="1853">
        <f t="shared" si="0"/>
        <v>0</v>
      </c>
      <c r="O23" s="658"/>
      <c r="P23" s="658"/>
      <c r="Q23" s="658"/>
      <c r="R23" s="658"/>
      <c r="S23" s="658"/>
      <c r="T23" s="1853"/>
      <c r="U23" s="721" t="e">
        <f t="shared" ref="U23:U28" si="13">T23/S23</f>
        <v>#DIV/0!</v>
      </c>
      <c r="V23" s="27"/>
      <c r="W23" s="27"/>
      <c r="X23" s="27"/>
      <c r="Y23" s="699" t="s">
        <v>968</v>
      </c>
    </row>
    <row r="24" spans="1:25" ht="22.5" customHeight="1" thickTop="1" thickBot="1">
      <c r="A24" s="27" t="s">
        <v>127</v>
      </c>
      <c r="B24" s="27" t="s">
        <v>129</v>
      </c>
      <c r="C24" s="88" t="s">
        <v>134</v>
      </c>
      <c r="D24" s="27" t="s">
        <v>129</v>
      </c>
      <c r="E24" s="27" t="s">
        <v>129</v>
      </c>
      <c r="F24" s="27" t="s">
        <v>129</v>
      </c>
      <c r="G24" s="694" t="s">
        <v>134</v>
      </c>
      <c r="H24" s="88"/>
      <c r="I24" s="88"/>
      <c r="J24" s="717" t="s">
        <v>993</v>
      </c>
      <c r="K24" s="718">
        <f t="shared" ref="K24:S24" si="14">SUM(K25:K26)</f>
        <v>15325004767.82</v>
      </c>
      <c r="L24" s="718">
        <f>SUM(L25:L26)</f>
        <v>0</v>
      </c>
      <c r="M24" s="718">
        <f>SUM(M25:M26)</f>
        <v>0</v>
      </c>
      <c r="N24" s="1844">
        <f t="shared" si="0"/>
        <v>15325004767.82</v>
      </c>
      <c r="O24" s="1844">
        <f t="shared" si="14"/>
        <v>1532500476.7820001</v>
      </c>
      <c r="P24" s="1844">
        <f t="shared" si="14"/>
        <v>11108995289.473997</v>
      </c>
      <c r="Q24" s="1844">
        <f t="shared" si="14"/>
        <v>2683509001.5640001</v>
      </c>
      <c r="R24" s="718">
        <f t="shared" si="14"/>
        <v>0</v>
      </c>
      <c r="S24" s="718">
        <f t="shared" si="14"/>
        <v>0</v>
      </c>
      <c r="T24" s="1844">
        <f>SUM(T25:T26)</f>
        <v>12273337548.41</v>
      </c>
      <c r="U24" s="719" t="e">
        <f t="shared" si="13"/>
        <v>#DIV/0!</v>
      </c>
      <c r="V24" s="27"/>
      <c r="W24" s="27"/>
      <c r="X24" s="27"/>
      <c r="Y24" s="699" t="s">
        <v>968</v>
      </c>
    </row>
    <row r="25" spans="1:25" ht="22.5" customHeight="1" thickTop="1" thickBot="1">
      <c r="A25" s="27" t="s">
        <v>127</v>
      </c>
      <c r="B25" s="27" t="s">
        <v>129</v>
      </c>
      <c r="C25" s="88" t="s">
        <v>134</v>
      </c>
      <c r="D25" s="27" t="s">
        <v>129</v>
      </c>
      <c r="E25" s="27" t="s">
        <v>129</v>
      </c>
      <c r="F25" s="27" t="s">
        <v>129</v>
      </c>
      <c r="G25" s="88" t="s">
        <v>134</v>
      </c>
      <c r="H25" s="88" t="s">
        <v>129</v>
      </c>
      <c r="I25" s="88"/>
      <c r="J25" s="86" t="s">
        <v>994</v>
      </c>
      <c r="K25" s="658">
        <v>14313487850.639999</v>
      </c>
      <c r="L25" s="658"/>
      <c r="M25" s="658"/>
      <c r="N25" s="1855">
        <f t="shared" si="0"/>
        <v>14313487850.639999</v>
      </c>
      <c r="O25" s="1842">
        <f>(+N25*0.1)</f>
        <v>1431348785.0640001</v>
      </c>
      <c r="P25" s="1855">
        <f>(+N25*0.7)+381491952</f>
        <v>10400933447.447998</v>
      </c>
      <c r="Q25" s="1842">
        <f>(+N25*0.2)-381491952</f>
        <v>2481205618.1280003</v>
      </c>
      <c r="R25" s="658"/>
      <c r="S25" s="658"/>
      <c r="T25" s="1855">
        <v>11115745299</v>
      </c>
      <c r="U25" s="721" t="e">
        <f t="shared" si="13"/>
        <v>#DIV/0!</v>
      </c>
      <c r="V25" s="27"/>
      <c r="W25" s="27"/>
      <c r="X25" s="27"/>
      <c r="Y25" s="699" t="s">
        <v>968</v>
      </c>
    </row>
    <row r="26" spans="1:25" ht="22.5" customHeight="1" thickTop="1" thickBot="1">
      <c r="A26" s="27" t="s">
        <v>127</v>
      </c>
      <c r="B26" s="27" t="s">
        <v>129</v>
      </c>
      <c r="C26" s="88" t="s">
        <v>134</v>
      </c>
      <c r="D26" s="27" t="s">
        <v>129</v>
      </c>
      <c r="E26" s="27" t="s">
        <v>129</v>
      </c>
      <c r="F26" s="27" t="s">
        <v>129</v>
      </c>
      <c r="G26" s="88" t="s">
        <v>134</v>
      </c>
      <c r="H26" s="88" t="s">
        <v>134</v>
      </c>
      <c r="I26" s="88"/>
      <c r="J26" s="86" t="s">
        <v>995</v>
      </c>
      <c r="K26" s="658">
        <v>1011516917.1799999</v>
      </c>
      <c r="L26" s="658"/>
      <c r="M26" s="658"/>
      <c r="N26" s="1855">
        <f t="shared" si="0"/>
        <v>1011516917.1799999</v>
      </c>
      <c r="O26" s="1842">
        <f>+N26*0.1</f>
        <v>101151691.71799999</v>
      </c>
      <c r="P26" s="1855">
        <f>+N26*0.7</f>
        <v>708061842.0259999</v>
      </c>
      <c r="Q26" s="1855">
        <f>+N26*0.2</f>
        <v>202303383.43599999</v>
      </c>
      <c r="R26" s="658"/>
      <c r="S26" s="658"/>
      <c r="T26" s="1855">
        <v>1157592249.4100001</v>
      </c>
      <c r="U26" s="721" t="e">
        <f t="shared" si="13"/>
        <v>#DIV/0!</v>
      </c>
      <c r="V26" s="27"/>
      <c r="W26" s="27"/>
      <c r="X26" s="27"/>
      <c r="Y26" s="699" t="s">
        <v>968</v>
      </c>
    </row>
    <row r="27" spans="1:25" ht="22.5" customHeight="1" thickTop="1" thickBot="1">
      <c r="A27" s="27" t="s">
        <v>127</v>
      </c>
      <c r="B27" s="27" t="s">
        <v>129</v>
      </c>
      <c r="C27" s="88" t="s">
        <v>134</v>
      </c>
      <c r="D27" s="27" t="s">
        <v>129</v>
      </c>
      <c r="E27" s="27" t="s">
        <v>129</v>
      </c>
      <c r="F27" s="27" t="s">
        <v>129</v>
      </c>
      <c r="G27" s="694" t="s">
        <v>139</v>
      </c>
      <c r="H27" s="88"/>
      <c r="I27" s="88"/>
      <c r="J27" s="717" t="s">
        <v>996</v>
      </c>
      <c r="K27" s="718">
        <f t="shared" ref="K27:S27" si="15">SUM(K28:K29)</f>
        <v>103778656.31</v>
      </c>
      <c r="L27" s="718">
        <f>SUM(L28:L29)</f>
        <v>0</v>
      </c>
      <c r="M27" s="718">
        <f>SUM(M28:M29)</f>
        <v>0</v>
      </c>
      <c r="N27" s="1844">
        <f t="shared" si="0"/>
        <v>103778656.31</v>
      </c>
      <c r="O27" s="1844">
        <f t="shared" si="15"/>
        <v>10377865.631000001</v>
      </c>
      <c r="P27" s="1844">
        <f t="shared" si="15"/>
        <v>72645059.416999996</v>
      </c>
      <c r="Q27" s="1844">
        <f t="shared" si="15"/>
        <v>20755731.262000002</v>
      </c>
      <c r="R27" s="718">
        <f t="shared" si="15"/>
        <v>0</v>
      </c>
      <c r="S27" s="718">
        <f t="shared" si="15"/>
        <v>0</v>
      </c>
      <c r="T27" s="1844">
        <f>SUM(T28:T29)</f>
        <v>83639510</v>
      </c>
      <c r="U27" s="719" t="e">
        <f t="shared" si="13"/>
        <v>#DIV/0!</v>
      </c>
      <c r="V27" s="27"/>
      <c r="W27" s="27"/>
      <c r="X27" s="27"/>
      <c r="Y27" s="699" t="s">
        <v>968</v>
      </c>
    </row>
    <row r="28" spans="1:25" ht="22.5" customHeight="1" thickTop="1" thickBot="1">
      <c r="A28" s="27" t="s">
        <v>127</v>
      </c>
      <c r="B28" s="27" t="s">
        <v>129</v>
      </c>
      <c r="C28" s="88" t="s">
        <v>134</v>
      </c>
      <c r="D28" s="27" t="s">
        <v>129</v>
      </c>
      <c r="E28" s="27" t="s">
        <v>129</v>
      </c>
      <c r="F28" s="27" t="s">
        <v>129</v>
      </c>
      <c r="G28" s="88" t="s">
        <v>139</v>
      </c>
      <c r="H28" s="88" t="s">
        <v>129</v>
      </c>
      <c r="I28" s="88"/>
      <c r="J28" s="86" t="s">
        <v>997</v>
      </c>
      <c r="K28" s="658">
        <v>75847012.760000005</v>
      </c>
      <c r="L28" s="658"/>
      <c r="M28" s="658"/>
      <c r="N28" s="1855">
        <f t="shared" si="0"/>
        <v>75847012.760000005</v>
      </c>
      <c r="O28" s="1842">
        <f t="shared" ref="O28:O29" si="16">+N28*0.1</f>
        <v>7584701.2760000005</v>
      </c>
      <c r="P28" s="1842">
        <f t="shared" ref="P28:P29" si="17">+N28*0.7</f>
        <v>53092908.932000004</v>
      </c>
      <c r="Q28" s="1842">
        <f t="shared" ref="Q28:Q29" si="18">+N28*0.2</f>
        <v>15169402.552000001</v>
      </c>
      <c r="R28" s="658"/>
      <c r="S28" s="658"/>
      <c r="T28" s="1855">
        <v>83639510</v>
      </c>
      <c r="U28" s="721" t="e">
        <f t="shared" si="13"/>
        <v>#DIV/0!</v>
      </c>
      <c r="V28" s="27"/>
      <c r="W28" s="27"/>
      <c r="X28" s="27"/>
      <c r="Y28" s="699" t="s">
        <v>968</v>
      </c>
    </row>
    <row r="29" spans="1:25" ht="22.5" customHeight="1" thickTop="1" thickBot="1">
      <c r="A29" s="27" t="s">
        <v>127</v>
      </c>
      <c r="B29" s="27" t="s">
        <v>129</v>
      </c>
      <c r="C29" s="88" t="s">
        <v>134</v>
      </c>
      <c r="D29" s="27" t="s">
        <v>129</v>
      </c>
      <c r="E29" s="27" t="s">
        <v>129</v>
      </c>
      <c r="F29" s="27" t="s">
        <v>129</v>
      </c>
      <c r="G29" s="88" t="s">
        <v>139</v>
      </c>
      <c r="H29" s="88" t="s">
        <v>134</v>
      </c>
      <c r="I29" s="88"/>
      <c r="J29" s="86" t="s">
        <v>998</v>
      </c>
      <c r="K29" s="658">
        <v>27931643.550000001</v>
      </c>
      <c r="L29" s="658"/>
      <c r="M29" s="658"/>
      <c r="N29" s="1855">
        <f t="shared" si="0"/>
        <v>27931643.550000001</v>
      </c>
      <c r="O29" s="1842">
        <f t="shared" si="16"/>
        <v>2793164.3550000004</v>
      </c>
      <c r="P29" s="1842">
        <f t="shared" si="17"/>
        <v>19552150.484999999</v>
      </c>
      <c r="Q29" s="1842">
        <f t="shared" si="18"/>
        <v>5586328.7100000009</v>
      </c>
      <c r="R29" s="658"/>
      <c r="S29" s="658"/>
      <c r="T29" s="1853"/>
      <c r="U29" s="721" t="e">
        <f t="shared" si="3"/>
        <v>#DIV/0!</v>
      </c>
      <c r="V29" s="27"/>
      <c r="W29" s="27"/>
      <c r="X29" s="27"/>
      <c r="Y29" s="699" t="s">
        <v>968</v>
      </c>
    </row>
    <row r="30" spans="1:25" ht="22.5" customHeight="1" thickTop="1" thickBot="1">
      <c r="A30" s="27" t="s">
        <v>127</v>
      </c>
      <c r="B30" s="27" t="s">
        <v>129</v>
      </c>
      <c r="C30" s="88" t="s">
        <v>134</v>
      </c>
      <c r="D30" s="27" t="s">
        <v>129</v>
      </c>
      <c r="E30" s="27" t="s">
        <v>129</v>
      </c>
      <c r="F30" s="27" t="s">
        <v>129</v>
      </c>
      <c r="G30" s="694" t="s">
        <v>140</v>
      </c>
      <c r="H30" s="88"/>
      <c r="I30" s="88"/>
      <c r="J30" s="717" t="s">
        <v>999</v>
      </c>
      <c r="K30" s="722">
        <f t="shared" ref="K30:T30" si="19">SUM(K31:K32)</f>
        <v>0</v>
      </c>
      <c r="L30" s="722">
        <f>SUM(L31:L32)</f>
        <v>0</v>
      </c>
      <c r="M30" s="722">
        <f>SUM(M31:M32)</f>
        <v>0</v>
      </c>
      <c r="N30" s="1854">
        <f t="shared" si="0"/>
        <v>0</v>
      </c>
      <c r="O30" s="722">
        <f t="shared" si="19"/>
        <v>0</v>
      </c>
      <c r="P30" s="722">
        <f t="shared" si="19"/>
        <v>0</v>
      </c>
      <c r="Q30" s="722">
        <f t="shared" si="19"/>
        <v>0</v>
      </c>
      <c r="R30" s="722">
        <f t="shared" si="19"/>
        <v>0</v>
      </c>
      <c r="S30" s="722">
        <f t="shared" si="19"/>
        <v>0</v>
      </c>
      <c r="T30" s="1854">
        <f t="shared" si="19"/>
        <v>0</v>
      </c>
      <c r="U30" s="723" t="e">
        <f t="shared" si="3"/>
        <v>#DIV/0!</v>
      </c>
      <c r="V30" s="27"/>
      <c r="W30" s="27"/>
      <c r="X30" s="27"/>
      <c r="Y30" s="699" t="s">
        <v>968</v>
      </c>
    </row>
    <row r="31" spans="1:25" ht="22.5" customHeight="1" thickTop="1" thickBot="1">
      <c r="A31" s="27" t="s">
        <v>127</v>
      </c>
      <c r="B31" s="27" t="s">
        <v>129</v>
      </c>
      <c r="C31" s="88" t="s">
        <v>134</v>
      </c>
      <c r="D31" s="27" t="s">
        <v>129</v>
      </c>
      <c r="E31" s="27" t="s">
        <v>129</v>
      </c>
      <c r="F31" s="27" t="s">
        <v>129</v>
      </c>
      <c r="G31" s="88" t="s">
        <v>140</v>
      </c>
      <c r="H31" s="88" t="s">
        <v>129</v>
      </c>
      <c r="I31" s="88"/>
      <c r="J31" s="86" t="s">
        <v>1000</v>
      </c>
      <c r="K31" s="28"/>
      <c r="L31" s="28"/>
      <c r="M31" s="28"/>
      <c r="N31" s="1853">
        <f t="shared" si="0"/>
        <v>0</v>
      </c>
      <c r="O31" s="28"/>
      <c r="P31" s="28"/>
      <c r="Q31" s="28"/>
      <c r="R31" s="28"/>
      <c r="S31" s="658"/>
      <c r="T31" s="1856"/>
      <c r="U31" s="89" t="e">
        <f t="shared" si="3"/>
        <v>#DIV/0!</v>
      </c>
      <c r="V31" s="27"/>
      <c r="W31" s="27"/>
      <c r="X31" s="27"/>
      <c r="Y31" s="699" t="s">
        <v>968</v>
      </c>
    </row>
    <row r="32" spans="1:25" ht="22.5" customHeight="1" thickTop="1" thickBot="1">
      <c r="A32" s="27" t="s">
        <v>127</v>
      </c>
      <c r="B32" s="27" t="s">
        <v>129</v>
      </c>
      <c r="C32" s="88" t="s">
        <v>134</v>
      </c>
      <c r="D32" s="27" t="s">
        <v>129</v>
      </c>
      <c r="E32" s="27" t="s">
        <v>129</v>
      </c>
      <c r="F32" s="27" t="s">
        <v>129</v>
      </c>
      <c r="G32" s="88" t="s">
        <v>140</v>
      </c>
      <c r="H32" s="88" t="s">
        <v>134</v>
      </c>
      <c r="I32" s="88"/>
      <c r="J32" s="86" t="s">
        <v>1001</v>
      </c>
      <c r="K32" s="28"/>
      <c r="L32" s="28"/>
      <c r="M32" s="28"/>
      <c r="N32" s="1853">
        <f t="shared" si="0"/>
        <v>0</v>
      </c>
      <c r="O32" s="28"/>
      <c r="P32" s="28"/>
      <c r="Q32" s="28"/>
      <c r="R32" s="28"/>
      <c r="S32" s="658"/>
      <c r="T32" s="1856"/>
      <c r="U32" s="89" t="e">
        <f t="shared" si="3"/>
        <v>#DIV/0!</v>
      </c>
      <c r="V32" s="27"/>
      <c r="W32" s="27"/>
      <c r="X32" s="27"/>
      <c r="Y32" s="699" t="s">
        <v>968</v>
      </c>
    </row>
    <row r="33" spans="1:25" ht="22.5" customHeight="1" thickTop="1" thickBot="1">
      <c r="A33" s="711" t="s">
        <v>127</v>
      </c>
      <c r="B33" s="712" t="s">
        <v>129</v>
      </c>
      <c r="C33" s="712" t="s">
        <v>134</v>
      </c>
      <c r="D33" s="712" t="s">
        <v>134</v>
      </c>
      <c r="E33" s="712"/>
      <c r="F33" s="713"/>
      <c r="G33" s="713"/>
      <c r="H33" s="713"/>
      <c r="I33" s="713"/>
      <c r="J33" s="714" t="s">
        <v>141</v>
      </c>
      <c r="K33" s="715">
        <f>+K34+K51</f>
        <v>18846842502.279999</v>
      </c>
      <c r="L33" s="715">
        <f>+L34+L51</f>
        <v>0</v>
      </c>
      <c r="M33" s="715">
        <f>+M34+M51</f>
        <v>0</v>
      </c>
      <c r="N33" s="1852">
        <f t="shared" si="0"/>
        <v>18846842502.279999</v>
      </c>
      <c r="O33" s="715">
        <f t="shared" ref="O33:T33" si="20">+O34+O51</f>
        <v>5370300030.7740002</v>
      </c>
      <c r="P33" s="1852">
        <f t="shared" si="20"/>
        <v>11591858221.278002</v>
      </c>
      <c r="Q33" s="715">
        <f t="shared" si="20"/>
        <v>1884684250.2279999</v>
      </c>
      <c r="R33" s="715">
        <f t="shared" si="20"/>
        <v>0</v>
      </c>
      <c r="S33" s="715">
        <f>+S34+S51</f>
        <v>0</v>
      </c>
      <c r="T33" s="1852">
        <f t="shared" si="20"/>
        <v>14078130021</v>
      </c>
      <c r="U33" s="716" t="e">
        <f t="shared" si="3"/>
        <v>#DIV/0!</v>
      </c>
      <c r="V33" s="712"/>
      <c r="W33" s="711"/>
      <c r="X33" s="711"/>
      <c r="Y33" s="699" t="s">
        <v>968</v>
      </c>
    </row>
    <row r="34" spans="1:25" ht="22.5" customHeight="1" thickTop="1" thickBot="1">
      <c r="A34" s="711">
        <v>1</v>
      </c>
      <c r="B34" s="712" t="s">
        <v>129</v>
      </c>
      <c r="C34" s="712" t="s">
        <v>134</v>
      </c>
      <c r="D34" s="712" t="s">
        <v>134</v>
      </c>
      <c r="E34" s="712" t="s">
        <v>129</v>
      </c>
      <c r="F34" s="713"/>
      <c r="G34" s="713"/>
      <c r="H34" s="713"/>
      <c r="I34" s="713"/>
      <c r="J34" s="714" t="s">
        <v>1002</v>
      </c>
      <c r="K34" s="715">
        <f>+K35</f>
        <v>12462490671.42</v>
      </c>
      <c r="L34" s="715">
        <f>+L35</f>
        <v>0</v>
      </c>
      <c r="M34" s="715">
        <f>+M35</f>
        <v>0</v>
      </c>
      <c r="N34" s="1852">
        <f t="shared" si="0"/>
        <v>12462490671.42</v>
      </c>
      <c r="O34" s="715">
        <f t="shared" ref="O34:T34" si="21">+O35</f>
        <v>0</v>
      </c>
      <c r="P34" s="1852">
        <f t="shared" si="21"/>
        <v>11216241604.278002</v>
      </c>
      <c r="Q34" s="1852">
        <f t="shared" si="21"/>
        <v>1246249067.142</v>
      </c>
      <c r="R34" s="715">
        <f t="shared" si="21"/>
        <v>0</v>
      </c>
      <c r="S34" s="715">
        <f>+S35</f>
        <v>0</v>
      </c>
      <c r="T34" s="1852">
        <f t="shared" si="21"/>
        <v>6368722390</v>
      </c>
      <c r="U34" s="716" t="e">
        <f t="shared" si="3"/>
        <v>#DIV/0!</v>
      </c>
      <c r="V34" s="712"/>
      <c r="W34" s="711"/>
      <c r="X34" s="711"/>
      <c r="Y34" s="699"/>
    </row>
    <row r="35" spans="1:25" s="1" customFormat="1" ht="22.5" customHeight="1" thickTop="1" thickBot="1">
      <c r="A35" s="720" t="s">
        <v>127</v>
      </c>
      <c r="B35" s="720" t="s">
        <v>129</v>
      </c>
      <c r="C35" s="694" t="s">
        <v>134</v>
      </c>
      <c r="D35" s="694" t="s">
        <v>134</v>
      </c>
      <c r="E35" s="694" t="s">
        <v>129</v>
      </c>
      <c r="F35" s="694" t="s">
        <v>129</v>
      </c>
      <c r="G35" s="694"/>
      <c r="H35" s="88"/>
      <c r="I35" s="88"/>
      <c r="J35" s="717" t="s">
        <v>1003</v>
      </c>
      <c r="K35" s="718">
        <f>+K36+K39+K42+K45+K48</f>
        <v>12462490671.42</v>
      </c>
      <c r="L35" s="718">
        <f>+L36+L39+L42+L45+L48</f>
        <v>0</v>
      </c>
      <c r="M35" s="718">
        <f>+M36+M39+M42+M45+M48</f>
        <v>0</v>
      </c>
      <c r="N35" s="1843">
        <f t="shared" si="0"/>
        <v>12462490671.42</v>
      </c>
      <c r="O35" s="718">
        <f t="shared" ref="O35:T35" si="22">+O36+O39+O42+O45+O48</f>
        <v>0</v>
      </c>
      <c r="P35" s="718">
        <f>+P36+P39+P42+P45+P48</f>
        <v>11216241604.278002</v>
      </c>
      <c r="Q35" s="718">
        <f t="shared" si="22"/>
        <v>1246249067.142</v>
      </c>
      <c r="R35" s="718">
        <f t="shared" si="22"/>
        <v>0</v>
      </c>
      <c r="S35" s="718">
        <f>+S36+S39+S42+S45+S48</f>
        <v>0</v>
      </c>
      <c r="T35" s="1843">
        <f t="shared" si="22"/>
        <v>6368722390</v>
      </c>
      <c r="U35" s="719" t="e">
        <f t="shared" si="3"/>
        <v>#DIV/0!</v>
      </c>
      <c r="V35" s="720"/>
      <c r="W35" s="720"/>
      <c r="X35" s="720"/>
      <c r="Y35" s="699" t="s">
        <v>968</v>
      </c>
    </row>
    <row r="36" spans="1:25" ht="22.5" customHeight="1" thickTop="1" thickBot="1">
      <c r="A36" s="27" t="s">
        <v>127</v>
      </c>
      <c r="B36" s="27" t="s">
        <v>129</v>
      </c>
      <c r="C36" s="88" t="s">
        <v>134</v>
      </c>
      <c r="D36" s="88" t="s">
        <v>134</v>
      </c>
      <c r="E36" s="27" t="s">
        <v>129</v>
      </c>
      <c r="F36" s="88" t="s">
        <v>129</v>
      </c>
      <c r="G36" s="694" t="s">
        <v>129</v>
      </c>
      <c r="H36" s="88"/>
      <c r="I36" s="88"/>
      <c r="J36" s="1845" t="s">
        <v>142</v>
      </c>
      <c r="K36" s="1842">
        <f>+K37+K38</f>
        <v>7065443769</v>
      </c>
      <c r="L36" s="1842">
        <f>+L37+L38</f>
        <v>0</v>
      </c>
      <c r="M36" s="1842">
        <f>+M37+M38</f>
        <v>0</v>
      </c>
      <c r="N36" s="1855">
        <f t="shared" si="0"/>
        <v>7065443769</v>
      </c>
      <c r="O36" s="658">
        <f t="shared" ref="O36:T36" si="23">+O37+O38</f>
        <v>0</v>
      </c>
      <c r="P36" s="1842">
        <f t="shared" si="23"/>
        <v>6358899392.1000004</v>
      </c>
      <c r="Q36" s="1842">
        <f t="shared" si="23"/>
        <v>706544376.89999998</v>
      </c>
      <c r="R36" s="658">
        <f t="shared" si="23"/>
        <v>0</v>
      </c>
      <c r="S36" s="658">
        <f t="shared" si="23"/>
        <v>0</v>
      </c>
      <c r="T36" s="1855">
        <f t="shared" si="23"/>
        <v>4238903267</v>
      </c>
      <c r="U36" s="721" t="e">
        <f t="shared" si="3"/>
        <v>#DIV/0!</v>
      </c>
      <c r="V36" s="27"/>
      <c r="W36" s="27" t="s">
        <v>1004</v>
      </c>
      <c r="X36" s="27" t="s">
        <v>1005</v>
      </c>
      <c r="Y36" s="110" t="s">
        <v>968</v>
      </c>
    </row>
    <row r="37" spans="1:25" ht="22.5" customHeight="1" thickTop="1" thickBot="1">
      <c r="A37" s="27" t="s">
        <v>127</v>
      </c>
      <c r="B37" s="27" t="s">
        <v>129</v>
      </c>
      <c r="C37" s="88" t="s">
        <v>134</v>
      </c>
      <c r="D37" s="88" t="s">
        <v>134</v>
      </c>
      <c r="E37" s="27" t="s">
        <v>129</v>
      </c>
      <c r="F37" s="27" t="s">
        <v>129</v>
      </c>
      <c r="G37" s="88" t="s">
        <v>129</v>
      </c>
      <c r="H37" s="88" t="s">
        <v>129</v>
      </c>
      <c r="I37" s="88"/>
      <c r="J37" s="1846" t="s">
        <v>1006</v>
      </c>
      <c r="K37" s="1842">
        <v>6995488880</v>
      </c>
      <c r="L37" s="1842"/>
      <c r="M37" s="1842"/>
      <c r="N37" s="1855">
        <f t="shared" si="0"/>
        <v>6995488880</v>
      </c>
      <c r="O37" s="658"/>
      <c r="P37" s="1842">
        <f>+N37*0.9</f>
        <v>6295939992</v>
      </c>
      <c r="Q37" s="1842">
        <f>+N37*0.1</f>
        <v>699548888</v>
      </c>
      <c r="R37" s="658"/>
      <c r="S37" s="658"/>
      <c r="T37" s="1855">
        <v>4125224483</v>
      </c>
      <c r="U37" s="721" t="e">
        <f t="shared" si="3"/>
        <v>#DIV/0!</v>
      </c>
      <c r="V37" s="27"/>
      <c r="W37" s="27"/>
      <c r="X37" s="27"/>
      <c r="Y37" s="110" t="s">
        <v>968</v>
      </c>
    </row>
    <row r="38" spans="1:25" ht="22.5" customHeight="1" thickTop="1" thickBot="1">
      <c r="A38" s="27" t="s">
        <v>127</v>
      </c>
      <c r="B38" s="27" t="s">
        <v>129</v>
      </c>
      <c r="C38" s="88" t="s">
        <v>134</v>
      </c>
      <c r="D38" s="88" t="s">
        <v>134</v>
      </c>
      <c r="E38" s="27" t="s">
        <v>129</v>
      </c>
      <c r="F38" s="27" t="s">
        <v>129</v>
      </c>
      <c r="G38" s="88" t="s">
        <v>129</v>
      </c>
      <c r="H38" s="88" t="s">
        <v>134</v>
      </c>
      <c r="I38" s="88"/>
      <c r="J38" s="1846" t="s">
        <v>1007</v>
      </c>
      <c r="K38" s="1842">
        <v>69954889</v>
      </c>
      <c r="L38" s="1842"/>
      <c r="M38" s="1842"/>
      <c r="N38" s="1855">
        <f t="shared" si="0"/>
        <v>69954889</v>
      </c>
      <c r="O38" s="658"/>
      <c r="P38" s="1842">
        <f>+N38*0.9</f>
        <v>62959400.100000001</v>
      </c>
      <c r="Q38" s="1842">
        <f>+N38*0.1</f>
        <v>6995488.9000000004</v>
      </c>
      <c r="R38" s="658"/>
      <c r="S38" s="658"/>
      <c r="T38" s="1855">
        <v>113678784</v>
      </c>
      <c r="U38" s="721" t="e">
        <f t="shared" si="3"/>
        <v>#DIV/0!</v>
      </c>
      <c r="V38" s="27"/>
      <c r="W38" s="27"/>
      <c r="X38" s="27"/>
      <c r="Y38" s="110" t="s">
        <v>968</v>
      </c>
    </row>
    <row r="39" spans="1:25" ht="22.5" customHeight="1" thickTop="1" thickBot="1">
      <c r="A39" s="27" t="s">
        <v>127</v>
      </c>
      <c r="B39" s="27" t="s">
        <v>129</v>
      </c>
      <c r="C39" s="88" t="s">
        <v>134</v>
      </c>
      <c r="D39" s="88" t="s">
        <v>134</v>
      </c>
      <c r="E39" s="27" t="s">
        <v>129</v>
      </c>
      <c r="F39" s="27" t="s">
        <v>129</v>
      </c>
      <c r="G39" s="694" t="s">
        <v>134</v>
      </c>
      <c r="H39" s="88"/>
      <c r="I39" s="88"/>
      <c r="J39" s="1845" t="s">
        <v>143</v>
      </c>
      <c r="K39" s="1842">
        <f>+K40+K41</f>
        <v>5163476577</v>
      </c>
      <c r="L39" s="1842">
        <f>+L40+L41</f>
        <v>0</v>
      </c>
      <c r="M39" s="1842">
        <f>+M40+M41</f>
        <v>0</v>
      </c>
      <c r="N39" s="1855">
        <f t="shared" si="0"/>
        <v>5163476577</v>
      </c>
      <c r="O39" s="658">
        <f t="shared" ref="O39:T39" si="24">+O40+O41</f>
        <v>0</v>
      </c>
      <c r="P39" s="1842">
        <f t="shared" si="24"/>
        <v>4647128919.3000002</v>
      </c>
      <c r="Q39" s="1842">
        <f t="shared" si="24"/>
        <v>516347657.70000005</v>
      </c>
      <c r="R39" s="658">
        <f t="shared" si="24"/>
        <v>0</v>
      </c>
      <c r="S39" s="658">
        <f t="shared" si="24"/>
        <v>0</v>
      </c>
      <c r="T39" s="1855">
        <f t="shared" si="24"/>
        <v>2129819123</v>
      </c>
      <c r="U39" s="721" t="e">
        <f t="shared" si="3"/>
        <v>#DIV/0!</v>
      </c>
      <c r="V39" s="27"/>
      <c r="W39" s="27" t="s">
        <v>1008</v>
      </c>
      <c r="X39" s="27" t="s">
        <v>1009</v>
      </c>
      <c r="Y39" s="110" t="s">
        <v>968</v>
      </c>
    </row>
    <row r="40" spans="1:25" ht="22.5" customHeight="1" thickTop="1" thickBot="1">
      <c r="A40" s="27" t="s">
        <v>127</v>
      </c>
      <c r="B40" s="27" t="s">
        <v>129</v>
      </c>
      <c r="C40" s="88" t="s">
        <v>134</v>
      </c>
      <c r="D40" s="88" t="s">
        <v>134</v>
      </c>
      <c r="E40" s="27" t="s">
        <v>129</v>
      </c>
      <c r="F40" s="27" t="s">
        <v>129</v>
      </c>
      <c r="G40" s="88" t="s">
        <v>134</v>
      </c>
      <c r="H40" s="88" t="s">
        <v>129</v>
      </c>
      <c r="I40" s="88"/>
      <c r="J40" s="1846" t="s">
        <v>1010</v>
      </c>
      <c r="K40" s="1842">
        <v>4663476577</v>
      </c>
      <c r="L40" s="1842"/>
      <c r="M40" s="1842"/>
      <c r="N40" s="1855">
        <f t="shared" si="0"/>
        <v>4663476577</v>
      </c>
      <c r="O40" s="658"/>
      <c r="P40" s="1842">
        <f>+N40*0.9</f>
        <v>4197128919.3000002</v>
      </c>
      <c r="Q40" s="1842">
        <f>+N40*0.1</f>
        <v>466347657.70000005</v>
      </c>
      <c r="R40" s="658"/>
      <c r="S40" s="658"/>
      <c r="T40" s="1855">
        <v>2034731840</v>
      </c>
      <c r="U40" s="721" t="e">
        <f t="shared" si="3"/>
        <v>#DIV/0!</v>
      </c>
      <c r="V40" s="27"/>
      <c r="W40" s="27"/>
      <c r="X40" s="27"/>
      <c r="Y40" s="110" t="s">
        <v>968</v>
      </c>
    </row>
    <row r="41" spans="1:25" ht="22.5" customHeight="1" thickTop="1" thickBot="1">
      <c r="A41" s="27" t="s">
        <v>127</v>
      </c>
      <c r="B41" s="27" t="s">
        <v>129</v>
      </c>
      <c r="C41" s="88" t="s">
        <v>134</v>
      </c>
      <c r="D41" s="88" t="s">
        <v>134</v>
      </c>
      <c r="E41" s="27" t="s">
        <v>129</v>
      </c>
      <c r="F41" s="27" t="s">
        <v>129</v>
      </c>
      <c r="G41" s="88" t="s">
        <v>134</v>
      </c>
      <c r="H41" s="88" t="s">
        <v>134</v>
      </c>
      <c r="I41" s="88"/>
      <c r="J41" s="1846" t="s">
        <v>1011</v>
      </c>
      <c r="K41" s="1842">
        <v>500000000</v>
      </c>
      <c r="L41" s="1842"/>
      <c r="M41" s="1842"/>
      <c r="N41" s="1855">
        <f t="shared" si="0"/>
        <v>500000000</v>
      </c>
      <c r="O41" s="658"/>
      <c r="P41" s="1842">
        <f>+N41*0.9</f>
        <v>450000000</v>
      </c>
      <c r="Q41" s="1842">
        <f>+N41*0.1</f>
        <v>50000000</v>
      </c>
      <c r="R41" s="658"/>
      <c r="S41" s="658"/>
      <c r="T41" s="1855">
        <v>95087283</v>
      </c>
      <c r="U41" s="721" t="e">
        <f t="shared" si="3"/>
        <v>#DIV/0!</v>
      </c>
      <c r="V41" s="27"/>
      <c r="W41" s="27"/>
      <c r="X41" s="27"/>
      <c r="Y41" s="110" t="s">
        <v>968</v>
      </c>
    </row>
    <row r="42" spans="1:25" ht="22.5" customHeight="1" thickTop="1" thickBot="1">
      <c r="A42" s="27" t="s">
        <v>127</v>
      </c>
      <c r="B42" s="27" t="s">
        <v>129</v>
      </c>
      <c r="C42" s="88" t="s">
        <v>134</v>
      </c>
      <c r="D42" s="88" t="s">
        <v>134</v>
      </c>
      <c r="E42" s="27" t="s">
        <v>129</v>
      </c>
      <c r="F42" s="27" t="s">
        <v>129</v>
      </c>
      <c r="G42" s="694" t="s">
        <v>139</v>
      </c>
      <c r="H42" s="88"/>
      <c r="I42" s="88"/>
      <c r="J42" s="1845" t="s">
        <v>1012</v>
      </c>
      <c r="K42" s="1842">
        <f>+K43+K44</f>
        <v>233570325.42000002</v>
      </c>
      <c r="L42" s="1842">
        <f>+L43+L44</f>
        <v>0</v>
      </c>
      <c r="M42" s="1842">
        <f>+M43+M44</f>
        <v>0</v>
      </c>
      <c r="N42" s="1855">
        <f t="shared" si="0"/>
        <v>233570325.42000002</v>
      </c>
      <c r="O42" s="658">
        <f t="shared" ref="O42:T42" si="25">+O43+O44</f>
        <v>0</v>
      </c>
      <c r="P42" s="1842">
        <f t="shared" si="25"/>
        <v>210213292.87800002</v>
      </c>
      <c r="Q42" s="1842">
        <f t="shared" si="25"/>
        <v>23357032.542000003</v>
      </c>
      <c r="R42" s="658">
        <f t="shared" si="25"/>
        <v>0</v>
      </c>
      <c r="S42" s="658">
        <f t="shared" si="25"/>
        <v>0</v>
      </c>
      <c r="T42" s="1853">
        <f t="shared" si="25"/>
        <v>0</v>
      </c>
      <c r="U42" s="721" t="e">
        <f t="shared" si="3"/>
        <v>#DIV/0!</v>
      </c>
      <c r="V42" s="27"/>
      <c r="W42" s="27"/>
      <c r="X42" s="27"/>
      <c r="Y42" s="110" t="s">
        <v>968</v>
      </c>
    </row>
    <row r="43" spans="1:25" ht="22.5" customHeight="1" thickTop="1" thickBot="1">
      <c r="A43" s="27" t="s">
        <v>127</v>
      </c>
      <c r="B43" s="27" t="s">
        <v>129</v>
      </c>
      <c r="C43" s="88" t="s">
        <v>134</v>
      </c>
      <c r="D43" s="88" t="s">
        <v>134</v>
      </c>
      <c r="E43" s="27" t="s">
        <v>129</v>
      </c>
      <c r="F43" s="27" t="s">
        <v>129</v>
      </c>
      <c r="G43" s="88" t="s">
        <v>139</v>
      </c>
      <c r="H43" s="88" t="s">
        <v>129</v>
      </c>
      <c r="I43" s="88"/>
      <c r="J43" s="1846" t="s">
        <v>1013</v>
      </c>
      <c r="K43" s="1842">
        <v>186169346.77000001</v>
      </c>
      <c r="L43" s="1842"/>
      <c r="M43" s="1842"/>
      <c r="N43" s="1855">
        <f t="shared" si="0"/>
        <v>186169346.77000001</v>
      </c>
      <c r="O43" s="658"/>
      <c r="P43" s="1842">
        <f>+N43*0.9</f>
        <v>167552412.09300002</v>
      </c>
      <c r="Q43" s="1842">
        <f>+N43*0.1</f>
        <v>18616934.677000001</v>
      </c>
      <c r="R43" s="658"/>
      <c r="S43" s="658"/>
      <c r="T43" s="1853">
        <v>0</v>
      </c>
      <c r="U43" s="721" t="e">
        <f t="shared" si="3"/>
        <v>#DIV/0!</v>
      </c>
      <c r="V43" s="27"/>
      <c r="W43" s="27"/>
      <c r="X43" s="27"/>
      <c r="Y43" s="110" t="s">
        <v>968</v>
      </c>
    </row>
    <row r="44" spans="1:25" ht="22.5" customHeight="1" thickTop="1" thickBot="1">
      <c r="A44" s="27" t="s">
        <v>127</v>
      </c>
      <c r="B44" s="27" t="s">
        <v>129</v>
      </c>
      <c r="C44" s="88" t="s">
        <v>134</v>
      </c>
      <c r="D44" s="88" t="s">
        <v>134</v>
      </c>
      <c r="E44" s="27" t="s">
        <v>129</v>
      </c>
      <c r="F44" s="27" t="s">
        <v>129</v>
      </c>
      <c r="G44" s="88" t="s">
        <v>139</v>
      </c>
      <c r="H44" s="88" t="s">
        <v>134</v>
      </c>
      <c r="I44" s="88"/>
      <c r="J44" s="1846" t="s">
        <v>1014</v>
      </c>
      <c r="K44" s="1842">
        <v>47400978.649999999</v>
      </c>
      <c r="L44" s="1842"/>
      <c r="M44" s="1842"/>
      <c r="N44" s="1855">
        <f t="shared" si="0"/>
        <v>47400978.649999999</v>
      </c>
      <c r="O44" s="658"/>
      <c r="P44" s="1842">
        <f>+N44*0.9</f>
        <v>42660880.784999996</v>
      </c>
      <c r="Q44" s="1842">
        <f>+N44*0.1</f>
        <v>4740097.8650000002</v>
      </c>
      <c r="R44" s="658"/>
      <c r="S44" s="658"/>
      <c r="T44" s="1853">
        <v>0</v>
      </c>
      <c r="U44" s="721" t="e">
        <f t="shared" si="3"/>
        <v>#DIV/0!</v>
      </c>
      <c r="V44" s="27"/>
      <c r="W44" s="27"/>
      <c r="X44" s="27"/>
      <c r="Y44" s="110" t="s">
        <v>968</v>
      </c>
    </row>
    <row r="45" spans="1:25" ht="22.5" customHeight="1" thickTop="1" thickBot="1">
      <c r="A45" s="27" t="s">
        <v>127</v>
      </c>
      <c r="B45" s="27" t="s">
        <v>129</v>
      </c>
      <c r="C45" s="88" t="s">
        <v>134</v>
      </c>
      <c r="D45" s="88" t="s">
        <v>134</v>
      </c>
      <c r="E45" s="27" t="s">
        <v>129</v>
      </c>
      <c r="F45" s="27" t="s">
        <v>129</v>
      </c>
      <c r="G45" s="694" t="s">
        <v>140</v>
      </c>
      <c r="H45" s="88"/>
      <c r="I45" s="88"/>
      <c r="J45" s="717" t="s">
        <v>1015</v>
      </c>
      <c r="K45" s="658">
        <f>+K46+K47</f>
        <v>0</v>
      </c>
      <c r="L45" s="658">
        <f>+L46+L47</f>
        <v>0</v>
      </c>
      <c r="M45" s="658">
        <f>+M46+M47</f>
        <v>0</v>
      </c>
      <c r="N45" s="1853">
        <f t="shared" si="0"/>
        <v>0</v>
      </c>
      <c r="O45" s="658">
        <f t="shared" ref="O45:T45" si="26">+O46+O47</f>
        <v>0</v>
      </c>
      <c r="P45" s="658">
        <f t="shared" si="26"/>
        <v>0</v>
      </c>
      <c r="Q45" s="658">
        <f t="shared" si="26"/>
        <v>0</v>
      </c>
      <c r="R45" s="658">
        <f t="shared" si="26"/>
        <v>0</v>
      </c>
      <c r="S45" s="658">
        <f t="shared" si="26"/>
        <v>0</v>
      </c>
      <c r="T45" s="1853">
        <f t="shared" si="26"/>
        <v>0</v>
      </c>
      <c r="U45" s="721" t="e">
        <f t="shared" si="3"/>
        <v>#DIV/0!</v>
      </c>
      <c r="V45" s="27"/>
      <c r="W45" s="27" t="s">
        <v>1016</v>
      </c>
      <c r="X45" s="27" t="s">
        <v>1017</v>
      </c>
      <c r="Y45" s="110" t="s">
        <v>968</v>
      </c>
    </row>
    <row r="46" spans="1:25" ht="22.5" customHeight="1" thickTop="1" thickBot="1">
      <c r="A46" s="27" t="s">
        <v>127</v>
      </c>
      <c r="B46" s="27" t="s">
        <v>129</v>
      </c>
      <c r="C46" s="88" t="s">
        <v>134</v>
      </c>
      <c r="D46" s="88" t="s">
        <v>134</v>
      </c>
      <c r="E46" s="27" t="s">
        <v>129</v>
      </c>
      <c r="F46" s="27" t="s">
        <v>129</v>
      </c>
      <c r="G46" s="88" t="s">
        <v>140</v>
      </c>
      <c r="H46" s="88" t="s">
        <v>129</v>
      </c>
      <c r="I46" s="88"/>
      <c r="J46" s="86" t="s">
        <v>1018</v>
      </c>
      <c r="K46" s="658"/>
      <c r="L46" s="658"/>
      <c r="M46" s="658"/>
      <c r="N46" s="1853">
        <f t="shared" si="0"/>
        <v>0</v>
      </c>
      <c r="O46" s="658"/>
      <c r="P46" s="658"/>
      <c r="Q46" s="658"/>
      <c r="R46" s="658"/>
      <c r="S46" s="658"/>
      <c r="T46" s="1853"/>
      <c r="U46" s="721" t="e">
        <f t="shared" si="3"/>
        <v>#DIV/0!</v>
      </c>
      <c r="V46" s="27"/>
      <c r="W46" s="27"/>
      <c r="X46" s="27"/>
      <c r="Y46" s="110" t="s">
        <v>968</v>
      </c>
    </row>
    <row r="47" spans="1:25" ht="22.5" customHeight="1" thickTop="1" thickBot="1">
      <c r="A47" s="27" t="s">
        <v>127</v>
      </c>
      <c r="B47" s="27" t="s">
        <v>129</v>
      </c>
      <c r="C47" s="88" t="s">
        <v>134</v>
      </c>
      <c r="D47" s="88" t="s">
        <v>134</v>
      </c>
      <c r="E47" s="27" t="s">
        <v>129</v>
      </c>
      <c r="F47" s="27" t="s">
        <v>129</v>
      </c>
      <c r="G47" s="88" t="s">
        <v>140</v>
      </c>
      <c r="H47" s="88" t="s">
        <v>134</v>
      </c>
      <c r="I47" s="88"/>
      <c r="J47" s="86" t="s">
        <v>1019</v>
      </c>
      <c r="K47" s="658"/>
      <c r="L47" s="658"/>
      <c r="M47" s="658"/>
      <c r="N47" s="1853">
        <f t="shared" si="0"/>
        <v>0</v>
      </c>
      <c r="O47" s="658"/>
      <c r="P47" s="658"/>
      <c r="Q47" s="658"/>
      <c r="R47" s="658"/>
      <c r="S47" s="658"/>
      <c r="T47" s="1853"/>
      <c r="U47" s="721" t="e">
        <f t="shared" si="3"/>
        <v>#DIV/0!</v>
      </c>
      <c r="V47" s="27"/>
      <c r="W47" s="27"/>
      <c r="X47" s="27"/>
      <c r="Y47" s="110" t="s">
        <v>968</v>
      </c>
    </row>
    <row r="48" spans="1:25" ht="22.5" customHeight="1" thickTop="1" thickBot="1">
      <c r="A48" s="27" t="s">
        <v>127</v>
      </c>
      <c r="B48" s="27" t="s">
        <v>129</v>
      </c>
      <c r="C48" s="88" t="s">
        <v>134</v>
      </c>
      <c r="D48" s="88" t="s">
        <v>134</v>
      </c>
      <c r="E48" s="27" t="s">
        <v>129</v>
      </c>
      <c r="F48" s="27" t="s">
        <v>129</v>
      </c>
      <c r="G48" s="694" t="s">
        <v>144</v>
      </c>
      <c r="H48" s="88"/>
      <c r="I48" s="88"/>
      <c r="J48" s="717" t="s">
        <v>1020</v>
      </c>
      <c r="K48" s="28">
        <f>+K49+K50</f>
        <v>0</v>
      </c>
      <c r="L48" s="28">
        <f>+L49+L50</f>
        <v>0</v>
      </c>
      <c r="M48" s="28">
        <f>+M49+M50</f>
        <v>0</v>
      </c>
      <c r="N48" s="1856">
        <f t="shared" si="0"/>
        <v>0</v>
      </c>
      <c r="O48" s="28">
        <f t="shared" ref="O48:T48" si="27">+O49+O50</f>
        <v>0</v>
      </c>
      <c r="P48" s="28">
        <f t="shared" si="27"/>
        <v>0</v>
      </c>
      <c r="Q48" s="28">
        <f t="shared" si="27"/>
        <v>0</v>
      </c>
      <c r="R48" s="28">
        <f t="shared" si="27"/>
        <v>0</v>
      </c>
      <c r="S48" s="28">
        <f t="shared" si="27"/>
        <v>0</v>
      </c>
      <c r="T48" s="1856">
        <f t="shared" si="27"/>
        <v>0</v>
      </c>
      <c r="U48" s="89" t="e">
        <f t="shared" si="3"/>
        <v>#DIV/0!</v>
      </c>
      <c r="V48" s="27"/>
      <c r="W48" s="27"/>
      <c r="X48" s="27"/>
      <c r="Y48" s="110" t="s">
        <v>968</v>
      </c>
    </row>
    <row r="49" spans="1:25" ht="22.5" customHeight="1" thickTop="1" thickBot="1">
      <c r="A49" s="27" t="s">
        <v>127</v>
      </c>
      <c r="B49" s="27" t="s">
        <v>129</v>
      </c>
      <c r="C49" s="88" t="s">
        <v>134</v>
      </c>
      <c r="D49" s="88" t="s">
        <v>134</v>
      </c>
      <c r="E49" s="27" t="s">
        <v>129</v>
      </c>
      <c r="F49" s="27" t="s">
        <v>129</v>
      </c>
      <c r="G49" s="88" t="s">
        <v>144</v>
      </c>
      <c r="H49" s="88" t="s">
        <v>129</v>
      </c>
      <c r="I49" s="88"/>
      <c r="J49" s="86" t="s">
        <v>1021</v>
      </c>
      <c r="K49" s="28"/>
      <c r="L49" s="28"/>
      <c r="M49" s="28"/>
      <c r="N49" s="1856">
        <f t="shared" si="0"/>
        <v>0</v>
      </c>
      <c r="O49" s="28"/>
      <c r="P49" s="28"/>
      <c r="Q49" s="28"/>
      <c r="R49" s="28"/>
      <c r="S49" s="28"/>
      <c r="T49" s="1856"/>
      <c r="U49" s="89" t="e">
        <f t="shared" si="3"/>
        <v>#DIV/0!</v>
      </c>
      <c r="V49" s="27"/>
      <c r="W49" s="27"/>
      <c r="X49" s="27"/>
      <c r="Y49" s="110" t="s">
        <v>968</v>
      </c>
    </row>
    <row r="50" spans="1:25" ht="22.5" customHeight="1" thickTop="1" thickBot="1">
      <c r="A50" s="27" t="s">
        <v>127</v>
      </c>
      <c r="B50" s="27" t="s">
        <v>129</v>
      </c>
      <c r="C50" s="88" t="s">
        <v>134</v>
      </c>
      <c r="D50" s="88" t="s">
        <v>134</v>
      </c>
      <c r="E50" s="27" t="s">
        <v>129</v>
      </c>
      <c r="F50" s="27" t="s">
        <v>129</v>
      </c>
      <c r="G50" s="88" t="s">
        <v>144</v>
      </c>
      <c r="H50" s="88" t="s">
        <v>134</v>
      </c>
      <c r="I50" s="88"/>
      <c r="J50" s="86" t="s">
        <v>1022</v>
      </c>
      <c r="K50" s="28"/>
      <c r="L50" s="28"/>
      <c r="M50" s="28"/>
      <c r="N50" s="1856">
        <f t="shared" si="0"/>
        <v>0</v>
      </c>
      <c r="O50" s="28"/>
      <c r="P50" s="28"/>
      <c r="Q50" s="28"/>
      <c r="R50" s="28"/>
      <c r="S50" s="28"/>
      <c r="T50" s="1856"/>
      <c r="U50" s="89" t="e">
        <f t="shared" si="3"/>
        <v>#DIV/0!</v>
      </c>
      <c r="V50" s="27"/>
      <c r="W50" s="27"/>
      <c r="X50" s="27"/>
      <c r="Y50" s="110" t="s">
        <v>968</v>
      </c>
    </row>
    <row r="51" spans="1:25" ht="22.5" customHeight="1" thickTop="1" thickBot="1">
      <c r="A51" s="711">
        <v>1</v>
      </c>
      <c r="B51" s="712" t="s">
        <v>129</v>
      </c>
      <c r="C51" s="712" t="s">
        <v>134</v>
      </c>
      <c r="D51" s="712" t="s">
        <v>134</v>
      </c>
      <c r="E51" s="712" t="s">
        <v>134</v>
      </c>
      <c r="F51" s="713"/>
      <c r="G51" s="713"/>
      <c r="H51" s="713"/>
      <c r="I51" s="713"/>
      <c r="J51" s="714" t="s">
        <v>1023</v>
      </c>
      <c r="K51" s="724">
        <f>+K52+K55+K58+K61+K64+K67+K70+K73</f>
        <v>6384351830.8599997</v>
      </c>
      <c r="L51" s="724">
        <f>+L52+L55+L58+L61+L64+L67+L70+L73</f>
        <v>0</v>
      </c>
      <c r="M51" s="724">
        <f>+M52+M55+M58+M61+M64+M67+M70+M73</f>
        <v>0</v>
      </c>
      <c r="N51" s="1852">
        <f t="shared" si="0"/>
        <v>6384351830.8599997</v>
      </c>
      <c r="O51" s="724">
        <f t="shared" ref="O51:T51" si="28">+O52+O55+O58+O61+O64+O67+O70+O73</f>
        <v>5370300030.7740002</v>
      </c>
      <c r="P51" s="724">
        <f t="shared" si="28"/>
        <v>375616617</v>
      </c>
      <c r="Q51" s="724">
        <f t="shared" si="28"/>
        <v>638435183.08599997</v>
      </c>
      <c r="R51" s="724">
        <f t="shared" si="28"/>
        <v>0</v>
      </c>
      <c r="S51" s="724">
        <f>+S52+S55+S58+S61+S64+S67+S70+S73</f>
        <v>0</v>
      </c>
      <c r="T51" s="1852">
        <f t="shared" si="28"/>
        <v>7709407631</v>
      </c>
      <c r="U51" s="716" t="e">
        <f t="shared" si="3"/>
        <v>#DIV/0!</v>
      </c>
      <c r="V51" s="712"/>
      <c r="W51" s="711" t="s">
        <v>1024</v>
      </c>
      <c r="X51" s="711" t="s">
        <v>1025</v>
      </c>
      <c r="Y51" s="699" t="s">
        <v>968</v>
      </c>
    </row>
    <row r="52" spans="1:25" ht="22.5" customHeight="1" thickTop="1" thickBot="1">
      <c r="A52" s="27">
        <v>1</v>
      </c>
      <c r="B52" s="27" t="s">
        <v>129</v>
      </c>
      <c r="C52" s="88" t="s">
        <v>134</v>
      </c>
      <c r="D52" s="88" t="s">
        <v>134</v>
      </c>
      <c r="E52" s="27" t="s">
        <v>134</v>
      </c>
      <c r="F52" s="694" t="s">
        <v>129</v>
      </c>
      <c r="G52" s="88"/>
      <c r="H52" s="88"/>
      <c r="I52" s="88"/>
      <c r="J52" s="717" t="s">
        <v>1026</v>
      </c>
      <c r="K52" s="725">
        <f>+K53+K54</f>
        <v>1604695743.8599999</v>
      </c>
      <c r="L52" s="725">
        <f>+L53+L54</f>
        <v>0</v>
      </c>
      <c r="M52" s="725">
        <f>+M53+M54</f>
        <v>0</v>
      </c>
      <c r="N52" s="1844">
        <f t="shared" si="0"/>
        <v>1604695743.8599999</v>
      </c>
      <c r="O52" s="1847">
        <f t="shared" ref="O52:T52" si="29">+O53+O54</f>
        <v>1444226169.474</v>
      </c>
      <c r="P52" s="1847">
        <f t="shared" si="29"/>
        <v>0</v>
      </c>
      <c r="Q52" s="1847">
        <f t="shared" si="29"/>
        <v>160469574.38599998</v>
      </c>
      <c r="R52" s="725">
        <f t="shared" si="29"/>
        <v>0</v>
      </c>
      <c r="S52" s="725">
        <f t="shared" si="29"/>
        <v>0</v>
      </c>
      <c r="T52" s="1844">
        <f t="shared" si="29"/>
        <v>5812803067</v>
      </c>
      <c r="U52" s="723" t="e">
        <f t="shared" si="3"/>
        <v>#DIV/0!</v>
      </c>
      <c r="V52" s="694"/>
      <c r="W52" s="27" t="s">
        <v>1027</v>
      </c>
      <c r="X52" s="27"/>
      <c r="Y52" s="699" t="s">
        <v>968</v>
      </c>
    </row>
    <row r="53" spans="1:25" ht="22.5" customHeight="1" thickTop="1" thickBot="1">
      <c r="A53" s="27">
        <v>1</v>
      </c>
      <c r="B53" s="27" t="s">
        <v>129</v>
      </c>
      <c r="C53" s="88" t="s">
        <v>134</v>
      </c>
      <c r="D53" s="88" t="s">
        <v>134</v>
      </c>
      <c r="E53" s="27" t="s">
        <v>134</v>
      </c>
      <c r="F53" s="88" t="s">
        <v>129</v>
      </c>
      <c r="G53" s="694" t="s">
        <v>129</v>
      </c>
      <c r="H53" s="88"/>
      <c r="I53" s="88"/>
      <c r="J53" s="86" t="s">
        <v>1028</v>
      </c>
      <c r="K53" s="29">
        <v>1460675087.8599999</v>
      </c>
      <c r="L53" s="29"/>
      <c r="M53" s="29"/>
      <c r="N53" s="1855">
        <f t="shared" si="0"/>
        <v>1460675087.8599999</v>
      </c>
      <c r="O53" s="1848">
        <f>+N53*0.9</f>
        <v>1314607579.0739999</v>
      </c>
      <c r="P53" s="1848"/>
      <c r="Q53" s="1848">
        <f>+N53*0.1</f>
        <v>146067508.78599998</v>
      </c>
      <c r="R53" s="29"/>
      <c r="S53" s="29"/>
      <c r="T53" s="1855">
        <v>5176930853</v>
      </c>
      <c r="U53" s="89" t="e">
        <f t="shared" si="3"/>
        <v>#DIV/0!</v>
      </c>
      <c r="V53" s="694"/>
      <c r="W53" s="27"/>
      <c r="X53" s="27"/>
      <c r="Y53" s="699" t="s">
        <v>968</v>
      </c>
    </row>
    <row r="54" spans="1:25" ht="22.5" customHeight="1" thickTop="1" thickBot="1">
      <c r="A54" s="27">
        <v>1</v>
      </c>
      <c r="B54" s="27" t="s">
        <v>129</v>
      </c>
      <c r="C54" s="88" t="s">
        <v>134</v>
      </c>
      <c r="D54" s="88" t="s">
        <v>134</v>
      </c>
      <c r="E54" s="27" t="s">
        <v>134</v>
      </c>
      <c r="F54" s="88" t="s">
        <v>129</v>
      </c>
      <c r="G54" s="694" t="s">
        <v>134</v>
      </c>
      <c r="H54" s="88"/>
      <c r="I54" s="88"/>
      <c r="J54" s="86" t="s">
        <v>1029</v>
      </c>
      <c r="K54" s="29">
        <v>144020656</v>
      </c>
      <c r="L54" s="29"/>
      <c r="M54" s="29"/>
      <c r="N54" s="1855">
        <f t="shared" si="0"/>
        <v>144020656</v>
      </c>
      <c r="O54" s="1848">
        <f>+N54*0.9</f>
        <v>129618590.40000001</v>
      </c>
      <c r="P54" s="1848"/>
      <c r="Q54" s="1848">
        <f>+N54*0.1</f>
        <v>14402065.600000001</v>
      </c>
      <c r="R54" s="29"/>
      <c r="S54" s="29"/>
      <c r="T54" s="1855">
        <v>635872214</v>
      </c>
      <c r="U54" s="89" t="e">
        <f t="shared" si="3"/>
        <v>#DIV/0!</v>
      </c>
      <c r="V54" s="694"/>
      <c r="W54" s="27"/>
      <c r="X54" s="27"/>
      <c r="Y54" s="699" t="s">
        <v>968</v>
      </c>
    </row>
    <row r="55" spans="1:25" ht="22.5" customHeight="1" thickTop="1" thickBot="1">
      <c r="A55" s="27">
        <v>1</v>
      </c>
      <c r="B55" s="27" t="s">
        <v>129</v>
      </c>
      <c r="C55" s="88" t="s">
        <v>134</v>
      </c>
      <c r="D55" s="88" t="s">
        <v>134</v>
      </c>
      <c r="E55" s="27" t="s">
        <v>134</v>
      </c>
      <c r="F55" s="694" t="s">
        <v>134</v>
      </c>
      <c r="G55" s="88"/>
      <c r="H55" s="88"/>
      <c r="I55" s="88"/>
      <c r="J55" s="717" t="s">
        <v>1030</v>
      </c>
      <c r="K55" s="725">
        <f>+K56+K57</f>
        <v>4763798667</v>
      </c>
      <c r="L55" s="725">
        <f>+L56+L57</f>
        <v>0</v>
      </c>
      <c r="M55" s="725">
        <f>+M56+M57</f>
        <v>0</v>
      </c>
      <c r="N55" s="1844">
        <f t="shared" si="0"/>
        <v>4763798667</v>
      </c>
      <c r="O55" s="1847">
        <f t="shared" ref="O55:T55" si="30">+O56+O57</f>
        <v>3911802183.3000002</v>
      </c>
      <c r="P55" s="1847">
        <f t="shared" si="30"/>
        <v>375616617</v>
      </c>
      <c r="Q55" s="1847">
        <f t="shared" si="30"/>
        <v>476379866.70000005</v>
      </c>
      <c r="R55" s="725">
        <f t="shared" si="30"/>
        <v>0</v>
      </c>
      <c r="S55" s="725">
        <f t="shared" si="30"/>
        <v>0</v>
      </c>
      <c r="T55" s="1844">
        <f t="shared" si="30"/>
        <v>1788245179</v>
      </c>
      <c r="U55" s="723" t="e">
        <f t="shared" si="3"/>
        <v>#DIV/0!</v>
      </c>
      <c r="V55" s="694"/>
      <c r="W55" s="27" t="s">
        <v>1027</v>
      </c>
      <c r="X55" s="27"/>
      <c r="Y55" s="699" t="s">
        <v>968</v>
      </c>
    </row>
    <row r="56" spans="1:25" ht="22.5" customHeight="1" thickTop="1" thickBot="1">
      <c r="A56" s="27">
        <v>1</v>
      </c>
      <c r="B56" s="27" t="s">
        <v>129</v>
      </c>
      <c r="C56" s="88" t="s">
        <v>134</v>
      </c>
      <c r="D56" s="88" t="s">
        <v>134</v>
      </c>
      <c r="E56" s="27" t="s">
        <v>134</v>
      </c>
      <c r="F56" s="88" t="s">
        <v>134</v>
      </c>
      <c r="G56" s="694" t="s">
        <v>129</v>
      </c>
      <c r="H56" s="88"/>
      <c r="I56" s="88"/>
      <c r="J56" s="86" t="s">
        <v>1031</v>
      </c>
      <c r="K56" s="29">
        <v>4496341071</v>
      </c>
      <c r="L56" s="29"/>
      <c r="M56" s="29"/>
      <c r="N56" s="1855">
        <f t="shared" si="0"/>
        <v>4496341071</v>
      </c>
      <c r="O56" s="1848">
        <f>(+N56*0.9)-375616617</f>
        <v>3671090346.9000001</v>
      </c>
      <c r="P56" s="1848">
        <v>375616617</v>
      </c>
      <c r="Q56" s="1848">
        <f>+N56*0.1</f>
        <v>449634107.10000002</v>
      </c>
      <c r="R56" s="29"/>
      <c r="S56" s="29"/>
      <c r="T56" s="1855">
        <v>1652449668</v>
      </c>
      <c r="U56" s="89" t="e">
        <f t="shared" si="3"/>
        <v>#DIV/0!</v>
      </c>
      <c r="V56" s="694"/>
      <c r="W56" s="27"/>
      <c r="X56" s="27"/>
      <c r="Y56" s="699" t="s">
        <v>968</v>
      </c>
    </row>
    <row r="57" spans="1:25" ht="22.5" customHeight="1" thickTop="1" thickBot="1">
      <c r="A57" s="27">
        <v>1</v>
      </c>
      <c r="B57" s="27" t="s">
        <v>129</v>
      </c>
      <c r="C57" s="88" t="s">
        <v>134</v>
      </c>
      <c r="D57" s="88" t="s">
        <v>134</v>
      </c>
      <c r="E57" s="27" t="s">
        <v>134</v>
      </c>
      <c r="F57" s="88" t="s">
        <v>134</v>
      </c>
      <c r="G57" s="694" t="s">
        <v>134</v>
      </c>
      <c r="H57" s="88"/>
      <c r="I57" s="88"/>
      <c r="J57" s="86" t="s">
        <v>1032</v>
      </c>
      <c r="K57" s="29">
        <v>267457596</v>
      </c>
      <c r="L57" s="29"/>
      <c r="M57" s="29"/>
      <c r="N57" s="1855">
        <f t="shared" si="0"/>
        <v>267457596</v>
      </c>
      <c r="O57" s="1848">
        <f>+N57*0.9</f>
        <v>240711836.40000001</v>
      </c>
      <c r="P57" s="1848"/>
      <c r="Q57" s="1848">
        <f>+N57*0.1</f>
        <v>26745759.600000001</v>
      </c>
      <c r="R57" s="29"/>
      <c r="S57" s="29"/>
      <c r="T57" s="1855">
        <v>135795511</v>
      </c>
      <c r="U57" s="89" t="e">
        <f t="shared" si="3"/>
        <v>#DIV/0!</v>
      </c>
      <c r="V57" s="694"/>
      <c r="W57" s="27"/>
      <c r="X57" s="27"/>
      <c r="Y57" s="699" t="s">
        <v>968</v>
      </c>
    </row>
    <row r="58" spans="1:25" ht="22.5" customHeight="1" thickTop="1" thickBot="1">
      <c r="A58" s="27">
        <v>1</v>
      </c>
      <c r="B58" s="27" t="s">
        <v>129</v>
      </c>
      <c r="C58" s="88" t="s">
        <v>134</v>
      </c>
      <c r="D58" s="88" t="s">
        <v>134</v>
      </c>
      <c r="E58" s="27" t="s">
        <v>134</v>
      </c>
      <c r="F58" s="694" t="s">
        <v>139</v>
      </c>
      <c r="G58" s="88"/>
      <c r="H58" s="88"/>
      <c r="I58" s="88"/>
      <c r="J58" s="717" t="s">
        <v>1033</v>
      </c>
      <c r="K58" s="725">
        <f>+K59+K60</f>
        <v>0</v>
      </c>
      <c r="L58" s="725">
        <f>+L59+L60</f>
        <v>0</v>
      </c>
      <c r="M58" s="725">
        <f>+M59+M60</f>
        <v>0</v>
      </c>
      <c r="N58" s="1854">
        <f t="shared" si="0"/>
        <v>0</v>
      </c>
      <c r="O58" s="725">
        <f t="shared" ref="O58:T58" si="31">+O59+O60</f>
        <v>0</v>
      </c>
      <c r="P58" s="725">
        <f t="shared" si="31"/>
        <v>0</v>
      </c>
      <c r="Q58" s="725">
        <f t="shared" si="31"/>
        <v>0</v>
      </c>
      <c r="R58" s="725">
        <f t="shared" si="31"/>
        <v>0</v>
      </c>
      <c r="S58" s="725">
        <f t="shared" si="31"/>
        <v>0</v>
      </c>
      <c r="T58" s="1854">
        <f t="shared" si="31"/>
        <v>0</v>
      </c>
      <c r="U58" s="723" t="e">
        <f t="shared" si="3"/>
        <v>#DIV/0!</v>
      </c>
      <c r="V58" s="694"/>
      <c r="W58" s="27"/>
      <c r="X58" s="27"/>
      <c r="Y58" s="699" t="s">
        <v>968</v>
      </c>
    </row>
    <row r="59" spans="1:25" ht="22.5" customHeight="1" thickTop="1" thickBot="1">
      <c r="A59" s="27">
        <v>1</v>
      </c>
      <c r="B59" s="27" t="s">
        <v>129</v>
      </c>
      <c r="C59" s="88" t="s">
        <v>134</v>
      </c>
      <c r="D59" s="88" t="s">
        <v>134</v>
      </c>
      <c r="E59" s="27" t="s">
        <v>134</v>
      </c>
      <c r="F59" s="88" t="s">
        <v>139</v>
      </c>
      <c r="G59" s="694" t="s">
        <v>129</v>
      </c>
      <c r="H59" s="88"/>
      <c r="I59" s="88"/>
      <c r="J59" s="86" t="s">
        <v>1034</v>
      </c>
      <c r="K59" s="29"/>
      <c r="L59" s="29"/>
      <c r="M59" s="29"/>
      <c r="N59" s="1856">
        <f t="shared" si="0"/>
        <v>0</v>
      </c>
      <c r="O59" s="29"/>
      <c r="P59" s="29"/>
      <c r="Q59" s="29"/>
      <c r="R59" s="29"/>
      <c r="S59" s="29"/>
      <c r="T59" s="1856"/>
      <c r="U59" s="89" t="e">
        <f t="shared" si="3"/>
        <v>#DIV/0!</v>
      </c>
      <c r="V59" s="694"/>
      <c r="W59" s="27"/>
      <c r="X59" s="27"/>
      <c r="Y59" s="699" t="s">
        <v>968</v>
      </c>
    </row>
    <row r="60" spans="1:25" ht="22.5" customHeight="1" thickTop="1" thickBot="1">
      <c r="A60" s="27">
        <v>1</v>
      </c>
      <c r="B60" s="27" t="s">
        <v>129</v>
      </c>
      <c r="C60" s="88" t="s">
        <v>134</v>
      </c>
      <c r="D60" s="88" t="s">
        <v>134</v>
      </c>
      <c r="E60" s="27" t="s">
        <v>134</v>
      </c>
      <c r="F60" s="88" t="s">
        <v>139</v>
      </c>
      <c r="G60" s="694" t="s">
        <v>134</v>
      </c>
      <c r="H60" s="88"/>
      <c r="I60" s="88"/>
      <c r="J60" s="86" t="s">
        <v>1035</v>
      </c>
      <c r="K60" s="29"/>
      <c r="L60" s="29"/>
      <c r="M60" s="29"/>
      <c r="N60" s="1856">
        <f t="shared" si="0"/>
        <v>0</v>
      </c>
      <c r="O60" s="29"/>
      <c r="P60" s="29"/>
      <c r="Q60" s="29"/>
      <c r="R60" s="29"/>
      <c r="S60" s="29"/>
      <c r="T60" s="1856"/>
      <c r="U60" s="89" t="e">
        <f t="shared" si="3"/>
        <v>#DIV/0!</v>
      </c>
      <c r="V60" s="694"/>
      <c r="W60" s="27"/>
      <c r="X60" s="27"/>
      <c r="Y60" s="699" t="s">
        <v>968</v>
      </c>
    </row>
    <row r="61" spans="1:25" ht="22.5" customHeight="1" thickTop="1" thickBot="1">
      <c r="A61" s="27">
        <v>1</v>
      </c>
      <c r="B61" s="27" t="s">
        <v>129</v>
      </c>
      <c r="C61" s="88" t="s">
        <v>134</v>
      </c>
      <c r="D61" s="88" t="s">
        <v>134</v>
      </c>
      <c r="E61" s="27" t="s">
        <v>134</v>
      </c>
      <c r="F61" s="694" t="s">
        <v>140</v>
      </c>
      <c r="G61" s="88"/>
      <c r="H61" s="88"/>
      <c r="I61" s="88"/>
      <c r="J61" s="717" t="s">
        <v>1036</v>
      </c>
      <c r="K61" s="725">
        <f>+K62+K63</f>
        <v>0</v>
      </c>
      <c r="L61" s="725">
        <f>+L62+L63</f>
        <v>0</v>
      </c>
      <c r="M61" s="725">
        <f>+M62+M63</f>
        <v>0</v>
      </c>
      <c r="N61" s="1854">
        <f t="shared" si="0"/>
        <v>0</v>
      </c>
      <c r="O61" s="725">
        <f t="shared" ref="O61:T61" si="32">+O62+O63</f>
        <v>0</v>
      </c>
      <c r="P61" s="725">
        <f t="shared" si="32"/>
        <v>0</v>
      </c>
      <c r="Q61" s="725">
        <f t="shared" si="32"/>
        <v>0</v>
      </c>
      <c r="R61" s="725">
        <f t="shared" si="32"/>
        <v>0</v>
      </c>
      <c r="S61" s="725">
        <f t="shared" si="32"/>
        <v>0</v>
      </c>
      <c r="T61" s="1854">
        <f t="shared" si="32"/>
        <v>0</v>
      </c>
      <c r="U61" s="723" t="e">
        <f t="shared" si="3"/>
        <v>#DIV/0!</v>
      </c>
      <c r="V61" s="694"/>
      <c r="W61" s="27"/>
      <c r="X61" s="27"/>
      <c r="Y61" s="699" t="s">
        <v>968</v>
      </c>
    </row>
    <row r="62" spans="1:25" ht="22.5" customHeight="1" thickTop="1" thickBot="1">
      <c r="A62" s="27">
        <v>1</v>
      </c>
      <c r="B62" s="27" t="s">
        <v>129</v>
      </c>
      <c r="C62" s="88" t="s">
        <v>134</v>
      </c>
      <c r="D62" s="88" t="s">
        <v>134</v>
      </c>
      <c r="E62" s="27" t="s">
        <v>134</v>
      </c>
      <c r="F62" s="88" t="s">
        <v>140</v>
      </c>
      <c r="G62" s="694" t="s">
        <v>129</v>
      </c>
      <c r="H62" s="88"/>
      <c r="I62" s="88"/>
      <c r="J62" s="86" t="s">
        <v>1037</v>
      </c>
      <c r="K62" s="29"/>
      <c r="L62" s="29"/>
      <c r="M62" s="29"/>
      <c r="N62" s="1856">
        <f t="shared" si="0"/>
        <v>0</v>
      </c>
      <c r="O62" s="29"/>
      <c r="P62" s="29"/>
      <c r="Q62" s="29"/>
      <c r="R62" s="29"/>
      <c r="S62" s="29"/>
      <c r="T62" s="1856"/>
      <c r="U62" s="89" t="e">
        <f t="shared" si="3"/>
        <v>#DIV/0!</v>
      </c>
      <c r="V62" s="694"/>
      <c r="W62" s="27"/>
      <c r="X62" s="27"/>
      <c r="Y62" s="699" t="s">
        <v>968</v>
      </c>
    </row>
    <row r="63" spans="1:25" ht="22.5" customHeight="1" thickTop="1" thickBot="1">
      <c r="A63" s="27">
        <v>1</v>
      </c>
      <c r="B63" s="27" t="s">
        <v>129</v>
      </c>
      <c r="C63" s="88" t="s">
        <v>134</v>
      </c>
      <c r="D63" s="88" t="s">
        <v>134</v>
      </c>
      <c r="E63" s="27" t="s">
        <v>134</v>
      </c>
      <c r="F63" s="88" t="s">
        <v>140</v>
      </c>
      <c r="G63" s="694" t="s">
        <v>134</v>
      </c>
      <c r="H63" s="88"/>
      <c r="I63" s="88"/>
      <c r="J63" s="86" t="s">
        <v>1038</v>
      </c>
      <c r="K63" s="29"/>
      <c r="L63" s="29"/>
      <c r="M63" s="29"/>
      <c r="N63" s="1856">
        <f t="shared" si="0"/>
        <v>0</v>
      </c>
      <c r="O63" s="29"/>
      <c r="P63" s="29"/>
      <c r="Q63" s="29"/>
      <c r="R63" s="29"/>
      <c r="S63" s="29"/>
      <c r="T63" s="1856"/>
      <c r="U63" s="89" t="e">
        <f t="shared" si="3"/>
        <v>#DIV/0!</v>
      </c>
      <c r="V63" s="694"/>
      <c r="W63" s="27"/>
      <c r="X63" s="27"/>
      <c r="Y63" s="699" t="s">
        <v>968</v>
      </c>
    </row>
    <row r="64" spans="1:25" ht="22.5" customHeight="1" thickTop="1" thickBot="1">
      <c r="A64" s="27">
        <v>1</v>
      </c>
      <c r="B64" s="27" t="s">
        <v>129</v>
      </c>
      <c r="C64" s="88" t="s">
        <v>134</v>
      </c>
      <c r="D64" s="88" t="s">
        <v>134</v>
      </c>
      <c r="E64" s="27" t="s">
        <v>134</v>
      </c>
      <c r="F64" s="694" t="s">
        <v>144</v>
      </c>
      <c r="G64" s="88"/>
      <c r="H64" s="88"/>
      <c r="I64" s="88"/>
      <c r="J64" s="717" t="s">
        <v>1039</v>
      </c>
      <c r="K64" s="725">
        <f>+K65+K66</f>
        <v>0</v>
      </c>
      <c r="L64" s="725">
        <f>+L65+L66</f>
        <v>0</v>
      </c>
      <c r="M64" s="725">
        <f>+M65+M66</f>
        <v>0</v>
      </c>
      <c r="N64" s="1854">
        <f t="shared" si="0"/>
        <v>0</v>
      </c>
      <c r="O64" s="725">
        <f t="shared" ref="O64:T64" si="33">+O65+O66</f>
        <v>0</v>
      </c>
      <c r="P64" s="725">
        <f t="shared" si="33"/>
        <v>0</v>
      </c>
      <c r="Q64" s="725">
        <f t="shared" si="33"/>
        <v>0</v>
      </c>
      <c r="R64" s="725">
        <f t="shared" si="33"/>
        <v>0</v>
      </c>
      <c r="S64" s="725">
        <f t="shared" si="33"/>
        <v>0</v>
      </c>
      <c r="T64" s="1854">
        <f t="shared" si="33"/>
        <v>0</v>
      </c>
      <c r="U64" s="723" t="e">
        <f t="shared" si="3"/>
        <v>#DIV/0!</v>
      </c>
      <c r="V64" s="694"/>
      <c r="W64" s="27"/>
      <c r="X64" s="27"/>
      <c r="Y64" s="699" t="s">
        <v>968</v>
      </c>
    </row>
    <row r="65" spans="1:25" ht="22.5" customHeight="1" thickTop="1" thickBot="1">
      <c r="A65" s="27">
        <v>1</v>
      </c>
      <c r="B65" s="27" t="s">
        <v>129</v>
      </c>
      <c r="C65" s="88" t="s">
        <v>134</v>
      </c>
      <c r="D65" s="88" t="s">
        <v>134</v>
      </c>
      <c r="E65" s="27" t="s">
        <v>134</v>
      </c>
      <c r="F65" s="88" t="s">
        <v>144</v>
      </c>
      <c r="G65" s="694" t="s">
        <v>129</v>
      </c>
      <c r="H65" s="88"/>
      <c r="I65" s="88"/>
      <c r="J65" s="86" t="s">
        <v>1040</v>
      </c>
      <c r="K65" s="29"/>
      <c r="L65" s="29"/>
      <c r="M65" s="29"/>
      <c r="N65" s="1856">
        <f t="shared" si="0"/>
        <v>0</v>
      </c>
      <c r="O65" s="29"/>
      <c r="P65" s="29"/>
      <c r="Q65" s="29"/>
      <c r="R65" s="29"/>
      <c r="S65" s="29"/>
      <c r="T65" s="1856"/>
      <c r="U65" s="89" t="e">
        <f t="shared" si="3"/>
        <v>#DIV/0!</v>
      </c>
      <c r="V65" s="694"/>
      <c r="W65" s="27"/>
      <c r="X65" s="27"/>
      <c r="Y65" s="699" t="s">
        <v>968</v>
      </c>
    </row>
    <row r="66" spans="1:25" ht="22.5" customHeight="1" thickTop="1" thickBot="1">
      <c r="A66" s="27">
        <v>1</v>
      </c>
      <c r="B66" s="27" t="s">
        <v>129</v>
      </c>
      <c r="C66" s="88" t="s">
        <v>134</v>
      </c>
      <c r="D66" s="88" t="s">
        <v>134</v>
      </c>
      <c r="E66" s="27" t="s">
        <v>134</v>
      </c>
      <c r="F66" s="88" t="s">
        <v>144</v>
      </c>
      <c r="G66" s="694" t="s">
        <v>134</v>
      </c>
      <c r="H66" s="88"/>
      <c r="I66" s="88"/>
      <c r="J66" s="86" t="s">
        <v>1041</v>
      </c>
      <c r="K66" s="29"/>
      <c r="L66" s="29"/>
      <c r="M66" s="29"/>
      <c r="N66" s="1856">
        <f t="shared" si="0"/>
        <v>0</v>
      </c>
      <c r="O66" s="29"/>
      <c r="P66" s="29"/>
      <c r="Q66" s="29"/>
      <c r="R66" s="29"/>
      <c r="S66" s="29"/>
      <c r="T66" s="1856"/>
      <c r="U66" s="89" t="e">
        <f t="shared" si="3"/>
        <v>#DIV/0!</v>
      </c>
      <c r="V66" s="694"/>
      <c r="W66" s="27"/>
      <c r="X66" s="27"/>
      <c r="Y66" s="699" t="s">
        <v>968</v>
      </c>
    </row>
    <row r="67" spans="1:25" ht="22.5" customHeight="1" thickTop="1" thickBot="1">
      <c r="A67" s="27">
        <v>1</v>
      </c>
      <c r="B67" s="27" t="s">
        <v>129</v>
      </c>
      <c r="C67" s="88" t="s">
        <v>134</v>
      </c>
      <c r="D67" s="88" t="s">
        <v>134</v>
      </c>
      <c r="E67" s="27" t="s">
        <v>134</v>
      </c>
      <c r="F67" s="694" t="s">
        <v>145</v>
      </c>
      <c r="G67" s="88"/>
      <c r="H67" s="88"/>
      <c r="I67" s="88"/>
      <c r="J67" s="717" t="s">
        <v>1042</v>
      </c>
      <c r="K67" s="725">
        <f>+K68+K69</f>
        <v>0</v>
      </c>
      <c r="L67" s="725">
        <f>+L68+L69</f>
        <v>0</v>
      </c>
      <c r="M67" s="725">
        <f>+M68+M69</f>
        <v>0</v>
      </c>
      <c r="N67" s="1854">
        <f t="shared" si="0"/>
        <v>0</v>
      </c>
      <c r="O67" s="725">
        <f t="shared" ref="O67:T67" si="34">+O68+O69</f>
        <v>0</v>
      </c>
      <c r="P67" s="725">
        <f t="shared" si="34"/>
        <v>0</v>
      </c>
      <c r="Q67" s="725">
        <f t="shared" si="34"/>
        <v>0</v>
      </c>
      <c r="R67" s="725">
        <f t="shared" si="34"/>
        <v>0</v>
      </c>
      <c r="S67" s="725">
        <f t="shared" si="34"/>
        <v>0</v>
      </c>
      <c r="T67" s="1854">
        <f t="shared" si="34"/>
        <v>0</v>
      </c>
      <c r="U67" s="723" t="e">
        <f t="shared" si="3"/>
        <v>#DIV/0!</v>
      </c>
      <c r="V67" s="694"/>
      <c r="W67" s="27"/>
      <c r="X67" s="27"/>
      <c r="Y67" s="699" t="s">
        <v>968</v>
      </c>
    </row>
    <row r="68" spans="1:25" ht="22.5" customHeight="1" thickTop="1" thickBot="1">
      <c r="A68" s="27">
        <v>1</v>
      </c>
      <c r="B68" s="27" t="s">
        <v>129</v>
      </c>
      <c r="C68" s="88" t="s">
        <v>134</v>
      </c>
      <c r="D68" s="88" t="s">
        <v>134</v>
      </c>
      <c r="E68" s="27" t="s">
        <v>134</v>
      </c>
      <c r="F68" s="88" t="s">
        <v>145</v>
      </c>
      <c r="G68" s="694" t="s">
        <v>129</v>
      </c>
      <c r="H68" s="88"/>
      <c r="I68" s="88"/>
      <c r="J68" s="86" t="s">
        <v>1043</v>
      </c>
      <c r="K68" s="29"/>
      <c r="L68" s="29"/>
      <c r="M68" s="29"/>
      <c r="N68" s="1856">
        <f t="shared" si="0"/>
        <v>0</v>
      </c>
      <c r="O68" s="29"/>
      <c r="P68" s="29"/>
      <c r="Q68" s="29"/>
      <c r="R68" s="29"/>
      <c r="S68" s="29"/>
      <c r="T68" s="1856"/>
      <c r="U68" s="89" t="e">
        <f t="shared" si="3"/>
        <v>#DIV/0!</v>
      </c>
      <c r="V68" s="694"/>
      <c r="W68" s="27"/>
      <c r="X68" s="27"/>
      <c r="Y68" s="699" t="s">
        <v>968</v>
      </c>
    </row>
    <row r="69" spans="1:25" ht="22.5" customHeight="1" thickTop="1" thickBot="1">
      <c r="A69" s="27">
        <v>1</v>
      </c>
      <c r="B69" s="27" t="s">
        <v>129</v>
      </c>
      <c r="C69" s="88" t="s">
        <v>134</v>
      </c>
      <c r="D69" s="88" t="s">
        <v>134</v>
      </c>
      <c r="E69" s="27" t="s">
        <v>134</v>
      </c>
      <c r="F69" s="88" t="s">
        <v>145</v>
      </c>
      <c r="G69" s="694" t="s">
        <v>134</v>
      </c>
      <c r="H69" s="88"/>
      <c r="I69" s="88"/>
      <c r="J69" s="86" t="s">
        <v>1044</v>
      </c>
      <c r="K69" s="29"/>
      <c r="L69" s="29"/>
      <c r="M69" s="29"/>
      <c r="N69" s="1856">
        <f t="shared" si="0"/>
        <v>0</v>
      </c>
      <c r="O69" s="29"/>
      <c r="P69" s="29"/>
      <c r="Q69" s="29"/>
      <c r="R69" s="29"/>
      <c r="S69" s="29"/>
      <c r="T69" s="1856"/>
      <c r="U69" s="89" t="e">
        <f t="shared" si="3"/>
        <v>#DIV/0!</v>
      </c>
      <c r="V69" s="694"/>
      <c r="W69" s="27"/>
      <c r="X69" s="27"/>
      <c r="Y69" s="699" t="s">
        <v>968</v>
      </c>
    </row>
    <row r="70" spans="1:25" ht="22.5" customHeight="1" thickTop="1" thickBot="1">
      <c r="A70" s="27">
        <v>1</v>
      </c>
      <c r="B70" s="27" t="s">
        <v>129</v>
      </c>
      <c r="C70" s="88" t="s">
        <v>134</v>
      </c>
      <c r="D70" s="88" t="s">
        <v>134</v>
      </c>
      <c r="E70" s="27" t="s">
        <v>134</v>
      </c>
      <c r="F70" s="694" t="s">
        <v>146</v>
      </c>
      <c r="G70" s="88"/>
      <c r="H70" s="88"/>
      <c r="I70" s="88"/>
      <c r="J70" s="717" t="s">
        <v>1045</v>
      </c>
      <c r="K70" s="725">
        <f>+K71+K72</f>
        <v>0</v>
      </c>
      <c r="L70" s="725">
        <f>+L71+L72</f>
        <v>0</v>
      </c>
      <c r="M70" s="725">
        <f>+M71+M72</f>
        <v>0</v>
      </c>
      <c r="N70" s="1854">
        <f t="shared" si="0"/>
        <v>0</v>
      </c>
      <c r="O70" s="725">
        <f t="shared" ref="O70:T70" si="35">+O71+O72</f>
        <v>0</v>
      </c>
      <c r="P70" s="725">
        <f t="shared" si="35"/>
        <v>0</v>
      </c>
      <c r="Q70" s="725">
        <f t="shared" si="35"/>
        <v>0</v>
      </c>
      <c r="R70" s="725">
        <f t="shared" si="35"/>
        <v>0</v>
      </c>
      <c r="S70" s="725">
        <f t="shared" si="35"/>
        <v>0</v>
      </c>
      <c r="T70" s="1854">
        <f t="shared" si="35"/>
        <v>0</v>
      </c>
      <c r="U70" s="723" t="e">
        <f t="shared" si="3"/>
        <v>#DIV/0!</v>
      </c>
      <c r="V70" s="694"/>
      <c r="W70" s="27"/>
      <c r="X70" s="27"/>
      <c r="Y70" s="699" t="s">
        <v>968</v>
      </c>
    </row>
    <row r="71" spans="1:25" ht="22.5" customHeight="1" thickTop="1" thickBot="1">
      <c r="A71" s="27">
        <v>1</v>
      </c>
      <c r="B71" s="27" t="s">
        <v>129</v>
      </c>
      <c r="C71" s="88" t="s">
        <v>134</v>
      </c>
      <c r="D71" s="88" t="s">
        <v>134</v>
      </c>
      <c r="E71" s="27" t="s">
        <v>134</v>
      </c>
      <c r="F71" s="88" t="s">
        <v>146</v>
      </c>
      <c r="G71" s="694" t="s">
        <v>129</v>
      </c>
      <c r="H71" s="88"/>
      <c r="I71" s="88"/>
      <c r="J71" s="86" t="s">
        <v>1046</v>
      </c>
      <c r="K71" s="29"/>
      <c r="L71" s="29"/>
      <c r="M71" s="29"/>
      <c r="N71" s="1856">
        <f t="shared" ref="N71:N124" si="36">K71+L71-M71</f>
        <v>0</v>
      </c>
      <c r="O71" s="29"/>
      <c r="P71" s="29"/>
      <c r="Q71" s="29"/>
      <c r="R71" s="29"/>
      <c r="S71" s="29"/>
      <c r="T71" s="1856"/>
      <c r="U71" s="89" t="e">
        <f t="shared" si="3"/>
        <v>#DIV/0!</v>
      </c>
      <c r="V71" s="694"/>
      <c r="W71" s="27"/>
      <c r="X71" s="27"/>
      <c r="Y71" s="699" t="s">
        <v>968</v>
      </c>
    </row>
    <row r="72" spans="1:25" ht="22.5" customHeight="1" thickTop="1" thickBot="1">
      <c r="A72" s="27">
        <v>1</v>
      </c>
      <c r="B72" s="27" t="s">
        <v>129</v>
      </c>
      <c r="C72" s="88" t="s">
        <v>134</v>
      </c>
      <c r="D72" s="88" t="s">
        <v>134</v>
      </c>
      <c r="E72" s="27" t="s">
        <v>134</v>
      </c>
      <c r="F72" s="88" t="s">
        <v>146</v>
      </c>
      <c r="G72" s="694" t="s">
        <v>134</v>
      </c>
      <c r="H72" s="88"/>
      <c r="I72" s="88"/>
      <c r="J72" s="86" t="s">
        <v>1047</v>
      </c>
      <c r="K72" s="29"/>
      <c r="L72" s="29"/>
      <c r="M72" s="29"/>
      <c r="N72" s="1856">
        <f t="shared" si="36"/>
        <v>0</v>
      </c>
      <c r="O72" s="29"/>
      <c r="P72" s="29"/>
      <c r="Q72" s="29"/>
      <c r="R72" s="29"/>
      <c r="S72" s="29"/>
      <c r="T72" s="1856"/>
      <c r="U72" s="89" t="e">
        <f t="shared" ref="U72:U135" si="37">T72/S72</f>
        <v>#DIV/0!</v>
      </c>
      <c r="V72" s="694"/>
      <c r="W72" s="27"/>
      <c r="X72" s="27"/>
      <c r="Y72" s="699" t="s">
        <v>968</v>
      </c>
    </row>
    <row r="73" spans="1:25" ht="22.5" customHeight="1" thickTop="1" thickBot="1">
      <c r="A73" s="27">
        <v>1</v>
      </c>
      <c r="B73" s="27" t="s">
        <v>129</v>
      </c>
      <c r="C73" s="88" t="s">
        <v>134</v>
      </c>
      <c r="D73" s="88" t="s">
        <v>134</v>
      </c>
      <c r="E73" s="27" t="s">
        <v>134</v>
      </c>
      <c r="F73" s="694" t="s">
        <v>147</v>
      </c>
      <c r="G73" s="88"/>
      <c r="H73" s="88"/>
      <c r="I73" s="88"/>
      <c r="J73" s="717" t="s">
        <v>1048</v>
      </c>
      <c r="K73" s="725">
        <f>+K74+K75</f>
        <v>15857420</v>
      </c>
      <c r="L73" s="725">
        <f>+L74+L75</f>
        <v>0</v>
      </c>
      <c r="M73" s="725">
        <f>+M74+M75</f>
        <v>0</v>
      </c>
      <c r="N73" s="1844">
        <f t="shared" si="36"/>
        <v>15857420</v>
      </c>
      <c r="O73" s="1847">
        <f t="shared" ref="O73:T73" si="38">+O74+O75</f>
        <v>14271678</v>
      </c>
      <c r="P73" s="725">
        <f t="shared" si="38"/>
        <v>0</v>
      </c>
      <c r="Q73" s="1847">
        <f t="shared" si="38"/>
        <v>1585742</v>
      </c>
      <c r="R73" s="725">
        <f t="shared" si="38"/>
        <v>0</v>
      </c>
      <c r="S73" s="725">
        <f t="shared" si="38"/>
        <v>0</v>
      </c>
      <c r="T73" s="1844">
        <f t="shared" si="38"/>
        <v>108359385</v>
      </c>
      <c r="U73" s="723" t="e">
        <f t="shared" si="37"/>
        <v>#DIV/0!</v>
      </c>
      <c r="V73" s="694"/>
      <c r="W73" s="27"/>
      <c r="X73" s="27"/>
      <c r="Y73" s="699" t="s">
        <v>968</v>
      </c>
    </row>
    <row r="74" spans="1:25" ht="22.5" customHeight="1" thickTop="1" thickBot="1">
      <c r="A74" s="27">
        <v>1</v>
      </c>
      <c r="B74" s="27" t="s">
        <v>129</v>
      </c>
      <c r="C74" s="88" t="s">
        <v>134</v>
      </c>
      <c r="D74" s="88" t="s">
        <v>134</v>
      </c>
      <c r="E74" s="27" t="s">
        <v>134</v>
      </c>
      <c r="F74" s="88" t="s">
        <v>147</v>
      </c>
      <c r="G74" s="694" t="s">
        <v>129</v>
      </c>
      <c r="H74" s="88"/>
      <c r="I74" s="88"/>
      <c r="J74" s="86" t="s">
        <v>1049</v>
      </c>
      <c r="K74" s="29">
        <v>15857420</v>
      </c>
      <c r="L74" s="29"/>
      <c r="M74" s="29"/>
      <c r="N74" s="1855">
        <f t="shared" si="36"/>
        <v>15857420</v>
      </c>
      <c r="O74" s="1848">
        <f>+N74*0.9</f>
        <v>14271678</v>
      </c>
      <c r="P74" s="29"/>
      <c r="Q74" s="1848">
        <f>+N74*0.1</f>
        <v>1585742</v>
      </c>
      <c r="R74" s="29"/>
      <c r="S74" s="29"/>
      <c r="T74" s="1855">
        <v>108359385</v>
      </c>
      <c r="U74" s="89" t="e">
        <f t="shared" si="37"/>
        <v>#DIV/0!</v>
      </c>
      <c r="V74" s="694"/>
      <c r="W74" s="27"/>
      <c r="X74" s="27"/>
      <c r="Y74" s="699" t="s">
        <v>968</v>
      </c>
    </row>
    <row r="75" spans="1:25" ht="22.5" customHeight="1" thickTop="1" thickBot="1">
      <c r="A75" s="27">
        <v>1</v>
      </c>
      <c r="B75" s="27" t="s">
        <v>129</v>
      </c>
      <c r="C75" s="88" t="s">
        <v>134</v>
      </c>
      <c r="D75" s="88" t="s">
        <v>134</v>
      </c>
      <c r="E75" s="27" t="s">
        <v>134</v>
      </c>
      <c r="F75" s="88" t="s">
        <v>147</v>
      </c>
      <c r="G75" s="694" t="s">
        <v>134</v>
      </c>
      <c r="H75" s="88"/>
      <c r="I75" s="88"/>
      <c r="J75" s="86" t="s">
        <v>1050</v>
      </c>
      <c r="K75" s="29"/>
      <c r="L75" s="29"/>
      <c r="M75" s="29"/>
      <c r="N75" s="1856">
        <f t="shared" si="36"/>
        <v>0</v>
      </c>
      <c r="O75" s="29"/>
      <c r="P75" s="29"/>
      <c r="Q75" s="29"/>
      <c r="R75" s="29"/>
      <c r="S75" s="29"/>
      <c r="T75" s="1856"/>
      <c r="U75" s="89" t="e">
        <f t="shared" si="37"/>
        <v>#DIV/0!</v>
      </c>
      <c r="V75" s="694"/>
      <c r="W75" s="27"/>
      <c r="X75" s="27"/>
      <c r="Y75" s="699" t="s">
        <v>968</v>
      </c>
    </row>
    <row r="76" spans="1:25" ht="22.5" customHeight="1" thickTop="1" thickBot="1">
      <c r="A76" s="711" t="s">
        <v>127</v>
      </c>
      <c r="B76" s="712" t="s">
        <v>129</v>
      </c>
      <c r="C76" s="712" t="s">
        <v>134</v>
      </c>
      <c r="D76" s="712" t="s">
        <v>139</v>
      </c>
      <c r="E76" s="712"/>
      <c r="F76" s="713"/>
      <c r="G76" s="713"/>
      <c r="H76" s="713"/>
      <c r="I76" s="713"/>
      <c r="J76" s="714" t="s">
        <v>148</v>
      </c>
      <c r="K76" s="715">
        <f>+K77+K81</f>
        <v>66754958.840000004</v>
      </c>
      <c r="L76" s="715">
        <f>+L77+L81</f>
        <v>0</v>
      </c>
      <c r="M76" s="715">
        <f>+M77+M81</f>
        <v>0</v>
      </c>
      <c r="N76" s="1852">
        <f t="shared" si="36"/>
        <v>66754958.840000004</v>
      </c>
      <c r="O76" s="1852">
        <f t="shared" ref="O76:T76" si="39">+O77+O81</f>
        <v>60079462.956000008</v>
      </c>
      <c r="P76" s="1852">
        <f t="shared" si="39"/>
        <v>0</v>
      </c>
      <c r="Q76" s="1852">
        <f t="shared" si="39"/>
        <v>6675495.8840000005</v>
      </c>
      <c r="R76" s="715">
        <f t="shared" si="39"/>
        <v>0</v>
      </c>
      <c r="S76" s="715">
        <f t="shared" si="39"/>
        <v>0</v>
      </c>
      <c r="T76" s="1852">
        <f t="shared" si="39"/>
        <v>143523773</v>
      </c>
      <c r="U76" s="716" t="e">
        <f t="shared" si="37"/>
        <v>#DIV/0!</v>
      </c>
      <c r="V76" s="712"/>
      <c r="W76" s="711" t="s">
        <v>1051</v>
      </c>
      <c r="X76" s="711" t="s">
        <v>1052</v>
      </c>
      <c r="Y76" s="699" t="s">
        <v>968</v>
      </c>
    </row>
    <row r="77" spans="1:25" s="1" customFormat="1" ht="22.5" customHeight="1" thickTop="1" thickBot="1">
      <c r="A77" s="694" t="s">
        <v>127</v>
      </c>
      <c r="B77" s="694" t="s">
        <v>129</v>
      </c>
      <c r="C77" s="694" t="s">
        <v>134</v>
      </c>
      <c r="D77" s="694" t="s">
        <v>139</v>
      </c>
      <c r="E77" s="694" t="s">
        <v>129</v>
      </c>
      <c r="F77" s="694"/>
      <c r="G77" s="694"/>
      <c r="H77" s="88"/>
      <c r="I77" s="88"/>
      <c r="J77" s="717" t="s">
        <v>51</v>
      </c>
      <c r="K77" s="725">
        <f t="shared" ref="K77:T77" si="40">+K78</f>
        <v>66754958.840000004</v>
      </c>
      <c r="L77" s="725">
        <f>+L78</f>
        <v>0</v>
      </c>
      <c r="M77" s="725">
        <f>+M78</f>
        <v>0</v>
      </c>
      <c r="N77" s="1844">
        <f t="shared" si="36"/>
        <v>66754958.840000004</v>
      </c>
      <c r="O77" s="1847">
        <f t="shared" si="40"/>
        <v>60079462.956000008</v>
      </c>
      <c r="P77" s="725">
        <f t="shared" si="40"/>
        <v>0</v>
      </c>
      <c r="Q77" s="1847">
        <f t="shared" si="40"/>
        <v>6675495.8840000005</v>
      </c>
      <c r="R77" s="725">
        <f t="shared" si="40"/>
        <v>0</v>
      </c>
      <c r="S77" s="725">
        <f t="shared" si="40"/>
        <v>0</v>
      </c>
      <c r="T77" s="1844">
        <f t="shared" si="40"/>
        <v>143523773</v>
      </c>
      <c r="U77" s="723" t="e">
        <f t="shared" si="37"/>
        <v>#DIV/0!</v>
      </c>
      <c r="V77" s="720"/>
      <c r="W77" s="720" t="s">
        <v>1053</v>
      </c>
      <c r="X77" s="720" t="s">
        <v>1054</v>
      </c>
      <c r="Y77" s="699" t="s">
        <v>968</v>
      </c>
    </row>
    <row r="78" spans="1:25" ht="22.5" customHeight="1" thickTop="1" thickBot="1">
      <c r="A78" s="27" t="s">
        <v>127</v>
      </c>
      <c r="B78" s="88" t="s">
        <v>129</v>
      </c>
      <c r="C78" s="88" t="s">
        <v>134</v>
      </c>
      <c r="D78" s="88" t="s">
        <v>139</v>
      </c>
      <c r="E78" s="88" t="s">
        <v>129</v>
      </c>
      <c r="F78" s="694" t="s">
        <v>129</v>
      </c>
      <c r="G78" s="88"/>
      <c r="H78" s="88"/>
      <c r="I78" s="88"/>
      <c r="J78" s="717" t="s">
        <v>149</v>
      </c>
      <c r="K78" s="725">
        <f>+K79+K80</f>
        <v>66754958.840000004</v>
      </c>
      <c r="L78" s="725">
        <f>+L79+L80</f>
        <v>0</v>
      </c>
      <c r="M78" s="725">
        <f>+M79+M80</f>
        <v>0</v>
      </c>
      <c r="N78" s="1844">
        <f t="shared" si="36"/>
        <v>66754958.840000004</v>
      </c>
      <c r="O78" s="1847">
        <f t="shared" ref="O78:T78" si="41">+O79+O80</f>
        <v>60079462.956000008</v>
      </c>
      <c r="P78" s="725">
        <f t="shared" si="41"/>
        <v>0</v>
      </c>
      <c r="Q78" s="1847">
        <f t="shared" si="41"/>
        <v>6675495.8840000005</v>
      </c>
      <c r="R78" s="725">
        <f t="shared" si="41"/>
        <v>0</v>
      </c>
      <c r="S78" s="725">
        <f t="shared" si="41"/>
        <v>0</v>
      </c>
      <c r="T78" s="1844">
        <f t="shared" si="41"/>
        <v>143523773</v>
      </c>
      <c r="U78" s="723" t="e">
        <f t="shared" si="37"/>
        <v>#DIV/0!</v>
      </c>
      <c r="V78" s="27"/>
      <c r="W78" s="27" t="s">
        <v>1055</v>
      </c>
      <c r="X78" s="27" t="s">
        <v>1056</v>
      </c>
      <c r="Y78" s="699" t="s">
        <v>968</v>
      </c>
    </row>
    <row r="79" spans="1:25" ht="22.5" customHeight="1" thickTop="1" thickBot="1">
      <c r="A79" s="27" t="s">
        <v>127</v>
      </c>
      <c r="B79" s="88" t="s">
        <v>129</v>
      </c>
      <c r="C79" s="88" t="s">
        <v>134</v>
      </c>
      <c r="D79" s="88" t="s">
        <v>139</v>
      </c>
      <c r="E79" s="88" t="s">
        <v>129</v>
      </c>
      <c r="F79" s="88" t="s">
        <v>129</v>
      </c>
      <c r="G79" s="694" t="s">
        <v>129</v>
      </c>
      <c r="H79" s="88"/>
      <c r="I79" s="88"/>
      <c r="J79" s="86" t="s">
        <v>1057</v>
      </c>
      <c r="K79" s="725">
        <v>48728187.740000002</v>
      </c>
      <c r="L79" s="725"/>
      <c r="M79" s="725"/>
      <c r="N79" s="1844">
        <f t="shared" si="36"/>
        <v>48728187.740000002</v>
      </c>
      <c r="O79" s="1847">
        <f>+K79*0.9</f>
        <v>43855368.966000006</v>
      </c>
      <c r="P79" s="725"/>
      <c r="Q79" s="1847">
        <f>+N79*0.1</f>
        <v>4872818.7740000002</v>
      </c>
      <c r="R79" s="725"/>
      <c r="S79" s="725"/>
      <c r="T79" s="1844">
        <v>18457816</v>
      </c>
      <c r="U79" s="723" t="e">
        <f t="shared" si="37"/>
        <v>#DIV/0!</v>
      </c>
      <c r="V79" s="27"/>
      <c r="W79" s="27"/>
      <c r="X79" s="27"/>
      <c r="Y79" s="699" t="s">
        <v>968</v>
      </c>
    </row>
    <row r="80" spans="1:25" ht="22.5" customHeight="1" thickTop="1" thickBot="1">
      <c r="A80" s="27" t="s">
        <v>127</v>
      </c>
      <c r="B80" s="88" t="s">
        <v>129</v>
      </c>
      <c r="C80" s="88" t="s">
        <v>134</v>
      </c>
      <c r="D80" s="88" t="s">
        <v>139</v>
      </c>
      <c r="E80" s="88" t="s">
        <v>129</v>
      </c>
      <c r="F80" s="88" t="s">
        <v>129</v>
      </c>
      <c r="G80" s="694" t="s">
        <v>134</v>
      </c>
      <c r="H80" s="88"/>
      <c r="I80" s="88"/>
      <c r="J80" s="86" t="s">
        <v>1058</v>
      </c>
      <c r="K80" s="29">
        <v>18026771.100000001</v>
      </c>
      <c r="L80" s="29"/>
      <c r="M80" s="29"/>
      <c r="N80" s="1855">
        <f t="shared" si="36"/>
        <v>18026771.100000001</v>
      </c>
      <c r="O80" s="1848">
        <f>+N80*0.9</f>
        <v>16224093.990000002</v>
      </c>
      <c r="P80" s="29"/>
      <c r="Q80" s="1848">
        <f>+N80*0.1</f>
        <v>1802677.1100000003</v>
      </c>
      <c r="R80" s="29"/>
      <c r="S80" s="29"/>
      <c r="T80" s="1855">
        <v>125065957</v>
      </c>
      <c r="U80" s="89" t="e">
        <f t="shared" si="37"/>
        <v>#DIV/0!</v>
      </c>
      <c r="V80" s="27"/>
      <c r="W80" s="27"/>
      <c r="X80" s="27"/>
      <c r="Y80" s="699" t="s">
        <v>968</v>
      </c>
    </row>
    <row r="81" spans="1:25" ht="22.5" customHeight="1" thickTop="1" thickBot="1">
      <c r="A81" s="27" t="s">
        <v>127</v>
      </c>
      <c r="B81" s="88" t="s">
        <v>129</v>
      </c>
      <c r="C81" s="88" t="s">
        <v>134</v>
      </c>
      <c r="D81" s="88" t="s">
        <v>139</v>
      </c>
      <c r="E81" s="88" t="s">
        <v>129</v>
      </c>
      <c r="F81" s="694" t="s">
        <v>134</v>
      </c>
      <c r="G81" s="88"/>
      <c r="H81" s="88"/>
      <c r="I81" s="88"/>
      <c r="J81" s="717" t="s">
        <v>150</v>
      </c>
      <c r="K81" s="29">
        <f>+K82+K83</f>
        <v>0</v>
      </c>
      <c r="L81" s="29">
        <f>+L82+L83</f>
        <v>0</v>
      </c>
      <c r="M81" s="29">
        <f>+M82+M83</f>
        <v>0</v>
      </c>
      <c r="N81" s="1856">
        <f t="shared" si="36"/>
        <v>0</v>
      </c>
      <c r="O81" s="29">
        <f t="shared" ref="O81:T81" si="42">+O82+O83</f>
        <v>0</v>
      </c>
      <c r="P81" s="29">
        <f t="shared" si="42"/>
        <v>0</v>
      </c>
      <c r="Q81" s="29">
        <f t="shared" si="42"/>
        <v>0</v>
      </c>
      <c r="R81" s="29">
        <f t="shared" si="42"/>
        <v>0</v>
      </c>
      <c r="S81" s="29">
        <f t="shared" si="42"/>
        <v>0</v>
      </c>
      <c r="T81" s="1856">
        <f t="shared" si="42"/>
        <v>0</v>
      </c>
      <c r="U81" s="89" t="e">
        <f t="shared" si="37"/>
        <v>#DIV/0!</v>
      </c>
      <c r="V81" s="27"/>
      <c r="W81" s="27" t="s">
        <v>1059</v>
      </c>
      <c r="X81" s="27" t="s">
        <v>1060</v>
      </c>
      <c r="Y81" s="699" t="s">
        <v>968</v>
      </c>
    </row>
    <row r="82" spans="1:25" ht="22.5" customHeight="1" thickTop="1" thickBot="1">
      <c r="A82" s="27" t="s">
        <v>127</v>
      </c>
      <c r="B82" s="88" t="s">
        <v>129</v>
      </c>
      <c r="C82" s="88" t="s">
        <v>134</v>
      </c>
      <c r="D82" s="88" t="s">
        <v>139</v>
      </c>
      <c r="E82" s="88" t="s">
        <v>129</v>
      </c>
      <c r="F82" s="88" t="s">
        <v>134</v>
      </c>
      <c r="G82" s="694" t="s">
        <v>129</v>
      </c>
      <c r="H82" s="88"/>
      <c r="I82" s="88"/>
      <c r="J82" s="86" t="s">
        <v>1061</v>
      </c>
      <c r="K82" s="29"/>
      <c r="L82" s="29"/>
      <c r="M82" s="29"/>
      <c r="N82" s="1856">
        <f t="shared" si="36"/>
        <v>0</v>
      </c>
      <c r="O82" s="29"/>
      <c r="P82" s="29"/>
      <c r="Q82" s="29"/>
      <c r="R82" s="29"/>
      <c r="S82" s="29"/>
      <c r="T82" s="1856"/>
      <c r="U82" s="89" t="e">
        <f t="shared" si="37"/>
        <v>#DIV/0!</v>
      </c>
      <c r="V82" s="27"/>
      <c r="W82" s="27"/>
      <c r="X82" s="27"/>
      <c r="Y82" s="699" t="s">
        <v>968</v>
      </c>
    </row>
    <row r="83" spans="1:25" ht="22.5" customHeight="1" thickTop="1" thickBot="1">
      <c r="A83" s="27" t="s">
        <v>127</v>
      </c>
      <c r="B83" s="88" t="s">
        <v>129</v>
      </c>
      <c r="C83" s="88" t="s">
        <v>134</v>
      </c>
      <c r="D83" s="88" t="s">
        <v>139</v>
      </c>
      <c r="E83" s="88" t="s">
        <v>129</v>
      </c>
      <c r="F83" s="88" t="s">
        <v>134</v>
      </c>
      <c r="G83" s="694" t="s">
        <v>134</v>
      </c>
      <c r="H83" s="88"/>
      <c r="I83" s="88"/>
      <c r="J83" s="86" t="s">
        <v>1062</v>
      </c>
      <c r="K83" s="29"/>
      <c r="L83" s="29"/>
      <c r="M83" s="29"/>
      <c r="N83" s="1856">
        <f t="shared" si="36"/>
        <v>0</v>
      </c>
      <c r="O83" s="29"/>
      <c r="P83" s="29"/>
      <c r="Q83" s="29"/>
      <c r="R83" s="29"/>
      <c r="S83" s="29"/>
      <c r="T83" s="1856"/>
      <c r="U83" s="89" t="e">
        <f t="shared" si="37"/>
        <v>#DIV/0!</v>
      </c>
      <c r="V83" s="27"/>
      <c r="W83" s="27"/>
      <c r="X83" s="27"/>
      <c r="Y83" s="699" t="s">
        <v>968</v>
      </c>
    </row>
    <row r="84" spans="1:25" ht="22.5" customHeight="1" thickTop="1" thickBot="1">
      <c r="A84" s="711" t="s">
        <v>127</v>
      </c>
      <c r="B84" s="712" t="s">
        <v>129</v>
      </c>
      <c r="C84" s="712" t="s">
        <v>134</v>
      </c>
      <c r="D84" s="712" t="s">
        <v>140</v>
      </c>
      <c r="E84" s="712"/>
      <c r="F84" s="713"/>
      <c r="G84" s="713"/>
      <c r="H84" s="713"/>
      <c r="I84" s="713"/>
      <c r="J84" s="714" t="s">
        <v>151</v>
      </c>
      <c r="K84" s="724">
        <f>+K85+K97</f>
        <v>0</v>
      </c>
      <c r="L84" s="724">
        <f>+L85+L97</f>
        <v>0</v>
      </c>
      <c r="M84" s="724">
        <f>+M85+M97</f>
        <v>0</v>
      </c>
      <c r="N84" s="1852">
        <f t="shared" si="36"/>
        <v>0</v>
      </c>
      <c r="O84" s="724">
        <f t="shared" ref="O84:T84" si="43">+O85+O97</f>
        <v>0</v>
      </c>
      <c r="P84" s="724">
        <f t="shared" si="43"/>
        <v>0</v>
      </c>
      <c r="Q84" s="724">
        <f t="shared" si="43"/>
        <v>0</v>
      </c>
      <c r="R84" s="724">
        <f t="shared" si="43"/>
        <v>0</v>
      </c>
      <c r="S84" s="724">
        <f>+S85+S97</f>
        <v>0</v>
      </c>
      <c r="T84" s="1852">
        <f t="shared" si="43"/>
        <v>0</v>
      </c>
      <c r="U84" s="716" t="e">
        <f t="shared" si="37"/>
        <v>#DIV/0!</v>
      </c>
      <c r="V84" s="712"/>
      <c r="W84" s="711" t="s">
        <v>1024</v>
      </c>
      <c r="X84" s="711" t="s">
        <v>1025</v>
      </c>
      <c r="Y84" s="699" t="s">
        <v>968</v>
      </c>
    </row>
    <row r="85" spans="1:25" s="1" customFormat="1" ht="22.5" customHeight="1" thickTop="1" thickBot="1">
      <c r="A85" s="720" t="s">
        <v>127</v>
      </c>
      <c r="B85" s="720" t="s">
        <v>129</v>
      </c>
      <c r="C85" s="694" t="s">
        <v>134</v>
      </c>
      <c r="D85" s="694" t="s">
        <v>140</v>
      </c>
      <c r="E85" s="694" t="s">
        <v>129</v>
      </c>
      <c r="F85" s="694"/>
      <c r="G85" s="694"/>
      <c r="H85" s="88"/>
      <c r="I85" s="88"/>
      <c r="J85" s="717" t="s">
        <v>152</v>
      </c>
      <c r="K85" s="725">
        <f>+K86+K94</f>
        <v>0</v>
      </c>
      <c r="L85" s="725">
        <f>+L86+L94</f>
        <v>0</v>
      </c>
      <c r="M85" s="725">
        <f>+M86+M94</f>
        <v>0</v>
      </c>
      <c r="N85" s="1854">
        <f t="shared" si="36"/>
        <v>0</v>
      </c>
      <c r="O85" s="725">
        <f t="shared" ref="O85:T85" si="44">+O86+O94</f>
        <v>0</v>
      </c>
      <c r="P85" s="725">
        <f t="shared" si="44"/>
        <v>0</v>
      </c>
      <c r="Q85" s="725">
        <f t="shared" si="44"/>
        <v>0</v>
      </c>
      <c r="R85" s="725">
        <f t="shared" si="44"/>
        <v>0</v>
      </c>
      <c r="S85" s="725">
        <f>+S86+S94</f>
        <v>0</v>
      </c>
      <c r="T85" s="1854">
        <f t="shared" si="44"/>
        <v>0</v>
      </c>
      <c r="U85" s="723" t="e">
        <f t="shared" si="37"/>
        <v>#DIV/0!</v>
      </c>
      <c r="V85" s="694"/>
      <c r="W85" s="720" t="s">
        <v>1063</v>
      </c>
      <c r="X85" s="720"/>
      <c r="Y85" s="699" t="s">
        <v>968</v>
      </c>
    </row>
    <row r="86" spans="1:25" s="1" customFormat="1" ht="22.5" customHeight="1" thickTop="1" thickBot="1">
      <c r="A86" s="27" t="s">
        <v>127</v>
      </c>
      <c r="B86" s="27" t="s">
        <v>129</v>
      </c>
      <c r="C86" s="88" t="s">
        <v>134</v>
      </c>
      <c r="D86" s="88" t="s">
        <v>140</v>
      </c>
      <c r="E86" s="27" t="s">
        <v>129</v>
      </c>
      <c r="F86" s="694" t="s">
        <v>129</v>
      </c>
      <c r="G86" s="694"/>
      <c r="H86" s="88"/>
      <c r="I86" s="88"/>
      <c r="J86" s="717" t="s">
        <v>153</v>
      </c>
      <c r="K86" s="725">
        <f>+K87</f>
        <v>0</v>
      </c>
      <c r="L86" s="725">
        <f>+L87</f>
        <v>0</v>
      </c>
      <c r="M86" s="725">
        <f>+M87</f>
        <v>0</v>
      </c>
      <c r="N86" s="1854">
        <f t="shared" si="36"/>
        <v>0</v>
      </c>
      <c r="O86" s="725">
        <f t="shared" ref="O86:T86" si="45">+O87</f>
        <v>0</v>
      </c>
      <c r="P86" s="725">
        <f t="shared" si="45"/>
        <v>0</v>
      </c>
      <c r="Q86" s="725">
        <f t="shared" si="45"/>
        <v>0</v>
      </c>
      <c r="R86" s="725">
        <f t="shared" si="45"/>
        <v>0</v>
      </c>
      <c r="S86" s="725">
        <f>+S87</f>
        <v>0</v>
      </c>
      <c r="T86" s="1854">
        <f t="shared" si="45"/>
        <v>0</v>
      </c>
      <c r="U86" s="723" t="e">
        <f t="shared" si="37"/>
        <v>#DIV/0!</v>
      </c>
      <c r="V86" s="694"/>
      <c r="W86" s="720"/>
      <c r="X86" s="720"/>
      <c r="Y86" s="699"/>
    </row>
    <row r="87" spans="1:25" ht="22.5" customHeight="1" thickTop="1" thickBot="1">
      <c r="A87" s="27" t="s">
        <v>127</v>
      </c>
      <c r="B87" s="27" t="s">
        <v>129</v>
      </c>
      <c r="C87" s="88" t="s">
        <v>134</v>
      </c>
      <c r="D87" s="88" t="s">
        <v>140</v>
      </c>
      <c r="E87" s="27" t="s">
        <v>129</v>
      </c>
      <c r="F87" s="88" t="s">
        <v>129</v>
      </c>
      <c r="G87" s="694" t="s">
        <v>129</v>
      </c>
      <c r="H87" s="88"/>
      <c r="I87" s="88"/>
      <c r="J87" s="717" t="s">
        <v>1064</v>
      </c>
      <c r="K87" s="725">
        <f>+K88+K91</f>
        <v>0</v>
      </c>
      <c r="L87" s="725">
        <f>+L88+L91</f>
        <v>0</v>
      </c>
      <c r="M87" s="725">
        <f>+M88+M91</f>
        <v>0</v>
      </c>
      <c r="N87" s="1854">
        <f t="shared" si="36"/>
        <v>0</v>
      </c>
      <c r="O87" s="725">
        <f t="shared" ref="O87:T87" si="46">+O88+O91</f>
        <v>0</v>
      </c>
      <c r="P87" s="725">
        <f t="shared" si="46"/>
        <v>0</v>
      </c>
      <c r="Q87" s="725">
        <f t="shared" si="46"/>
        <v>0</v>
      </c>
      <c r="R87" s="725">
        <f t="shared" si="46"/>
        <v>0</v>
      </c>
      <c r="S87" s="725">
        <f>+S88+S91</f>
        <v>0</v>
      </c>
      <c r="T87" s="1854">
        <f t="shared" si="46"/>
        <v>0</v>
      </c>
      <c r="U87" s="723" t="e">
        <f t="shared" si="37"/>
        <v>#DIV/0!</v>
      </c>
      <c r="V87" s="694"/>
      <c r="W87" s="27" t="s">
        <v>1027</v>
      </c>
      <c r="X87" s="27"/>
      <c r="Y87" s="699" t="s">
        <v>968</v>
      </c>
    </row>
    <row r="88" spans="1:25" ht="22.5" customHeight="1" thickTop="1" thickBot="1">
      <c r="A88" s="27" t="s">
        <v>127</v>
      </c>
      <c r="B88" s="27" t="s">
        <v>129</v>
      </c>
      <c r="C88" s="88" t="s">
        <v>134</v>
      </c>
      <c r="D88" s="88" t="s">
        <v>140</v>
      </c>
      <c r="E88" s="27" t="s">
        <v>129</v>
      </c>
      <c r="F88" s="88" t="s">
        <v>129</v>
      </c>
      <c r="G88" s="88" t="s">
        <v>129</v>
      </c>
      <c r="H88" s="88" t="s">
        <v>129</v>
      </c>
      <c r="I88" s="88"/>
      <c r="J88" s="717" t="s">
        <v>1065</v>
      </c>
      <c r="K88" s="29">
        <f>+K89+K90</f>
        <v>0</v>
      </c>
      <c r="L88" s="29">
        <f>+L89+L90</f>
        <v>0</v>
      </c>
      <c r="M88" s="29">
        <f>+M89+M90</f>
        <v>0</v>
      </c>
      <c r="N88" s="1856">
        <f t="shared" si="36"/>
        <v>0</v>
      </c>
      <c r="O88" s="29">
        <f t="shared" ref="O88:T88" si="47">+O89+O90</f>
        <v>0</v>
      </c>
      <c r="P88" s="29">
        <f t="shared" si="47"/>
        <v>0</v>
      </c>
      <c r="Q88" s="29">
        <f t="shared" si="47"/>
        <v>0</v>
      </c>
      <c r="R88" s="29">
        <f t="shared" si="47"/>
        <v>0</v>
      </c>
      <c r="S88" s="29">
        <f>+S89+S90</f>
        <v>0</v>
      </c>
      <c r="T88" s="1856">
        <f t="shared" si="47"/>
        <v>0</v>
      </c>
      <c r="U88" s="723" t="e">
        <f t="shared" si="37"/>
        <v>#DIV/0!</v>
      </c>
      <c r="V88" s="694"/>
      <c r="W88" s="27"/>
      <c r="X88" s="27"/>
      <c r="Y88" s="699" t="s">
        <v>968</v>
      </c>
    </row>
    <row r="89" spans="1:25" ht="22.5" customHeight="1" thickTop="1" thickBot="1">
      <c r="A89" s="27" t="s">
        <v>127</v>
      </c>
      <c r="B89" s="27" t="s">
        <v>129</v>
      </c>
      <c r="C89" s="88" t="s">
        <v>134</v>
      </c>
      <c r="D89" s="88" t="s">
        <v>140</v>
      </c>
      <c r="E89" s="27" t="s">
        <v>129</v>
      </c>
      <c r="F89" s="88" t="s">
        <v>129</v>
      </c>
      <c r="G89" s="88" t="s">
        <v>129</v>
      </c>
      <c r="H89" s="88" t="s">
        <v>129</v>
      </c>
      <c r="I89" s="88" t="s">
        <v>129</v>
      </c>
      <c r="J89" s="86" t="s">
        <v>1066</v>
      </c>
      <c r="K89" s="29"/>
      <c r="L89" s="29"/>
      <c r="M89" s="29"/>
      <c r="N89" s="1856">
        <f t="shared" si="36"/>
        <v>0</v>
      </c>
      <c r="O89" s="29"/>
      <c r="P89" s="29"/>
      <c r="Q89" s="29"/>
      <c r="R89" s="29"/>
      <c r="S89" s="29"/>
      <c r="T89" s="1856"/>
      <c r="U89" s="89" t="e">
        <f t="shared" si="37"/>
        <v>#DIV/0!</v>
      </c>
      <c r="V89" s="694"/>
      <c r="W89" s="27"/>
      <c r="X89" s="27"/>
      <c r="Y89" s="699"/>
    </row>
    <row r="90" spans="1:25" ht="22.5" customHeight="1" thickTop="1" thickBot="1">
      <c r="A90" s="27" t="s">
        <v>127</v>
      </c>
      <c r="B90" s="27" t="s">
        <v>129</v>
      </c>
      <c r="C90" s="88" t="s">
        <v>134</v>
      </c>
      <c r="D90" s="88" t="s">
        <v>140</v>
      </c>
      <c r="E90" s="27" t="s">
        <v>129</v>
      </c>
      <c r="F90" s="88" t="s">
        <v>129</v>
      </c>
      <c r="G90" s="88" t="s">
        <v>129</v>
      </c>
      <c r="H90" s="88" t="s">
        <v>129</v>
      </c>
      <c r="I90" s="88" t="s">
        <v>134</v>
      </c>
      <c r="J90" s="86" t="s">
        <v>1067</v>
      </c>
      <c r="K90" s="29"/>
      <c r="L90" s="29"/>
      <c r="M90" s="29"/>
      <c r="N90" s="1856">
        <f t="shared" si="36"/>
        <v>0</v>
      </c>
      <c r="O90" s="29"/>
      <c r="P90" s="29"/>
      <c r="Q90" s="29"/>
      <c r="R90" s="29"/>
      <c r="S90" s="29"/>
      <c r="T90" s="1856"/>
      <c r="U90" s="89" t="e">
        <f t="shared" si="37"/>
        <v>#DIV/0!</v>
      </c>
      <c r="V90" s="694"/>
      <c r="W90" s="27"/>
      <c r="X90" s="27"/>
      <c r="Y90" s="699"/>
    </row>
    <row r="91" spans="1:25" ht="22.5" customHeight="1" thickTop="1" thickBot="1">
      <c r="A91" s="27" t="s">
        <v>127</v>
      </c>
      <c r="B91" s="27" t="s">
        <v>129</v>
      </c>
      <c r="C91" s="88" t="s">
        <v>134</v>
      </c>
      <c r="D91" s="88" t="s">
        <v>140</v>
      </c>
      <c r="E91" s="27" t="s">
        <v>129</v>
      </c>
      <c r="F91" s="88" t="s">
        <v>129</v>
      </c>
      <c r="G91" s="88" t="s">
        <v>129</v>
      </c>
      <c r="H91" s="88" t="s">
        <v>134</v>
      </c>
      <c r="I91" s="88"/>
      <c r="J91" s="717" t="s">
        <v>1068</v>
      </c>
      <c r="K91" s="29">
        <f>+K92+K93</f>
        <v>0</v>
      </c>
      <c r="L91" s="29">
        <f>+L92+L93</f>
        <v>0</v>
      </c>
      <c r="M91" s="29">
        <f>+M92+M93</f>
        <v>0</v>
      </c>
      <c r="N91" s="1856">
        <f t="shared" si="36"/>
        <v>0</v>
      </c>
      <c r="O91" s="29">
        <f t="shared" ref="O91:T91" si="48">+O92+O93</f>
        <v>0</v>
      </c>
      <c r="P91" s="29">
        <f t="shared" si="48"/>
        <v>0</v>
      </c>
      <c r="Q91" s="29">
        <f t="shared" si="48"/>
        <v>0</v>
      </c>
      <c r="R91" s="29">
        <f t="shared" si="48"/>
        <v>0</v>
      </c>
      <c r="S91" s="29">
        <f>+S92+S93</f>
        <v>0</v>
      </c>
      <c r="T91" s="1856">
        <f t="shared" si="48"/>
        <v>0</v>
      </c>
      <c r="U91" s="723" t="e">
        <f t="shared" si="37"/>
        <v>#DIV/0!</v>
      </c>
      <c r="V91" s="694"/>
      <c r="W91" s="27"/>
      <c r="X91" s="27"/>
      <c r="Y91" s="699" t="s">
        <v>968</v>
      </c>
    </row>
    <row r="92" spans="1:25" ht="22.5" customHeight="1" thickTop="1" thickBot="1">
      <c r="A92" s="27" t="s">
        <v>127</v>
      </c>
      <c r="B92" s="27" t="s">
        <v>129</v>
      </c>
      <c r="C92" s="88" t="s">
        <v>134</v>
      </c>
      <c r="D92" s="88" t="s">
        <v>140</v>
      </c>
      <c r="E92" s="27" t="s">
        <v>129</v>
      </c>
      <c r="F92" s="88" t="s">
        <v>129</v>
      </c>
      <c r="G92" s="88" t="s">
        <v>129</v>
      </c>
      <c r="H92" s="88" t="s">
        <v>134</v>
      </c>
      <c r="I92" s="88" t="s">
        <v>129</v>
      </c>
      <c r="J92" s="86" t="s">
        <v>1069</v>
      </c>
      <c r="K92" s="29"/>
      <c r="L92" s="29"/>
      <c r="M92" s="29"/>
      <c r="N92" s="1856">
        <f t="shared" si="36"/>
        <v>0</v>
      </c>
      <c r="O92" s="29"/>
      <c r="P92" s="29"/>
      <c r="Q92" s="29"/>
      <c r="R92" s="29"/>
      <c r="S92" s="29"/>
      <c r="T92" s="1856"/>
      <c r="U92" s="89" t="e">
        <f t="shared" si="37"/>
        <v>#DIV/0!</v>
      </c>
      <c r="V92" s="694"/>
      <c r="W92" s="27"/>
      <c r="X92" s="27"/>
      <c r="Y92" s="699"/>
    </row>
    <row r="93" spans="1:25" ht="22.5" customHeight="1" thickTop="1" thickBot="1">
      <c r="A93" s="27" t="s">
        <v>127</v>
      </c>
      <c r="B93" s="27" t="s">
        <v>129</v>
      </c>
      <c r="C93" s="88" t="s">
        <v>134</v>
      </c>
      <c r="D93" s="88" t="s">
        <v>140</v>
      </c>
      <c r="E93" s="27" t="s">
        <v>129</v>
      </c>
      <c r="F93" s="88" t="s">
        <v>129</v>
      </c>
      <c r="G93" s="88" t="s">
        <v>129</v>
      </c>
      <c r="H93" s="88" t="s">
        <v>134</v>
      </c>
      <c r="I93" s="88" t="s">
        <v>134</v>
      </c>
      <c r="J93" s="86" t="s">
        <v>1070</v>
      </c>
      <c r="K93" s="29"/>
      <c r="L93" s="29"/>
      <c r="M93" s="29"/>
      <c r="N93" s="1856">
        <f t="shared" si="36"/>
        <v>0</v>
      </c>
      <c r="O93" s="29"/>
      <c r="P93" s="29"/>
      <c r="Q93" s="29"/>
      <c r="R93" s="29"/>
      <c r="S93" s="29"/>
      <c r="T93" s="1856"/>
      <c r="U93" s="89" t="e">
        <f t="shared" si="37"/>
        <v>#DIV/0!</v>
      </c>
      <c r="V93" s="694"/>
      <c r="W93" s="27"/>
      <c r="X93" s="27"/>
      <c r="Y93" s="699"/>
    </row>
    <row r="94" spans="1:25" ht="22.5" customHeight="1" thickTop="1" thickBot="1">
      <c r="A94" s="27" t="s">
        <v>127</v>
      </c>
      <c r="B94" s="27" t="s">
        <v>129</v>
      </c>
      <c r="C94" s="88" t="s">
        <v>134</v>
      </c>
      <c r="D94" s="88" t="s">
        <v>140</v>
      </c>
      <c r="E94" s="27" t="s">
        <v>129</v>
      </c>
      <c r="F94" s="694" t="s">
        <v>134</v>
      </c>
      <c r="G94" s="88"/>
      <c r="H94" s="88"/>
      <c r="I94" s="88"/>
      <c r="J94" s="717" t="s">
        <v>1071</v>
      </c>
      <c r="K94" s="29">
        <f>+K95+K96</f>
        <v>0</v>
      </c>
      <c r="L94" s="29">
        <f>+L95+L96</f>
        <v>0</v>
      </c>
      <c r="M94" s="29">
        <f>+M95+M96</f>
        <v>0</v>
      </c>
      <c r="N94" s="1856">
        <f t="shared" si="36"/>
        <v>0</v>
      </c>
      <c r="O94" s="29">
        <f t="shared" ref="O94:T94" si="49">+O95+O96</f>
        <v>0</v>
      </c>
      <c r="P94" s="29">
        <f t="shared" si="49"/>
        <v>0</v>
      </c>
      <c r="Q94" s="29">
        <f t="shared" si="49"/>
        <v>0</v>
      </c>
      <c r="R94" s="29">
        <f t="shared" si="49"/>
        <v>0</v>
      </c>
      <c r="S94" s="29">
        <f>+S95+S96</f>
        <v>0</v>
      </c>
      <c r="T94" s="1856">
        <f t="shared" si="49"/>
        <v>0</v>
      </c>
      <c r="U94" s="723" t="e">
        <f t="shared" si="37"/>
        <v>#DIV/0!</v>
      </c>
      <c r="V94" s="694"/>
      <c r="W94" s="27"/>
      <c r="X94" s="27"/>
      <c r="Y94" s="699"/>
    </row>
    <row r="95" spans="1:25" ht="22.5" customHeight="1" thickTop="1" thickBot="1">
      <c r="A95" s="27" t="s">
        <v>127</v>
      </c>
      <c r="B95" s="27" t="s">
        <v>129</v>
      </c>
      <c r="C95" s="88" t="s">
        <v>134</v>
      </c>
      <c r="D95" s="88" t="s">
        <v>140</v>
      </c>
      <c r="E95" s="27" t="s">
        <v>129</v>
      </c>
      <c r="F95" s="88" t="s">
        <v>134</v>
      </c>
      <c r="G95" s="694" t="s">
        <v>129</v>
      </c>
      <c r="H95" s="88"/>
      <c r="I95" s="88"/>
      <c r="J95" s="86" t="s">
        <v>1072</v>
      </c>
      <c r="K95" s="29"/>
      <c r="L95" s="29"/>
      <c r="M95" s="29"/>
      <c r="N95" s="1856">
        <f t="shared" si="36"/>
        <v>0</v>
      </c>
      <c r="O95" s="29"/>
      <c r="P95" s="29"/>
      <c r="Q95" s="29"/>
      <c r="R95" s="29"/>
      <c r="S95" s="29"/>
      <c r="T95" s="1856"/>
      <c r="U95" s="89" t="e">
        <f t="shared" si="37"/>
        <v>#DIV/0!</v>
      </c>
      <c r="V95" s="694"/>
      <c r="W95" s="27"/>
      <c r="X95" s="27"/>
      <c r="Y95" s="699"/>
    </row>
    <row r="96" spans="1:25" ht="22.5" customHeight="1" thickTop="1" thickBot="1">
      <c r="A96" s="27" t="s">
        <v>127</v>
      </c>
      <c r="B96" s="27" t="s">
        <v>129</v>
      </c>
      <c r="C96" s="88" t="s">
        <v>134</v>
      </c>
      <c r="D96" s="88" t="s">
        <v>140</v>
      </c>
      <c r="E96" s="27" t="s">
        <v>129</v>
      </c>
      <c r="F96" s="88" t="s">
        <v>134</v>
      </c>
      <c r="G96" s="694" t="s">
        <v>134</v>
      </c>
      <c r="H96" s="88"/>
      <c r="I96" s="88"/>
      <c r="J96" s="86" t="s">
        <v>1073</v>
      </c>
      <c r="K96" s="29"/>
      <c r="L96" s="29"/>
      <c r="M96" s="29"/>
      <c r="N96" s="1856">
        <f t="shared" si="36"/>
        <v>0</v>
      </c>
      <c r="O96" s="29"/>
      <c r="P96" s="29"/>
      <c r="Q96" s="29"/>
      <c r="R96" s="29"/>
      <c r="S96" s="29"/>
      <c r="T96" s="1856"/>
      <c r="U96" s="89" t="e">
        <f t="shared" si="37"/>
        <v>#DIV/0!</v>
      </c>
      <c r="V96" s="694"/>
      <c r="W96" s="27"/>
      <c r="X96" s="27"/>
      <c r="Y96" s="699"/>
    </row>
    <row r="97" spans="1:25" s="1" customFormat="1" ht="22.5" customHeight="1" thickTop="1" thickBot="1">
      <c r="A97" s="720" t="s">
        <v>127</v>
      </c>
      <c r="B97" s="720" t="s">
        <v>129</v>
      </c>
      <c r="C97" s="694" t="s">
        <v>134</v>
      </c>
      <c r="D97" s="694" t="s">
        <v>140</v>
      </c>
      <c r="E97" s="694" t="s">
        <v>134</v>
      </c>
      <c r="F97" s="694"/>
      <c r="G97" s="694"/>
      <c r="H97" s="88"/>
      <c r="I97" s="88"/>
      <c r="J97" s="717" t="s">
        <v>1074</v>
      </c>
      <c r="K97" s="726">
        <f>+K98+K101+K104+K107</f>
        <v>0</v>
      </c>
      <c r="L97" s="726">
        <f>+L98+L101+L104+L107</f>
        <v>0</v>
      </c>
      <c r="M97" s="726">
        <f>+M98+M101+M104+M107</f>
        <v>0</v>
      </c>
      <c r="N97" s="1843">
        <f t="shared" si="36"/>
        <v>0</v>
      </c>
      <c r="O97" s="726">
        <f t="shared" ref="O97:T97" si="50">+O98+O101+O104+O107</f>
        <v>0</v>
      </c>
      <c r="P97" s="726">
        <f t="shared" si="50"/>
        <v>0</v>
      </c>
      <c r="Q97" s="726">
        <f t="shared" si="50"/>
        <v>0</v>
      </c>
      <c r="R97" s="726">
        <f t="shared" si="50"/>
        <v>0</v>
      </c>
      <c r="S97" s="726">
        <f>+S98+S101+S104+S107</f>
        <v>0</v>
      </c>
      <c r="T97" s="1843">
        <f t="shared" si="50"/>
        <v>0</v>
      </c>
      <c r="U97" s="719" t="e">
        <f t="shared" si="37"/>
        <v>#DIV/0!</v>
      </c>
      <c r="V97" s="694"/>
      <c r="W97" s="720" t="s">
        <v>1075</v>
      </c>
      <c r="X97" s="720"/>
      <c r="Y97" s="699" t="s">
        <v>968</v>
      </c>
    </row>
    <row r="98" spans="1:25" ht="22.5" customHeight="1" thickTop="1" thickBot="1">
      <c r="A98" s="88" t="s">
        <v>127</v>
      </c>
      <c r="B98" s="27" t="s">
        <v>129</v>
      </c>
      <c r="C98" s="88" t="s">
        <v>134</v>
      </c>
      <c r="D98" s="88" t="s">
        <v>140</v>
      </c>
      <c r="E98" s="88" t="s">
        <v>134</v>
      </c>
      <c r="F98" s="694" t="s">
        <v>129</v>
      </c>
      <c r="G98" s="88"/>
      <c r="H98" s="88"/>
      <c r="I98" s="88"/>
      <c r="J98" s="717" t="s">
        <v>154</v>
      </c>
      <c r="K98" s="725">
        <f t="shared" ref="K98:T98" si="51">+K99+K100</f>
        <v>0</v>
      </c>
      <c r="L98" s="725">
        <f>+L99+L100</f>
        <v>0</v>
      </c>
      <c r="M98" s="725">
        <f>+M99+M100</f>
        <v>0</v>
      </c>
      <c r="N98" s="1854">
        <f t="shared" si="36"/>
        <v>0</v>
      </c>
      <c r="O98" s="725">
        <f t="shared" si="51"/>
        <v>0</v>
      </c>
      <c r="P98" s="725">
        <f t="shared" si="51"/>
        <v>0</v>
      </c>
      <c r="Q98" s="725">
        <f t="shared" si="51"/>
        <v>0</v>
      </c>
      <c r="R98" s="725">
        <f t="shared" si="51"/>
        <v>0</v>
      </c>
      <c r="S98" s="725">
        <f t="shared" si="51"/>
        <v>0</v>
      </c>
      <c r="T98" s="1854">
        <f t="shared" si="51"/>
        <v>0</v>
      </c>
      <c r="U98" s="723" t="e">
        <f t="shared" si="37"/>
        <v>#DIV/0!</v>
      </c>
      <c r="V98" s="694"/>
      <c r="W98" s="27" t="s">
        <v>1076</v>
      </c>
      <c r="X98" s="27" t="s">
        <v>1077</v>
      </c>
      <c r="Y98" s="699" t="s">
        <v>968</v>
      </c>
    </row>
    <row r="99" spans="1:25" ht="22.5" customHeight="1" thickTop="1" thickBot="1">
      <c r="A99" s="27" t="s">
        <v>127</v>
      </c>
      <c r="B99" s="27" t="s">
        <v>129</v>
      </c>
      <c r="C99" s="88" t="s">
        <v>134</v>
      </c>
      <c r="D99" s="88" t="s">
        <v>140</v>
      </c>
      <c r="E99" s="88" t="s">
        <v>134</v>
      </c>
      <c r="F99" s="88" t="s">
        <v>129</v>
      </c>
      <c r="G99" s="694" t="s">
        <v>129</v>
      </c>
      <c r="H99" s="88"/>
      <c r="I99" s="88"/>
      <c r="J99" s="86" t="s">
        <v>1078</v>
      </c>
      <c r="K99" s="29"/>
      <c r="L99" s="29"/>
      <c r="M99" s="29"/>
      <c r="N99" s="1856">
        <f t="shared" si="36"/>
        <v>0</v>
      </c>
      <c r="O99" s="29"/>
      <c r="P99" s="29"/>
      <c r="Q99" s="29"/>
      <c r="R99" s="29"/>
      <c r="S99" s="29"/>
      <c r="T99" s="1856"/>
      <c r="U99" s="89" t="e">
        <f t="shared" si="37"/>
        <v>#DIV/0!</v>
      </c>
      <c r="V99" s="694"/>
      <c r="W99" s="27"/>
      <c r="X99" s="27"/>
      <c r="Y99" s="699" t="s">
        <v>968</v>
      </c>
    </row>
    <row r="100" spans="1:25" ht="22.5" customHeight="1" thickTop="1" thickBot="1">
      <c r="A100" s="27" t="s">
        <v>127</v>
      </c>
      <c r="B100" s="27" t="s">
        <v>129</v>
      </c>
      <c r="C100" s="88" t="s">
        <v>134</v>
      </c>
      <c r="D100" s="88" t="s">
        <v>140</v>
      </c>
      <c r="E100" s="88" t="s">
        <v>134</v>
      </c>
      <c r="F100" s="88" t="s">
        <v>129</v>
      </c>
      <c r="G100" s="694" t="s">
        <v>134</v>
      </c>
      <c r="H100" s="88"/>
      <c r="I100" s="88"/>
      <c r="J100" s="86" t="s">
        <v>1079</v>
      </c>
      <c r="K100" s="29"/>
      <c r="L100" s="29"/>
      <c r="M100" s="29"/>
      <c r="N100" s="1856">
        <f t="shared" si="36"/>
        <v>0</v>
      </c>
      <c r="O100" s="29"/>
      <c r="P100" s="29"/>
      <c r="Q100" s="29"/>
      <c r="R100" s="29"/>
      <c r="S100" s="29"/>
      <c r="T100" s="1856"/>
      <c r="U100" s="89" t="e">
        <f t="shared" si="37"/>
        <v>#DIV/0!</v>
      </c>
      <c r="V100" s="694"/>
      <c r="W100" s="27"/>
      <c r="X100" s="27"/>
      <c r="Y100" s="699" t="s">
        <v>968</v>
      </c>
    </row>
    <row r="101" spans="1:25" ht="22.5" customHeight="1" thickTop="1" thickBot="1">
      <c r="A101" s="27" t="s">
        <v>127</v>
      </c>
      <c r="B101" s="27" t="s">
        <v>129</v>
      </c>
      <c r="C101" s="88" t="s">
        <v>134</v>
      </c>
      <c r="D101" s="88" t="s">
        <v>140</v>
      </c>
      <c r="E101" s="88" t="s">
        <v>134</v>
      </c>
      <c r="F101" s="694" t="s">
        <v>134</v>
      </c>
      <c r="G101" s="88"/>
      <c r="H101" s="88"/>
      <c r="I101" s="88"/>
      <c r="J101" s="717" t="s">
        <v>1080</v>
      </c>
      <c r="K101" s="725">
        <f t="shared" ref="K101:T101" si="52">+K102+K103</f>
        <v>0</v>
      </c>
      <c r="L101" s="725">
        <f>+L102+L103</f>
        <v>0</v>
      </c>
      <c r="M101" s="725">
        <f>+M102+M103</f>
        <v>0</v>
      </c>
      <c r="N101" s="1854">
        <f t="shared" si="36"/>
        <v>0</v>
      </c>
      <c r="O101" s="725">
        <f t="shared" si="52"/>
        <v>0</v>
      </c>
      <c r="P101" s="725">
        <f t="shared" si="52"/>
        <v>0</v>
      </c>
      <c r="Q101" s="725">
        <f t="shared" si="52"/>
        <v>0</v>
      </c>
      <c r="R101" s="725">
        <f t="shared" si="52"/>
        <v>0</v>
      </c>
      <c r="S101" s="725">
        <f t="shared" si="52"/>
        <v>0</v>
      </c>
      <c r="T101" s="1854">
        <f t="shared" si="52"/>
        <v>0</v>
      </c>
      <c r="U101" s="723" t="e">
        <f t="shared" si="37"/>
        <v>#DIV/0!</v>
      </c>
      <c r="V101" s="694"/>
      <c r="W101" s="27"/>
      <c r="X101" s="27"/>
      <c r="Y101" s="699" t="s">
        <v>968</v>
      </c>
    </row>
    <row r="102" spans="1:25" ht="22.5" customHeight="1" thickTop="1" thickBot="1">
      <c r="A102" s="27" t="s">
        <v>127</v>
      </c>
      <c r="B102" s="27" t="s">
        <v>129</v>
      </c>
      <c r="C102" s="88" t="s">
        <v>134</v>
      </c>
      <c r="D102" s="88" t="s">
        <v>140</v>
      </c>
      <c r="E102" s="88" t="s">
        <v>134</v>
      </c>
      <c r="F102" s="88" t="s">
        <v>134</v>
      </c>
      <c r="G102" s="694" t="s">
        <v>129</v>
      </c>
      <c r="H102" s="88"/>
      <c r="I102" s="88"/>
      <c r="J102" s="86" t="s">
        <v>1081</v>
      </c>
      <c r="K102" s="29"/>
      <c r="L102" s="29"/>
      <c r="M102" s="29"/>
      <c r="N102" s="1856">
        <f t="shared" si="36"/>
        <v>0</v>
      </c>
      <c r="O102" s="29"/>
      <c r="P102" s="29"/>
      <c r="Q102" s="29"/>
      <c r="R102" s="29"/>
      <c r="S102" s="29"/>
      <c r="T102" s="1856"/>
      <c r="U102" s="89" t="e">
        <f t="shared" si="37"/>
        <v>#DIV/0!</v>
      </c>
      <c r="V102" s="694"/>
      <c r="W102" s="27"/>
      <c r="X102" s="27"/>
      <c r="Y102" s="699" t="s">
        <v>968</v>
      </c>
    </row>
    <row r="103" spans="1:25" ht="22.5" customHeight="1" thickTop="1" thickBot="1">
      <c r="A103" s="27" t="s">
        <v>127</v>
      </c>
      <c r="B103" s="27" t="s">
        <v>129</v>
      </c>
      <c r="C103" s="88" t="s">
        <v>134</v>
      </c>
      <c r="D103" s="88" t="s">
        <v>140</v>
      </c>
      <c r="E103" s="88" t="s">
        <v>134</v>
      </c>
      <c r="F103" s="88" t="s">
        <v>134</v>
      </c>
      <c r="G103" s="694" t="s">
        <v>134</v>
      </c>
      <c r="H103" s="88"/>
      <c r="I103" s="88"/>
      <c r="J103" s="86" t="s">
        <v>1082</v>
      </c>
      <c r="K103" s="29"/>
      <c r="L103" s="29"/>
      <c r="M103" s="29"/>
      <c r="N103" s="1856">
        <f t="shared" si="36"/>
        <v>0</v>
      </c>
      <c r="O103" s="29"/>
      <c r="P103" s="29"/>
      <c r="Q103" s="29"/>
      <c r="R103" s="29"/>
      <c r="S103" s="29"/>
      <c r="T103" s="1856"/>
      <c r="U103" s="89" t="e">
        <f t="shared" si="37"/>
        <v>#DIV/0!</v>
      </c>
      <c r="V103" s="694"/>
      <c r="W103" s="27"/>
      <c r="X103" s="27"/>
      <c r="Y103" s="699" t="s">
        <v>968</v>
      </c>
    </row>
    <row r="104" spans="1:25" ht="22.5" customHeight="1" thickTop="1" thickBot="1">
      <c r="A104" s="27" t="s">
        <v>127</v>
      </c>
      <c r="B104" s="27" t="s">
        <v>129</v>
      </c>
      <c r="C104" s="88" t="s">
        <v>134</v>
      </c>
      <c r="D104" s="88" t="s">
        <v>140</v>
      </c>
      <c r="E104" s="88" t="s">
        <v>134</v>
      </c>
      <c r="F104" s="694" t="s">
        <v>139</v>
      </c>
      <c r="G104" s="88"/>
      <c r="H104" s="88"/>
      <c r="I104" s="88"/>
      <c r="J104" s="717" t="s">
        <v>1083</v>
      </c>
      <c r="K104" s="725">
        <f t="shared" ref="K104:T104" si="53">+K105+K106</f>
        <v>0</v>
      </c>
      <c r="L104" s="725">
        <f>+L105+L106</f>
        <v>0</v>
      </c>
      <c r="M104" s="725">
        <f>+M105+M106</f>
        <v>0</v>
      </c>
      <c r="N104" s="1854">
        <f t="shared" si="36"/>
        <v>0</v>
      </c>
      <c r="O104" s="725">
        <f t="shared" si="53"/>
        <v>0</v>
      </c>
      <c r="P104" s="725">
        <f t="shared" si="53"/>
        <v>0</v>
      </c>
      <c r="Q104" s="725">
        <f t="shared" si="53"/>
        <v>0</v>
      </c>
      <c r="R104" s="725">
        <f t="shared" si="53"/>
        <v>0</v>
      </c>
      <c r="S104" s="725">
        <f t="shared" si="53"/>
        <v>0</v>
      </c>
      <c r="T104" s="1854">
        <f t="shared" si="53"/>
        <v>0</v>
      </c>
      <c r="U104" s="723" t="e">
        <f t="shared" si="37"/>
        <v>#DIV/0!</v>
      </c>
      <c r="V104" s="694"/>
      <c r="W104" s="27"/>
      <c r="X104" s="27"/>
      <c r="Y104" s="699" t="s">
        <v>968</v>
      </c>
    </row>
    <row r="105" spans="1:25" ht="22.5" customHeight="1" thickTop="1" thickBot="1">
      <c r="A105" s="27" t="s">
        <v>127</v>
      </c>
      <c r="B105" s="27" t="s">
        <v>129</v>
      </c>
      <c r="C105" s="88" t="s">
        <v>134</v>
      </c>
      <c r="D105" s="88" t="s">
        <v>140</v>
      </c>
      <c r="E105" s="88" t="s">
        <v>134</v>
      </c>
      <c r="F105" s="88" t="s">
        <v>139</v>
      </c>
      <c r="G105" s="694" t="s">
        <v>129</v>
      </c>
      <c r="H105" s="88"/>
      <c r="I105" s="88"/>
      <c r="J105" s="86" t="s">
        <v>1084</v>
      </c>
      <c r="K105" s="29"/>
      <c r="L105" s="29"/>
      <c r="M105" s="29"/>
      <c r="N105" s="1856">
        <f t="shared" si="36"/>
        <v>0</v>
      </c>
      <c r="O105" s="29"/>
      <c r="P105" s="29"/>
      <c r="Q105" s="29"/>
      <c r="R105" s="29"/>
      <c r="S105" s="29"/>
      <c r="T105" s="1856"/>
      <c r="U105" s="89" t="e">
        <f t="shared" si="37"/>
        <v>#DIV/0!</v>
      </c>
      <c r="V105" s="694"/>
      <c r="W105" s="27"/>
      <c r="X105" s="27"/>
      <c r="Y105" s="699" t="s">
        <v>968</v>
      </c>
    </row>
    <row r="106" spans="1:25" ht="22.5" customHeight="1" thickTop="1" thickBot="1">
      <c r="A106" s="27" t="s">
        <v>127</v>
      </c>
      <c r="B106" s="27" t="s">
        <v>129</v>
      </c>
      <c r="C106" s="88" t="s">
        <v>134</v>
      </c>
      <c r="D106" s="88" t="s">
        <v>140</v>
      </c>
      <c r="E106" s="88" t="s">
        <v>134</v>
      </c>
      <c r="F106" s="88" t="s">
        <v>139</v>
      </c>
      <c r="G106" s="694" t="s">
        <v>134</v>
      </c>
      <c r="H106" s="88"/>
      <c r="I106" s="88"/>
      <c r="J106" s="86" t="s">
        <v>1085</v>
      </c>
      <c r="K106" s="29"/>
      <c r="L106" s="29"/>
      <c r="M106" s="29"/>
      <c r="N106" s="1856">
        <f t="shared" si="36"/>
        <v>0</v>
      </c>
      <c r="O106" s="29"/>
      <c r="P106" s="29"/>
      <c r="Q106" s="29"/>
      <c r="R106" s="29"/>
      <c r="S106" s="29"/>
      <c r="T106" s="1856"/>
      <c r="U106" s="89" t="e">
        <f t="shared" si="37"/>
        <v>#DIV/0!</v>
      </c>
      <c r="V106" s="694"/>
      <c r="W106" s="27"/>
      <c r="X106" s="27"/>
      <c r="Y106" s="699" t="s">
        <v>968</v>
      </c>
    </row>
    <row r="107" spans="1:25" ht="22.5" customHeight="1" thickTop="1" thickBot="1">
      <c r="A107" s="27" t="s">
        <v>127</v>
      </c>
      <c r="B107" s="27" t="s">
        <v>129</v>
      </c>
      <c r="C107" s="88" t="s">
        <v>134</v>
      </c>
      <c r="D107" s="88" t="s">
        <v>140</v>
      </c>
      <c r="E107" s="88" t="s">
        <v>134</v>
      </c>
      <c r="F107" s="694" t="s">
        <v>140</v>
      </c>
      <c r="G107" s="88"/>
      <c r="H107" s="88"/>
      <c r="I107" s="88"/>
      <c r="J107" s="717" t="s">
        <v>1086</v>
      </c>
      <c r="K107" s="725">
        <f t="shared" ref="K107:T107" si="54">+K108+K109</f>
        <v>0</v>
      </c>
      <c r="L107" s="725">
        <f>+L108+L109</f>
        <v>0</v>
      </c>
      <c r="M107" s="725">
        <f>+M108+M109</f>
        <v>0</v>
      </c>
      <c r="N107" s="1854">
        <f t="shared" si="36"/>
        <v>0</v>
      </c>
      <c r="O107" s="725">
        <f t="shared" si="54"/>
        <v>0</v>
      </c>
      <c r="P107" s="725">
        <f t="shared" si="54"/>
        <v>0</v>
      </c>
      <c r="Q107" s="725">
        <f t="shared" si="54"/>
        <v>0</v>
      </c>
      <c r="R107" s="725">
        <f t="shared" si="54"/>
        <v>0</v>
      </c>
      <c r="S107" s="725">
        <f t="shared" si="54"/>
        <v>0</v>
      </c>
      <c r="T107" s="1854">
        <f t="shared" si="54"/>
        <v>0</v>
      </c>
      <c r="U107" s="723" t="e">
        <f t="shared" si="37"/>
        <v>#DIV/0!</v>
      </c>
      <c r="V107" s="694"/>
      <c r="W107" s="27"/>
      <c r="X107" s="27"/>
      <c r="Y107" s="699" t="s">
        <v>968</v>
      </c>
    </row>
    <row r="108" spans="1:25" ht="22.5" customHeight="1" thickTop="1" thickBot="1">
      <c r="A108" s="27" t="s">
        <v>127</v>
      </c>
      <c r="B108" s="27" t="s">
        <v>129</v>
      </c>
      <c r="C108" s="88" t="s">
        <v>134</v>
      </c>
      <c r="D108" s="88" t="s">
        <v>140</v>
      </c>
      <c r="E108" s="88" t="s">
        <v>134</v>
      </c>
      <c r="F108" s="88" t="s">
        <v>140</v>
      </c>
      <c r="G108" s="694" t="s">
        <v>129</v>
      </c>
      <c r="H108" s="88"/>
      <c r="I108" s="88"/>
      <c r="J108" s="86" t="s">
        <v>1087</v>
      </c>
      <c r="K108" s="29"/>
      <c r="L108" s="29"/>
      <c r="M108" s="29"/>
      <c r="N108" s="1856">
        <f t="shared" si="36"/>
        <v>0</v>
      </c>
      <c r="O108" s="29"/>
      <c r="P108" s="29"/>
      <c r="Q108" s="29"/>
      <c r="R108" s="29"/>
      <c r="S108" s="29"/>
      <c r="T108" s="1856"/>
      <c r="U108" s="89" t="e">
        <f t="shared" si="37"/>
        <v>#DIV/0!</v>
      </c>
      <c r="V108" s="694"/>
      <c r="W108" s="27"/>
      <c r="X108" s="27"/>
      <c r="Y108" s="699" t="s">
        <v>968</v>
      </c>
    </row>
    <row r="109" spans="1:25" ht="22.5" customHeight="1" thickTop="1" thickBot="1">
      <c r="A109" s="27" t="s">
        <v>127</v>
      </c>
      <c r="B109" s="27" t="s">
        <v>129</v>
      </c>
      <c r="C109" s="88" t="s">
        <v>134</v>
      </c>
      <c r="D109" s="88" t="s">
        <v>140</v>
      </c>
      <c r="E109" s="88" t="s">
        <v>134</v>
      </c>
      <c r="F109" s="88" t="s">
        <v>140</v>
      </c>
      <c r="G109" s="694" t="s">
        <v>134</v>
      </c>
      <c r="H109" s="88"/>
      <c r="I109" s="88"/>
      <c r="J109" s="86" t="s">
        <v>1088</v>
      </c>
      <c r="K109" s="29"/>
      <c r="L109" s="29"/>
      <c r="M109" s="29"/>
      <c r="N109" s="1856">
        <f t="shared" si="36"/>
        <v>0</v>
      </c>
      <c r="O109" s="29"/>
      <c r="P109" s="29"/>
      <c r="Q109" s="29"/>
      <c r="R109" s="29"/>
      <c r="S109" s="29"/>
      <c r="T109" s="1856"/>
      <c r="U109" s="89" t="e">
        <f t="shared" si="37"/>
        <v>#DIV/0!</v>
      </c>
      <c r="V109" s="694"/>
      <c r="W109" s="27"/>
      <c r="X109" s="27"/>
      <c r="Y109" s="699" t="s">
        <v>968</v>
      </c>
    </row>
    <row r="110" spans="1:25" s="1" customFormat="1" ht="22.5" customHeight="1" thickTop="1" thickBot="1">
      <c r="A110" s="711" t="s">
        <v>127</v>
      </c>
      <c r="B110" s="712" t="s">
        <v>129</v>
      </c>
      <c r="C110" s="712" t="s">
        <v>134</v>
      </c>
      <c r="D110" s="712" t="s">
        <v>144</v>
      </c>
      <c r="E110" s="712"/>
      <c r="F110" s="712"/>
      <c r="G110" s="712"/>
      <c r="H110" s="713"/>
      <c r="I110" s="713"/>
      <c r="J110" s="714" t="s">
        <v>155</v>
      </c>
      <c r="K110" s="724">
        <f>+K112+K125+K141</f>
        <v>115450636547.27</v>
      </c>
      <c r="L110" s="724">
        <f>+L111</f>
        <v>0</v>
      </c>
      <c r="M110" s="724">
        <f>+M111</f>
        <v>0</v>
      </c>
      <c r="N110" s="1852">
        <f t="shared" si="36"/>
        <v>115450636547.27</v>
      </c>
      <c r="O110" s="724">
        <f t="shared" ref="O110:R110" si="55">+O111</f>
        <v>2361100000</v>
      </c>
      <c r="P110" s="724">
        <f t="shared" si="55"/>
        <v>106033821327.27</v>
      </c>
      <c r="Q110" s="724">
        <f t="shared" si="55"/>
        <v>0</v>
      </c>
      <c r="R110" s="724">
        <f t="shared" si="55"/>
        <v>7055715220</v>
      </c>
      <c r="S110" s="724">
        <f>+S111</f>
        <v>0</v>
      </c>
      <c r="T110" s="1852">
        <f>+T112+T125+T141</f>
        <v>101760193748</v>
      </c>
      <c r="U110" s="716" t="e">
        <f t="shared" si="37"/>
        <v>#DIV/0!</v>
      </c>
      <c r="V110" s="712"/>
      <c r="W110" s="712"/>
      <c r="X110" s="712"/>
      <c r="Y110" s="699" t="s">
        <v>968</v>
      </c>
    </row>
    <row r="111" spans="1:25" s="1" customFormat="1" ht="22.5" customHeight="1" thickTop="1" thickBot="1">
      <c r="A111" s="720" t="s">
        <v>127</v>
      </c>
      <c r="B111" s="720" t="s">
        <v>129</v>
      </c>
      <c r="C111" s="694" t="s">
        <v>134</v>
      </c>
      <c r="D111" s="694" t="s">
        <v>144</v>
      </c>
      <c r="E111" s="694" t="s">
        <v>129</v>
      </c>
      <c r="F111" s="694"/>
      <c r="G111" s="694"/>
      <c r="H111" s="88"/>
      <c r="I111" s="88"/>
      <c r="J111" s="717" t="s">
        <v>1089</v>
      </c>
      <c r="K111" s="725">
        <v>0</v>
      </c>
      <c r="L111" s="725">
        <f>L112+L125</f>
        <v>0</v>
      </c>
      <c r="M111" s="725">
        <f>M112+M125</f>
        <v>0</v>
      </c>
      <c r="N111" s="1854">
        <f t="shared" si="36"/>
        <v>0</v>
      </c>
      <c r="O111" s="725">
        <f t="shared" ref="O111:T111" si="56">O112+O125</f>
        <v>2361100000</v>
      </c>
      <c r="P111" s="725">
        <f t="shared" si="56"/>
        <v>106033821327.27</v>
      </c>
      <c r="Q111" s="725">
        <f t="shared" si="56"/>
        <v>0</v>
      </c>
      <c r="R111" s="725">
        <f t="shared" si="56"/>
        <v>7055715220</v>
      </c>
      <c r="S111" s="725">
        <f>S112+S125</f>
        <v>0</v>
      </c>
      <c r="T111" s="1854">
        <f t="shared" si="56"/>
        <v>101732193748</v>
      </c>
      <c r="U111" s="723" t="e">
        <f t="shared" si="37"/>
        <v>#DIV/0!</v>
      </c>
      <c r="V111" s="694"/>
      <c r="W111" s="720" t="s">
        <v>1090</v>
      </c>
      <c r="X111" s="720"/>
      <c r="Y111" s="699" t="s">
        <v>968</v>
      </c>
    </row>
    <row r="112" spans="1:25" ht="22.5" customHeight="1" thickTop="1" thickBot="1">
      <c r="A112" s="27" t="s">
        <v>127</v>
      </c>
      <c r="B112" s="27" t="s">
        <v>129</v>
      </c>
      <c r="C112" s="88" t="s">
        <v>134</v>
      </c>
      <c r="D112" s="88" t="s">
        <v>144</v>
      </c>
      <c r="E112" s="27" t="s">
        <v>129</v>
      </c>
      <c r="F112" s="694" t="s">
        <v>129</v>
      </c>
      <c r="G112" s="88"/>
      <c r="H112" s="88"/>
      <c r="I112" s="88"/>
      <c r="J112" s="717" t="s">
        <v>1091</v>
      </c>
      <c r="K112" s="725">
        <f>+K113+K116</f>
        <v>107839730308.27</v>
      </c>
      <c r="L112" s="725">
        <f>+L113+L116+L119+L122+L125</f>
        <v>0</v>
      </c>
      <c r="M112" s="725">
        <f>+M113+M116+M119+M122+M125</f>
        <v>0</v>
      </c>
      <c r="N112" s="1854">
        <f t="shared" si="36"/>
        <v>107839730308.27</v>
      </c>
      <c r="O112" s="725">
        <f t="shared" ref="O112:R112" si="57">+O113+O116</f>
        <v>0</v>
      </c>
      <c r="P112" s="725">
        <f>+P113+P116+P141</f>
        <v>100812015088.27</v>
      </c>
      <c r="Q112" s="725">
        <f t="shared" si="57"/>
        <v>0</v>
      </c>
      <c r="R112" s="725">
        <f t="shared" si="57"/>
        <v>7055715220</v>
      </c>
      <c r="S112" s="725">
        <f>+S113+S116+S119+S122+S125</f>
        <v>0</v>
      </c>
      <c r="T112" s="1854">
        <f>+T113+T116</f>
        <v>94207732903</v>
      </c>
      <c r="U112" s="723" t="e">
        <f t="shared" si="37"/>
        <v>#DIV/0!</v>
      </c>
      <c r="V112" s="694"/>
      <c r="W112" s="27" t="s">
        <v>1092</v>
      </c>
      <c r="X112" s="27"/>
      <c r="Y112" s="699" t="s">
        <v>968</v>
      </c>
    </row>
    <row r="113" spans="1:25" ht="22.5" customHeight="1" thickTop="1" thickBot="1">
      <c r="A113" s="27" t="s">
        <v>127</v>
      </c>
      <c r="B113" s="27" t="s">
        <v>129</v>
      </c>
      <c r="C113" s="88" t="s">
        <v>134</v>
      </c>
      <c r="D113" s="88" t="s">
        <v>144</v>
      </c>
      <c r="E113" s="27" t="s">
        <v>129</v>
      </c>
      <c r="F113" s="27" t="s">
        <v>129</v>
      </c>
      <c r="G113" s="694" t="s">
        <v>129</v>
      </c>
      <c r="H113" s="88"/>
      <c r="I113" s="88"/>
      <c r="J113" s="717" t="s">
        <v>1093</v>
      </c>
      <c r="K113" s="726">
        <f t="shared" ref="K113:T113" si="58">+K114+K115</f>
        <v>13835398746.27</v>
      </c>
      <c r="L113" s="726">
        <f>+L114+L115</f>
        <v>0</v>
      </c>
      <c r="M113" s="726">
        <f>+M114+M115</f>
        <v>0</v>
      </c>
      <c r="N113" s="1844">
        <f t="shared" si="36"/>
        <v>13835398746.27</v>
      </c>
      <c r="O113" s="726">
        <f t="shared" si="58"/>
        <v>0</v>
      </c>
      <c r="P113" s="726">
        <f t="shared" si="58"/>
        <v>13835398746.27</v>
      </c>
      <c r="Q113" s="726">
        <f t="shared" si="58"/>
        <v>0</v>
      </c>
      <c r="R113" s="726">
        <f t="shared" si="58"/>
        <v>0</v>
      </c>
      <c r="S113" s="726">
        <f t="shared" si="58"/>
        <v>0</v>
      </c>
      <c r="T113" s="1844">
        <f t="shared" si="58"/>
        <v>13923200197</v>
      </c>
      <c r="U113" s="719" t="e">
        <f t="shared" si="37"/>
        <v>#DIV/0!</v>
      </c>
      <c r="V113" s="694"/>
      <c r="W113" s="27" t="s">
        <v>1094</v>
      </c>
      <c r="X113" s="27" t="s">
        <v>1095</v>
      </c>
      <c r="Y113" s="699" t="s">
        <v>968</v>
      </c>
    </row>
    <row r="114" spans="1:25" ht="22.5" customHeight="1" thickTop="1" thickBot="1">
      <c r="A114" s="27" t="s">
        <v>127</v>
      </c>
      <c r="B114" s="27" t="s">
        <v>129</v>
      </c>
      <c r="C114" s="88" t="s">
        <v>134</v>
      </c>
      <c r="D114" s="88" t="s">
        <v>144</v>
      </c>
      <c r="E114" s="27" t="s">
        <v>129</v>
      </c>
      <c r="F114" s="27" t="s">
        <v>129</v>
      </c>
      <c r="G114" s="88" t="s">
        <v>129</v>
      </c>
      <c r="H114" s="88" t="s">
        <v>129</v>
      </c>
      <c r="I114" s="88"/>
      <c r="J114" s="86" t="s">
        <v>1096</v>
      </c>
      <c r="K114" s="727">
        <v>10022113021.27</v>
      </c>
      <c r="L114" s="727"/>
      <c r="M114" s="727"/>
      <c r="N114" s="1855">
        <f t="shared" si="36"/>
        <v>10022113021.27</v>
      </c>
      <c r="O114" s="727"/>
      <c r="P114" s="1848">
        <f>+N114</f>
        <v>10022113021.27</v>
      </c>
      <c r="Q114" s="727"/>
      <c r="R114" s="727"/>
      <c r="S114" s="727"/>
      <c r="T114" s="1855">
        <v>12297048066</v>
      </c>
      <c r="U114" s="721" t="e">
        <f t="shared" si="37"/>
        <v>#DIV/0!</v>
      </c>
      <c r="V114" s="694"/>
      <c r="W114" s="27"/>
      <c r="X114" s="27"/>
      <c r="Y114" s="699" t="s">
        <v>968</v>
      </c>
    </row>
    <row r="115" spans="1:25" ht="22.5" customHeight="1" thickTop="1" thickBot="1">
      <c r="A115" s="27" t="s">
        <v>127</v>
      </c>
      <c r="B115" s="27" t="s">
        <v>129</v>
      </c>
      <c r="C115" s="88" t="s">
        <v>134</v>
      </c>
      <c r="D115" s="88" t="s">
        <v>144</v>
      </c>
      <c r="E115" s="27" t="s">
        <v>129</v>
      </c>
      <c r="F115" s="27" t="s">
        <v>129</v>
      </c>
      <c r="G115" s="88" t="s">
        <v>129</v>
      </c>
      <c r="H115" s="88" t="s">
        <v>134</v>
      </c>
      <c r="I115" s="88"/>
      <c r="J115" s="86" t="s">
        <v>1097</v>
      </c>
      <c r="K115" s="727">
        <v>3813285725</v>
      </c>
      <c r="L115" s="727"/>
      <c r="M115" s="727"/>
      <c r="N115" s="1855">
        <f t="shared" si="36"/>
        <v>3813285725</v>
      </c>
      <c r="O115" s="727"/>
      <c r="P115" s="1848">
        <f>+N115</f>
        <v>3813285725</v>
      </c>
      <c r="Q115" s="727"/>
      <c r="R115" s="727"/>
      <c r="S115" s="727"/>
      <c r="T115" s="1855">
        <v>1626152131</v>
      </c>
      <c r="U115" s="721" t="e">
        <f t="shared" si="37"/>
        <v>#DIV/0!</v>
      </c>
      <c r="V115" s="694"/>
      <c r="W115" s="27"/>
      <c r="X115" s="27"/>
      <c r="Y115" s="699" t="s">
        <v>968</v>
      </c>
    </row>
    <row r="116" spans="1:25" ht="22.5" customHeight="1" thickTop="1" thickBot="1">
      <c r="A116" s="27" t="s">
        <v>127</v>
      </c>
      <c r="B116" s="27" t="s">
        <v>129</v>
      </c>
      <c r="C116" s="88" t="s">
        <v>134</v>
      </c>
      <c r="D116" s="88" t="s">
        <v>144</v>
      </c>
      <c r="E116" s="27" t="s">
        <v>129</v>
      </c>
      <c r="F116" s="27" t="s">
        <v>129</v>
      </c>
      <c r="G116" s="694" t="s">
        <v>134</v>
      </c>
      <c r="H116" s="88"/>
      <c r="I116" s="88"/>
      <c r="J116" s="717" t="s">
        <v>1098</v>
      </c>
      <c r="K116" s="726">
        <f t="shared" ref="K116:T116" si="59">+K117+K118</f>
        <v>94004331562</v>
      </c>
      <c r="L116" s="726">
        <f>+L117+L118</f>
        <v>0</v>
      </c>
      <c r="M116" s="726">
        <f>+M117+M118</f>
        <v>0</v>
      </c>
      <c r="N116" s="1844">
        <f t="shared" si="36"/>
        <v>94004331562</v>
      </c>
      <c r="O116" s="726">
        <f t="shared" si="59"/>
        <v>0</v>
      </c>
      <c r="P116" s="1847">
        <f t="shared" si="59"/>
        <v>86948616342</v>
      </c>
      <c r="Q116" s="726">
        <f t="shared" si="59"/>
        <v>0</v>
      </c>
      <c r="R116" s="1847">
        <f t="shared" si="59"/>
        <v>7055715220</v>
      </c>
      <c r="S116" s="726">
        <f t="shared" si="59"/>
        <v>0</v>
      </c>
      <c r="T116" s="1843">
        <f t="shared" si="59"/>
        <v>80284532706</v>
      </c>
      <c r="U116" s="719" t="e">
        <f t="shared" si="37"/>
        <v>#DIV/0!</v>
      </c>
      <c r="V116" s="694"/>
      <c r="W116" s="27"/>
      <c r="X116" s="27"/>
      <c r="Y116" s="699"/>
    </row>
    <row r="117" spans="1:25" ht="22.5" customHeight="1" thickTop="1" thickBot="1">
      <c r="A117" s="27" t="s">
        <v>127</v>
      </c>
      <c r="B117" s="27" t="s">
        <v>129</v>
      </c>
      <c r="C117" s="88" t="s">
        <v>134</v>
      </c>
      <c r="D117" s="88" t="s">
        <v>144</v>
      </c>
      <c r="E117" s="27" t="s">
        <v>129</v>
      </c>
      <c r="F117" s="27" t="s">
        <v>129</v>
      </c>
      <c r="G117" s="88" t="s">
        <v>134</v>
      </c>
      <c r="H117" s="88" t="s">
        <v>129</v>
      </c>
      <c r="I117" s="88"/>
      <c r="J117" s="86" t="s">
        <v>1099</v>
      </c>
      <c r="K117" s="727">
        <v>72228046789</v>
      </c>
      <c r="L117" s="727"/>
      <c r="M117" s="727"/>
      <c r="N117" s="1855">
        <f t="shared" si="36"/>
        <v>72228046789</v>
      </c>
      <c r="O117" s="727"/>
      <c r="P117" s="1848">
        <f>+N117-R117</f>
        <v>65172331569</v>
      </c>
      <c r="Q117" s="727"/>
      <c r="R117" s="1848">
        <v>7055715220</v>
      </c>
      <c r="S117" s="727"/>
      <c r="T117" s="1855">
        <v>70742262974</v>
      </c>
      <c r="U117" s="721" t="e">
        <f t="shared" si="37"/>
        <v>#DIV/0!</v>
      </c>
      <c r="V117" s="694"/>
      <c r="W117" s="27"/>
      <c r="X117" s="27"/>
      <c r="Y117" s="699"/>
    </row>
    <row r="118" spans="1:25" ht="22.5" customHeight="1" thickTop="1" thickBot="1">
      <c r="A118" s="27" t="s">
        <v>127</v>
      </c>
      <c r="B118" s="27" t="s">
        <v>129</v>
      </c>
      <c r="C118" s="88" t="s">
        <v>134</v>
      </c>
      <c r="D118" s="88" t="s">
        <v>144</v>
      </c>
      <c r="E118" s="27" t="s">
        <v>129</v>
      </c>
      <c r="F118" s="27" t="s">
        <v>129</v>
      </c>
      <c r="G118" s="88" t="s">
        <v>134</v>
      </c>
      <c r="H118" s="88" t="s">
        <v>134</v>
      </c>
      <c r="I118" s="88"/>
      <c r="J118" s="86" t="s">
        <v>1100</v>
      </c>
      <c r="K118" s="727">
        <v>21776284773</v>
      </c>
      <c r="L118" s="727"/>
      <c r="M118" s="727"/>
      <c r="N118" s="1855">
        <f t="shared" si="36"/>
        <v>21776284773</v>
      </c>
      <c r="O118" s="727"/>
      <c r="P118" s="1848">
        <f>+N118</f>
        <v>21776284773</v>
      </c>
      <c r="Q118" s="727"/>
      <c r="R118" s="727">
        <v>0</v>
      </c>
      <c r="S118" s="727"/>
      <c r="T118" s="1855">
        <v>9542269732</v>
      </c>
      <c r="U118" s="721" t="e">
        <f t="shared" si="37"/>
        <v>#DIV/0!</v>
      </c>
      <c r="V118" s="694"/>
      <c r="W118" s="27"/>
      <c r="X118" s="27"/>
      <c r="Y118" s="699"/>
    </row>
    <row r="119" spans="1:25" ht="22.5" customHeight="1" thickTop="1" thickBot="1">
      <c r="A119" s="27" t="s">
        <v>127</v>
      </c>
      <c r="B119" s="27" t="s">
        <v>129</v>
      </c>
      <c r="C119" s="88" t="s">
        <v>134</v>
      </c>
      <c r="D119" s="88" t="s">
        <v>144</v>
      </c>
      <c r="E119" s="27" t="s">
        <v>129</v>
      </c>
      <c r="F119" s="27" t="s">
        <v>129</v>
      </c>
      <c r="G119" s="694" t="s">
        <v>139</v>
      </c>
      <c r="H119" s="88"/>
      <c r="I119" s="88"/>
      <c r="J119" s="717" t="s">
        <v>1101</v>
      </c>
      <c r="K119" s="726">
        <f t="shared" ref="K119:T119" si="60">+K120+K121</f>
        <v>0</v>
      </c>
      <c r="L119" s="726">
        <f>+L120+L121</f>
        <v>0</v>
      </c>
      <c r="M119" s="726">
        <f>+M120+M121</f>
        <v>0</v>
      </c>
      <c r="N119" s="1843">
        <f t="shared" si="36"/>
        <v>0</v>
      </c>
      <c r="O119" s="726">
        <f t="shared" si="60"/>
        <v>0</v>
      </c>
      <c r="P119" s="726">
        <f t="shared" si="60"/>
        <v>0</v>
      </c>
      <c r="Q119" s="726">
        <f t="shared" si="60"/>
        <v>0</v>
      </c>
      <c r="R119" s="726">
        <f t="shared" si="60"/>
        <v>0</v>
      </c>
      <c r="S119" s="726">
        <f t="shared" si="60"/>
        <v>0</v>
      </c>
      <c r="T119" s="1843">
        <f t="shared" si="60"/>
        <v>0</v>
      </c>
      <c r="U119" s="719" t="e">
        <f t="shared" si="37"/>
        <v>#DIV/0!</v>
      </c>
      <c r="V119" s="694"/>
      <c r="W119" s="27" t="s">
        <v>979</v>
      </c>
      <c r="X119" s="27" t="s">
        <v>980</v>
      </c>
      <c r="Y119" s="699" t="s">
        <v>968</v>
      </c>
    </row>
    <row r="120" spans="1:25" ht="22.5" customHeight="1" thickTop="1" thickBot="1">
      <c r="A120" s="27" t="s">
        <v>127</v>
      </c>
      <c r="B120" s="27" t="s">
        <v>129</v>
      </c>
      <c r="C120" s="88" t="s">
        <v>134</v>
      </c>
      <c r="D120" s="88" t="s">
        <v>144</v>
      </c>
      <c r="E120" s="27" t="s">
        <v>129</v>
      </c>
      <c r="F120" s="27" t="s">
        <v>129</v>
      </c>
      <c r="G120" s="88" t="s">
        <v>139</v>
      </c>
      <c r="H120" s="88" t="s">
        <v>129</v>
      </c>
      <c r="I120" s="88"/>
      <c r="J120" s="86" t="s">
        <v>1102</v>
      </c>
      <c r="K120" s="727"/>
      <c r="L120" s="727"/>
      <c r="M120" s="727"/>
      <c r="N120" s="1853">
        <f t="shared" si="36"/>
        <v>0</v>
      </c>
      <c r="O120" s="727"/>
      <c r="P120" s="727"/>
      <c r="Q120" s="727"/>
      <c r="R120" s="727"/>
      <c r="S120" s="727"/>
      <c r="T120" s="1853"/>
      <c r="U120" s="721" t="e">
        <f t="shared" si="37"/>
        <v>#DIV/0!</v>
      </c>
      <c r="V120" s="694"/>
      <c r="W120" s="27"/>
      <c r="X120" s="27"/>
      <c r="Y120" s="699" t="s">
        <v>968</v>
      </c>
    </row>
    <row r="121" spans="1:25" ht="22.5" customHeight="1" thickTop="1" thickBot="1">
      <c r="A121" s="27" t="s">
        <v>127</v>
      </c>
      <c r="B121" s="27" t="s">
        <v>129</v>
      </c>
      <c r="C121" s="88" t="s">
        <v>134</v>
      </c>
      <c r="D121" s="88" t="s">
        <v>144</v>
      </c>
      <c r="E121" s="27" t="s">
        <v>129</v>
      </c>
      <c r="F121" s="27" t="s">
        <v>129</v>
      </c>
      <c r="G121" s="88" t="s">
        <v>139</v>
      </c>
      <c r="H121" s="88" t="s">
        <v>134</v>
      </c>
      <c r="I121" s="88"/>
      <c r="J121" s="86" t="s">
        <v>1103</v>
      </c>
      <c r="K121" s="727"/>
      <c r="L121" s="727"/>
      <c r="M121" s="727"/>
      <c r="N121" s="1853">
        <f t="shared" si="36"/>
        <v>0</v>
      </c>
      <c r="O121" s="727"/>
      <c r="P121" s="727"/>
      <c r="Q121" s="727"/>
      <c r="R121" s="727"/>
      <c r="S121" s="727"/>
      <c r="T121" s="1853"/>
      <c r="U121" s="721" t="e">
        <f t="shared" si="37"/>
        <v>#DIV/0!</v>
      </c>
      <c r="V121" s="694"/>
      <c r="W121" s="27"/>
      <c r="X121" s="27"/>
      <c r="Y121" s="699" t="s">
        <v>968</v>
      </c>
    </row>
    <row r="122" spans="1:25" ht="22.5" customHeight="1" thickTop="1" thickBot="1">
      <c r="A122" s="27" t="s">
        <v>127</v>
      </c>
      <c r="B122" s="27" t="s">
        <v>129</v>
      </c>
      <c r="C122" s="88" t="s">
        <v>134</v>
      </c>
      <c r="D122" s="88" t="s">
        <v>144</v>
      </c>
      <c r="E122" s="27" t="s">
        <v>129</v>
      </c>
      <c r="F122" s="27" t="s">
        <v>129</v>
      </c>
      <c r="G122" s="694" t="s">
        <v>140</v>
      </c>
      <c r="H122" s="88"/>
      <c r="I122" s="88"/>
      <c r="J122" s="717" t="s">
        <v>1104</v>
      </c>
      <c r="K122" s="726">
        <f t="shared" ref="K122:T122" si="61">+K123+K124</f>
        <v>0</v>
      </c>
      <c r="L122" s="726">
        <f>+L123+L124</f>
        <v>0</v>
      </c>
      <c r="M122" s="726">
        <f>+M123+M124</f>
        <v>0</v>
      </c>
      <c r="N122" s="1843">
        <f t="shared" si="36"/>
        <v>0</v>
      </c>
      <c r="O122" s="726">
        <f t="shared" si="61"/>
        <v>0</v>
      </c>
      <c r="P122" s="726">
        <f t="shared" si="61"/>
        <v>0</v>
      </c>
      <c r="Q122" s="726">
        <f t="shared" si="61"/>
        <v>0</v>
      </c>
      <c r="R122" s="726">
        <f t="shared" si="61"/>
        <v>0</v>
      </c>
      <c r="S122" s="726">
        <f t="shared" si="61"/>
        <v>0</v>
      </c>
      <c r="T122" s="1843">
        <f t="shared" si="61"/>
        <v>0</v>
      </c>
      <c r="U122" s="719" t="e">
        <f t="shared" si="37"/>
        <v>#DIV/0!</v>
      </c>
      <c r="V122" s="694"/>
      <c r="W122" s="27"/>
      <c r="X122" s="27"/>
      <c r="Y122" s="699"/>
    </row>
    <row r="123" spans="1:25" ht="22.5" customHeight="1" thickTop="1" thickBot="1">
      <c r="A123" s="27" t="s">
        <v>127</v>
      </c>
      <c r="B123" s="27" t="s">
        <v>129</v>
      </c>
      <c r="C123" s="88" t="s">
        <v>134</v>
      </c>
      <c r="D123" s="88" t="s">
        <v>144</v>
      </c>
      <c r="E123" s="27" t="s">
        <v>129</v>
      </c>
      <c r="F123" s="27" t="s">
        <v>129</v>
      </c>
      <c r="G123" s="88" t="s">
        <v>140</v>
      </c>
      <c r="H123" s="88" t="s">
        <v>129</v>
      </c>
      <c r="I123" s="88"/>
      <c r="J123" s="86" t="s">
        <v>1105</v>
      </c>
      <c r="K123" s="727"/>
      <c r="L123" s="727"/>
      <c r="M123" s="727"/>
      <c r="N123" s="1853">
        <f t="shared" si="36"/>
        <v>0</v>
      </c>
      <c r="O123" s="727"/>
      <c r="P123" s="727"/>
      <c r="Q123" s="727"/>
      <c r="R123" s="727"/>
      <c r="S123" s="727"/>
      <c r="T123" s="1853"/>
      <c r="U123" s="721" t="e">
        <f t="shared" si="37"/>
        <v>#DIV/0!</v>
      </c>
      <c r="V123" s="694"/>
      <c r="W123" s="27"/>
      <c r="X123" s="27"/>
      <c r="Y123" s="699"/>
    </row>
    <row r="124" spans="1:25" ht="22.5" customHeight="1" thickTop="1" thickBot="1">
      <c r="A124" s="27" t="s">
        <v>127</v>
      </c>
      <c r="B124" s="27" t="s">
        <v>129</v>
      </c>
      <c r="C124" s="88" t="s">
        <v>134</v>
      </c>
      <c r="D124" s="88" t="s">
        <v>144</v>
      </c>
      <c r="E124" s="27" t="s">
        <v>129</v>
      </c>
      <c r="F124" s="27" t="s">
        <v>129</v>
      </c>
      <c r="G124" s="88" t="s">
        <v>140</v>
      </c>
      <c r="H124" s="88" t="s">
        <v>134</v>
      </c>
      <c r="I124" s="88"/>
      <c r="J124" s="86" t="s">
        <v>1106</v>
      </c>
      <c r="K124" s="727"/>
      <c r="L124" s="727"/>
      <c r="M124" s="727"/>
      <c r="N124" s="1853">
        <f t="shared" si="36"/>
        <v>0</v>
      </c>
      <c r="O124" s="727"/>
      <c r="P124" s="727"/>
      <c r="Q124" s="727"/>
      <c r="R124" s="727"/>
      <c r="S124" s="727"/>
      <c r="T124" s="1853"/>
      <c r="U124" s="721" t="e">
        <f t="shared" si="37"/>
        <v>#DIV/0!</v>
      </c>
      <c r="V124" s="694"/>
      <c r="W124" s="27"/>
      <c r="X124" s="27"/>
      <c r="Y124" s="699"/>
    </row>
    <row r="125" spans="1:25" ht="22.5" customHeight="1" thickTop="1" thickBot="1">
      <c r="A125" s="27" t="s">
        <v>127</v>
      </c>
      <c r="B125" s="694" t="s">
        <v>129</v>
      </c>
      <c r="C125" s="694" t="s">
        <v>134</v>
      </c>
      <c r="D125" s="694" t="s">
        <v>144</v>
      </c>
      <c r="E125" s="694" t="s">
        <v>129</v>
      </c>
      <c r="F125" s="694" t="s">
        <v>134</v>
      </c>
      <c r="G125" s="694" t="s">
        <v>144</v>
      </c>
      <c r="H125" s="88"/>
      <c r="I125" s="88"/>
      <c r="J125" s="717" t="s">
        <v>1107</v>
      </c>
      <c r="K125" s="725">
        <f>+K126+K130+K134+K135+K136+K137</f>
        <v>7582906239</v>
      </c>
      <c r="L125" s="725">
        <f>+L126+L130+L134+L135+L136+L137</f>
        <v>0</v>
      </c>
      <c r="M125" s="725">
        <f>+M126+M130+M134+M135+M136+M137</f>
        <v>0</v>
      </c>
      <c r="N125" s="1854">
        <f>+N126+N130+N134+N135+N136+N137</f>
        <v>7582906239</v>
      </c>
      <c r="O125" s="725">
        <f t="shared" ref="O125:T125" si="62">+O126+O130+O134+O135+O136+O137</f>
        <v>2361100000</v>
      </c>
      <c r="P125" s="725">
        <f t="shared" si="62"/>
        <v>5221806239</v>
      </c>
      <c r="Q125" s="725">
        <f t="shared" si="62"/>
        <v>0</v>
      </c>
      <c r="R125" s="725">
        <f t="shared" si="62"/>
        <v>0</v>
      </c>
      <c r="S125" s="725">
        <f>+S126+S130+S134+S135+S136+S137</f>
        <v>0</v>
      </c>
      <c r="T125" s="1854">
        <f t="shared" si="62"/>
        <v>7524460845</v>
      </c>
      <c r="U125" s="725" t="e">
        <f t="shared" si="37"/>
        <v>#DIV/0!</v>
      </c>
      <c r="V125" s="694"/>
      <c r="W125" s="694" t="s">
        <v>1108</v>
      </c>
      <c r="X125" s="694"/>
      <c r="Y125" s="699" t="s">
        <v>968</v>
      </c>
    </row>
    <row r="126" spans="1:25" ht="22.5" customHeight="1" thickTop="1" thickBot="1">
      <c r="A126" s="27" t="s">
        <v>127</v>
      </c>
      <c r="B126" s="27" t="s">
        <v>129</v>
      </c>
      <c r="C126" s="88" t="s">
        <v>134</v>
      </c>
      <c r="D126" s="88" t="s">
        <v>144</v>
      </c>
      <c r="E126" s="27" t="s">
        <v>129</v>
      </c>
      <c r="F126" s="88" t="s">
        <v>134</v>
      </c>
      <c r="G126" s="88" t="s">
        <v>144</v>
      </c>
      <c r="H126" s="88" t="s">
        <v>129</v>
      </c>
      <c r="I126" s="88"/>
      <c r="J126" s="717" t="s">
        <v>1109</v>
      </c>
      <c r="K126" s="726">
        <f t="shared" ref="K126:T126" si="63">+K127+K128+K129</f>
        <v>2361100000</v>
      </c>
      <c r="L126" s="726">
        <f>+L127+L128+L129</f>
        <v>0</v>
      </c>
      <c r="M126" s="726">
        <f>+M127+M128+M129</f>
        <v>0</v>
      </c>
      <c r="N126" s="1844">
        <f t="shared" ref="N126:N136" si="64">K126+L126-M126</f>
        <v>2361100000</v>
      </c>
      <c r="O126" s="726">
        <f t="shared" si="63"/>
        <v>2361100000</v>
      </c>
      <c r="P126" s="726">
        <f t="shared" si="63"/>
        <v>0</v>
      </c>
      <c r="Q126" s="726">
        <f t="shared" si="63"/>
        <v>0</v>
      </c>
      <c r="R126" s="726">
        <f t="shared" si="63"/>
        <v>0</v>
      </c>
      <c r="S126" s="726">
        <f t="shared" si="63"/>
        <v>0</v>
      </c>
      <c r="T126" s="1843">
        <f t="shared" si="63"/>
        <v>2350900000</v>
      </c>
      <c r="U126" s="719" t="e">
        <f t="shared" si="37"/>
        <v>#DIV/0!</v>
      </c>
      <c r="V126" s="694"/>
      <c r="W126" s="27"/>
      <c r="X126" s="27"/>
      <c r="Y126" s="699" t="s">
        <v>968</v>
      </c>
    </row>
    <row r="127" spans="1:25" ht="22.5" customHeight="1" thickTop="1" thickBot="1">
      <c r="A127" s="27" t="s">
        <v>127</v>
      </c>
      <c r="B127" s="27" t="s">
        <v>129</v>
      </c>
      <c r="C127" s="88" t="s">
        <v>134</v>
      </c>
      <c r="D127" s="88" t="s">
        <v>144</v>
      </c>
      <c r="E127" s="27" t="s">
        <v>129</v>
      </c>
      <c r="F127" s="88" t="s">
        <v>134</v>
      </c>
      <c r="G127" s="88" t="s">
        <v>144</v>
      </c>
      <c r="H127" s="88" t="s">
        <v>129</v>
      </c>
      <c r="I127" s="88" t="s">
        <v>129</v>
      </c>
      <c r="J127" s="86" t="s">
        <v>156</v>
      </c>
      <c r="K127" s="727">
        <v>2361100000</v>
      </c>
      <c r="L127" s="727"/>
      <c r="M127" s="727"/>
      <c r="N127" s="1855">
        <f t="shared" si="64"/>
        <v>2361100000</v>
      </c>
      <c r="O127" s="727">
        <f>+N127</f>
        <v>2361100000</v>
      </c>
      <c r="P127" s="727"/>
      <c r="Q127" s="727"/>
      <c r="R127" s="727"/>
      <c r="S127" s="727"/>
      <c r="T127" s="1855">
        <v>2350900000</v>
      </c>
      <c r="U127" s="721" t="e">
        <f t="shared" si="37"/>
        <v>#DIV/0!</v>
      </c>
      <c r="V127" s="694"/>
      <c r="W127" s="27"/>
      <c r="X127" s="27"/>
      <c r="Y127" s="699" t="s">
        <v>968</v>
      </c>
    </row>
    <row r="128" spans="1:25" ht="22.5" customHeight="1" thickTop="1" thickBot="1">
      <c r="A128" s="27" t="s">
        <v>127</v>
      </c>
      <c r="B128" s="27" t="s">
        <v>129</v>
      </c>
      <c r="C128" s="88" t="s">
        <v>134</v>
      </c>
      <c r="D128" s="88" t="s">
        <v>144</v>
      </c>
      <c r="E128" s="27" t="s">
        <v>129</v>
      </c>
      <c r="F128" s="88" t="s">
        <v>134</v>
      </c>
      <c r="G128" s="88" t="s">
        <v>144</v>
      </c>
      <c r="H128" s="88" t="s">
        <v>129</v>
      </c>
      <c r="I128" s="88" t="s">
        <v>134</v>
      </c>
      <c r="J128" s="86" t="s">
        <v>157</v>
      </c>
      <c r="K128" s="727"/>
      <c r="L128" s="727"/>
      <c r="M128" s="727"/>
      <c r="N128" s="1853">
        <f t="shared" si="64"/>
        <v>0</v>
      </c>
      <c r="O128" s="727"/>
      <c r="P128" s="727"/>
      <c r="Q128" s="727"/>
      <c r="R128" s="727"/>
      <c r="S128" s="727"/>
      <c r="T128" s="1853"/>
      <c r="U128" s="721" t="e">
        <f t="shared" si="37"/>
        <v>#DIV/0!</v>
      </c>
      <c r="V128" s="694"/>
      <c r="W128" s="27"/>
      <c r="X128" s="27"/>
      <c r="Y128" s="699" t="s">
        <v>968</v>
      </c>
    </row>
    <row r="129" spans="1:25" ht="22.5" customHeight="1" thickTop="1" thickBot="1">
      <c r="A129" s="27" t="s">
        <v>127</v>
      </c>
      <c r="B129" s="27" t="s">
        <v>129</v>
      </c>
      <c r="C129" s="88" t="s">
        <v>134</v>
      </c>
      <c r="D129" s="88" t="s">
        <v>144</v>
      </c>
      <c r="E129" s="27" t="s">
        <v>129</v>
      </c>
      <c r="F129" s="88" t="s">
        <v>134</v>
      </c>
      <c r="G129" s="88" t="s">
        <v>144</v>
      </c>
      <c r="H129" s="88" t="s">
        <v>129</v>
      </c>
      <c r="I129" s="88" t="s">
        <v>139</v>
      </c>
      <c r="J129" s="86" t="s">
        <v>158</v>
      </c>
      <c r="K129" s="727"/>
      <c r="L129" s="727"/>
      <c r="M129" s="727"/>
      <c r="N129" s="1853">
        <f t="shared" si="64"/>
        <v>0</v>
      </c>
      <c r="O129" s="727"/>
      <c r="P129" s="727"/>
      <c r="Q129" s="727"/>
      <c r="R129" s="727"/>
      <c r="S129" s="727"/>
      <c r="T129" s="1853"/>
      <c r="U129" s="721" t="e">
        <f t="shared" si="37"/>
        <v>#DIV/0!</v>
      </c>
      <c r="V129" s="694"/>
      <c r="W129" s="27"/>
      <c r="X129" s="27"/>
      <c r="Y129" s="699" t="s">
        <v>968</v>
      </c>
    </row>
    <row r="130" spans="1:25" ht="22.5" customHeight="1" thickTop="1" thickBot="1">
      <c r="A130" s="27" t="s">
        <v>127</v>
      </c>
      <c r="B130" s="27" t="s">
        <v>129</v>
      </c>
      <c r="C130" s="88" t="s">
        <v>134</v>
      </c>
      <c r="D130" s="88" t="s">
        <v>144</v>
      </c>
      <c r="E130" s="27" t="s">
        <v>129</v>
      </c>
      <c r="F130" s="88" t="s">
        <v>134</v>
      </c>
      <c r="G130" s="88" t="s">
        <v>144</v>
      </c>
      <c r="H130" s="88" t="s">
        <v>134</v>
      </c>
      <c r="I130" s="88"/>
      <c r="J130" s="717" t="s">
        <v>159</v>
      </c>
      <c r="K130" s="726">
        <f t="shared" ref="K130:T130" si="65">+K131+K132+K133</f>
        <v>0</v>
      </c>
      <c r="L130" s="726">
        <f>+L131+L132+L133</f>
        <v>0</v>
      </c>
      <c r="M130" s="726">
        <f>+M131+M132+M133</f>
        <v>0</v>
      </c>
      <c r="N130" s="1843">
        <f t="shared" si="64"/>
        <v>0</v>
      </c>
      <c r="O130" s="726">
        <f t="shared" si="65"/>
        <v>0</v>
      </c>
      <c r="P130" s="726">
        <f t="shared" si="65"/>
        <v>0</v>
      </c>
      <c r="Q130" s="726">
        <f t="shared" si="65"/>
        <v>0</v>
      </c>
      <c r="R130" s="726">
        <f t="shared" si="65"/>
        <v>0</v>
      </c>
      <c r="S130" s="726">
        <f t="shared" si="65"/>
        <v>0</v>
      </c>
      <c r="T130" s="1843">
        <f t="shared" si="65"/>
        <v>0</v>
      </c>
      <c r="U130" s="719" t="e">
        <f t="shared" si="37"/>
        <v>#DIV/0!</v>
      </c>
      <c r="V130" s="694"/>
      <c r="W130" s="27"/>
      <c r="X130" s="27"/>
      <c r="Y130" s="699" t="s">
        <v>968</v>
      </c>
    </row>
    <row r="131" spans="1:25" ht="22.5" customHeight="1" thickTop="1" thickBot="1">
      <c r="A131" s="27" t="s">
        <v>127</v>
      </c>
      <c r="B131" s="27" t="s">
        <v>129</v>
      </c>
      <c r="C131" s="88" t="s">
        <v>134</v>
      </c>
      <c r="D131" s="88" t="s">
        <v>144</v>
      </c>
      <c r="E131" s="27" t="s">
        <v>129</v>
      </c>
      <c r="F131" s="88" t="s">
        <v>134</v>
      </c>
      <c r="G131" s="88" t="s">
        <v>144</v>
      </c>
      <c r="H131" s="88" t="s">
        <v>134</v>
      </c>
      <c r="I131" s="88" t="s">
        <v>129</v>
      </c>
      <c r="J131" s="86" t="s">
        <v>160</v>
      </c>
      <c r="K131" s="727"/>
      <c r="L131" s="727"/>
      <c r="M131" s="727"/>
      <c r="N131" s="1853">
        <f t="shared" si="64"/>
        <v>0</v>
      </c>
      <c r="O131" s="727"/>
      <c r="P131" s="727"/>
      <c r="Q131" s="727"/>
      <c r="R131" s="727"/>
      <c r="S131" s="727"/>
      <c r="T131" s="1853"/>
      <c r="U131" s="721" t="e">
        <f t="shared" si="37"/>
        <v>#DIV/0!</v>
      </c>
      <c r="V131" s="694"/>
      <c r="W131" s="27"/>
      <c r="X131" s="27"/>
      <c r="Y131" s="699" t="s">
        <v>968</v>
      </c>
    </row>
    <row r="132" spans="1:25" ht="22.5" customHeight="1" thickTop="1" thickBot="1">
      <c r="A132" s="27" t="s">
        <v>127</v>
      </c>
      <c r="B132" s="27" t="s">
        <v>129</v>
      </c>
      <c r="C132" s="88" t="s">
        <v>134</v>
      </c>
      <c r="D132" s="88" t="s">
        <v>144</v>
      </c>
      <c r="E132" s="27" t="s">
        <v>129</v>
      </c>
      <c r="F132" s="88" t="s">
        <v>134</v>
      </c>
      <c r="G132" s="88" t="s">
        <v>144</v>
      </c>
      <c r="H132" s="88" t="s">
        <v>134</v>
      </c>
      <c r="I132" s="88" t="s">
        <v>134</v>
      </c>
      <c r="J132" s="86" t="s">
        <v>161</v>
      </c>
      <c r="K132" s="727"/>
      <c r="L132" s="727"/>
      <c r="M132" s="727"/>
      <c r="N132" s="1853">
        <f t="shared" si="64"/>
        <v>0</v>
      </c>
      <c r="O132" s="727"/>
      <c r="P132" s="727"/>
      <c r="Q132" s="727"/>
      <c r="R132" s="727"/>
      <c r="S132" s="727"/>
      <c r="T132" s="1853"/>
      <c r="U132" s="721" t="e">
        <f t="shared" si="37"/>
        <v>#DIV/0!</v>
      </c>
      <c r="V132" s="694"/>
      <c r="W132" s="27"/>
      <c r="X132" s="27"/>
      <c r="Y132" s="699" t="s">
        <v>968</v>
      </c>
    </row>
    <row r="133" spans="1:25" ht="22.5" customHeight="1" thickTop="1" thickBot="1">
      <c r="A133" s="27" t="s">
        <v>127</v>
      </c>
      <c r="B133" s="27" t="s">
        <v>129</v>
      </c>
      <c r="C133" s="88" t="s">
        <v>134</v>
      </c>
      <c r="D133" s="88" t="s">
        <v>144</v>
      </c>
      <c r="E133" s="27" t="s">
        <v>129</v>
      </c>
      <c r="F133" s="88" t="s">
        <v>134</v>
      </c>
      <c r="G133" s="88" t="s">
        <v>144</v>
      </c>
      <c r="H133" s="88" t="s">
        <v>134</v>
      </c>
      <c r="I133" s="88" t="s">
        <v>139</v>
      </c>
      <c r="J133" s="86" t="s">
        <v>162</v>
      </c>
      <c r="K133" s="727"/>
      <c r="L133" s="727"/>
      <c r="M133" s="727"/>
      <c r="N133" s="1853">
        <f t="shared" si="64"/>
        <v>0</v>
      </c>
      <c r="O133" s="727"/>
      <c r="P133" s="727"/>
      <c r="Q133" s="727"/>
      <c r="R133" s="727"/>
      <c r="S133" s="727"/>
      <c r="T133" s="1853"/>
      <c r="U133" s="721" t="e">
        <f t="shared" si="37"/>
        <v>#DIV/0!</v>
      </c>
      <c r="V133" s="694"/>
      <c r="W133" s="27"/>
      <c r="X133" s="27"/>
      <c r="Y133" s="699" t="s">
        <v>968</v>
      </c>
    </row>
    <row r="134" spans="1:25" ht="22.5" customHeight="1" thickTop="1" thickBot="1">
      <c r="A134" s="27" t="s">
        <v>127</v>
      </c>
      <c r="B134" s="27" t="s">
        <v>129</v>
      </c>
      <c r="C134" s="88" t="s">
        <v>134</v>
      </c>
      <c r="D134" s="88" t="s">
        <v>144</v>
      </c>
      <c r="E134" s="27" t="s">
        <v>129</v>
      </c>
      <c r="F134" s="88" t="s">
        <v>134</v>
      </c>
      <c r="G134" s="88" t="s">
        <v>144</v>
      </c>
      <c r="H134" s="88" t="s">
        <v>139</v>
      </c>
      <c r="I134" s="88"/>
      <c r="J134" s="717" t="s">
        <v>1110</v>
      </c>
      <c r="K134" s="726">
        <v>0</v>
      </c>
      <c r="L134" s="726">
        <v>0</v>
      </c>
      <c r="M134" s="726">
        <v>0</v>
      </c>
      <c r="N134" s="1843">
        <f t="shared" si="64"/>
        <v>0</v>
      </c>
      <c r="O134" s="726">
        <v>0</v>
      </c>
      <c r="P134" s="726">
        <v>0</v>
      </c>
      <c r="Q134" s="726">
        <v>0</v>
      </c>
      <c r="R134" s="726">
        <v>0</v>
      </c>
      <c r="S134" s="726">
        <v>0</v>
      </c>
      <c r="T134" s="1843">
        <v>0</v>
      </c>
      <c r="U134" s="719" t="e">
        <f t="shared" si="37"/>
        <v>#DIV/0!</v>
      </c>
      <c r="V134" s="694"/>
      <c r="W134" s="27"/>
      <c r="X134" s="27"/>
      <c r="Y134" s="699" t="s">
        <v>968</v>
      </c>
    </row>
    <row r="135" spans="1:25" ht="22.5" customHeight="1" thickTop="1" thickBot="1">
      <c r="A135" s="27" t="s">
        <v>127</v>
      </c>
      <c r="B135" s="27" t="s">
        <v>129</v>
      </c>
      <c r="C135" s="88" t="s">
        <v>134</v>
      </c>
      <c r="D135" s="88" t="s">
        <v>144</v>
      </c>
      <c r="E135" s="27" t="s">
        <v>129</v>
      </c>
      <c r="F135" s="88" t="s">
        <v>134</v>
      </c>
      <c r="G135" s="88" t="s">
        <v>144</v>
      </c>
      <c r="H135" s="88" t="s">
        <v>140</v>
      </c>
      <c r="I135" s="88"/>
      <c r="J135" s="717" t="s">
        <v>163</v>
      </c>
      <c r="K135" s="726">
        <v>0</v>
      </c>
      <c r="L135" s="726">
        <v>0</v>
      </c>
      <c r="M135" s="726">
        <v>0</v>
      </c>
      <c r="N135" s="1843">
        <f t="shared" si="64"/>
        <v>0</v>
      </c>
      <c r="O135" s="726">
        <v>0</v>
      </c>
      <c r="P135" s="726">
        <v>0</v>
      </c>
      <c r="Q135" s="726">
        <v>0</v>
      </c>
      <c r="R135" s="726">
        <v>0</v>
      </c>
      <c r="S135" s="726">
        <v>0</v>
      </c>
      <c r="T135" s="1843">
        <v>0</v>
      </c>
      <c r="U135" s="719" t="e">
        <f t="shared" si="37"/>
        <v>#DIV/0!</v>
      </c>
      <c r="V135" s="694"/>
      <c r="W135" s="27"/>
      <c r="X135" s="27"/>
      <c r="Y135" s="699" t="s">
        <v>968</v>
      </c>
    </row>
    <row r="136" spans="1:25" ht="22.5" customHeight="1" thickTop="1" thickBot="1">
      <c r="A136" s="27" t="s">
        <v>127</v>
      </c>
      <c r="B136" s="27" t="s">
        <v>129</v>
      </c>
      <c r="C136" s="88" t="s">
        <v>134</v>
      </c>
      <c r="D136" s="88" t="s">
        <v>144</v>
      </c>
      <c r="E136" s="27" t="s">
        <v>129</v>
      </c>
      <c r="F136" s="88" t="s">
        <v>134</v>
      </c>
      <c r="G136" s="88" t="s">
        <v>144</v>
      </c>
      <c r="H136" s="88" t="s">
        <v>144</v>
      </c>
      <c r="I136" s="88"/>
      <c r="J136" s="717" t="s">
        <v>164</v>
      </c>
      <c r="K136" s="726">
        <v>5221806239</v>
      </c>
      <c r="L136" s="726">
        <v>0</v>
      </c>
      <c r="M136" s="726">
        <v>0</v>
      </c>
      <c r="N136" s="1844">
        <f t="shared" si="64"/>
        <v>5221806239</v>
      </c>
      <c r="O136" s="726">
        <v>0</v>
      </c>
      <c r="P136" s="726">
        <f>+N136</f>
        <v>5221806239</v>
      </c>
      <c r="Q136" s="726">
        <v>0</v>
      </c>
      <c r="R136" s="726">
        <v>0</v>
      </c>
      <c r="S136" s="726">
        <v>0</v>
      </c>
      <c r="T136" s="1844">
        <v>5173560845</v>
      </c>
      <c r="U136" s="719" t="e">
        <f t="shared" ref="U136:U200" si="66">T136/S136</f>
        <v>#DIV/0!</v>
      </c>
      <c r="V136" s="694"/>
      <c r="W136" s="27"/>
      <c r="X136" s="27"/>
      <c r="Y136" s="699" t="s">
        <v>968</v>
      </c>
    </row>
    <row r="137" spans="1:25" ht="22.5" customHeight="1" thickTop="1" thickBot="1">
      <c r="A137" s="27" t="s">
        <v>127</v>
      </c>
      <c r="B137" s="27" t="s">
        <v>129</v>
      </c>
      <c r="C137" s="88" t="s">
        <v>134</v>
      </c>
      <c r="D137" s="88" t="s">
        <v>144</v>
      </c>
      <c r="E137" s="27" t="s">
        <v>129</v>
      </c>
      <c r="F137" s="88" t="s">
        <v>134</v>
      </c>
      <c r="G137" s="88" t="s">
        <v>145</v>
      </c>
      <c r="H137" s="88" t="s">
        <v>145</v>
      </c>
      <c r="I137" s="88"/>
      <c r="J137" s="728" t="s">
        <v>165</v>
      </c>
      <c r="K137" s="726">
        <f t="shared" ref="K137:T137" si="67">SUM(K138:K140)</f>
        <v>0</v>
      </c>
      <c r="L137" s="726">
        <f t="shared" si="67"/>
        <v>0</v>
      </c>
      <c r="M137" s="726">
        <f t="shared" si="67"/>
        <v>0</v>
      </c>
      <c r="N137" s="1843">
        <f t="shared" si="67"/>
        <v>0</v>
      </c>
      <c r="O137" s="726">
        <f t="shared" si="67"/>
        <v>0</v>
      </c>
      <c r="P137" s="726">
        <f t="shared" si="67"/>
        <v>0</v>
      </c>
      <c r="Q137" s="726">
        <f t="shared" si="67"/>
        <v>0</v>
      </c>
      <c r="R137" s="726">
        <f t="shared" si="67"/>
        <v>0</v>
      </c>
      <c r="S137" s="726">
        <f t="shared" si="67"/>
        <v>0</v>
      </c>
      <c r="T137" s="1843">
        <f t="shared" si="67"/>
        <v>0</v>
      </c>
      <c r="U137" s="726" t="e">
        <f t="shared" si="66"/>
        <v>#DIV/0!</v>
      </c>
      <c r="V137" s="726"/>
      <c r="W137" s="27"/>
      <c r="X137" s="27"/>
      <c r="Y137" s="699"/>
    </row>
    <row r="138" spans="1:25" ht="22.5" customHeight="1" thickTop="1" thickBot="1">
      <c r="A138" s="27" t="s">
        <v>127</v>
      </c>
      <c r="B138" s="27" t="s">
        <v>129</v>
      </c>
      <c r="C138" s="88" t="s">
        <v>134</v>
      </c>
      <c r="D138" s="88" t="s">
        <v>144</v>
      </c>
      <c r="E138" s="27" t="s">
        <v>129</v>
      </c>
      <c r="F138" s="88" t="s">
        <v>134</v>
      </c>
      <c r="G138" s="88" t="s">
        <v>145</v>
      </c>
      <c r="H138" s="88" t="s">
        <v>145</v>
      </c>
      <c r="I138" s="88" t="s">
        <v>129</v>
      </c>
      <c r="J138" s="659" t="s">
        <v>166</v>
      </c>
      <c r="K138" s="726"/>
      <c r="L138" s="726"/>
      <c r="M138" s="726"/>
      <c r="N138" s="1853">
        <f t="shared" ref="N138:N202" si="68">K138+L138-M138</f>
        <v>0</v>
      </c>
      <c r="O138" s="726"/>
      <c r="P138" s="726"/>
      <c r="Q138" s="726"/>
      <c r="R138" s="726"/>
      <c r="S138" s="727"/>
      <c r="T138" s="1843"/>
      <c r="U138" s="721" t="e">
        <f t="shared" si="66"/>
        <v>#DIV/0!</v>
      </c>
      <c r="V138" s="694"/>
      <c r="W138" s="27"/>
      <c r="X138" s="27"/>
      <c r="Y138" s="699"/>
    </row>
    <row r="139" spans="1:25" ht="22.5" customHeight="1" thickTop="1" thickBot="1">
      <c r="A139" s="27" t="s">
        <v>127</v>
      </c>
      <c r="B139" s="27" t="s">
        <v>129</v>
      </c>
      <c r="C139" s="88" t="s">
        <v>134</v>
      </c>
      <c r="D139" s="88" t="s">
        <v>144</v>
      </c>
      <c r="E139" s="27" t="s">
        <v>129</v>
      </c>
      <c r="F139" s="88" t="s">
        <v>134</v>
      </c>
      <c r="G139" s="88" t="s">
        <v>145</v>
      </c>
      <c r="H139" s="88" t="s">
        <v>145</v>
      </c>
      <c r="I139" s="88" t="s">
        <v>134</v>
      </c>
      <c r="J139" s="659" t="s">
        <v>167</v>
      </c>
      <c r="K139" s="726"/>
      <c r="L139" s="726"/>
      <c r="M139" s="726"/>
      <c r="N139" s="1853">
        <f t="shared" si="68"/>
        <v>0</v>
      </c>
      <c r="O139" s="726"/>
      <c r="P139" s="726"/>
      <c r="Q139" s="726"/>
      <c r="R139" s="726"/>
      <c r="S139" s="727"/>
      <c r="T139" s="1843"/>
      <c r="U139" s="721" t="e">
        <f t="shared" si="66"/>
        <v>#DIV/0!</v>
      </c>
      <c r="V139" s="694"/>
      <c r="W139" s="27"/>
      <c r="X139" s="27"/>
      <c r="Y139" s="699"/>
    </row>
    <row r="140" spans="1:25" ht="22.5" customHeight="1" thickTop="1" thickBot="1">
      <c r="A140" s="27" t="s">
        <v>127</v>
      </c>
      <c r="B140" s="27" t="s">
        <v>129</v>
      </c>
      <c r="C140" s="88" t="s">
        <v>134</v>
      </c>
      <c r="D140" s="88" t="s">
        <v>144</v>
      </c>
      <c r="E140" s="27" t="s">
        <v>129</v>
      </c>
      <c r="F140" s="88" t="s">
        <v>134</v>
      </c>
      <c r="G140" s="88" t="s">
        <v>145</v>
      </c>
      <c r="H140" s="88" t="s">
        <v>145</v>
      </c>
      <c r="I140" s="88" t="s">
        <v>139</v>
      </c>
      <c r="J140" s="659" t="s">
        <v>168</v>
      </c>
      <c r="K140" s="726"/>
      <c r="L140" s="726"/>
      <c r="M140" s="726"/>
      <c r="N140" s="1853">
        <f t="shared" si="68"/>
        <v>0</v>
      </c>
      <c r="O140" s="726"/>
      <c r="P140" s="726"/>
      <c r="Q140" s="726"/>
      <c r="R140" s="726"/>
      <c r="S140" s="727"/>
      <c r="T140" s="1843"/>
      <c r="U140" s="721" t="e">
        <f t="shared" si="66"/>
        <v>#DIV/0!</v>
      </c>
      <c r="V140" s="694"/>
      <c r="W140" s="27"/>
      <c r="X140" s="27"/>
      <c r="Y140" s="699"/>
    </row>
    <row r="141" spans="1:25" ht="22.5" customHeight="1" thickTop="1" thickBot="1">
      <c r="A141" s="27"/>
      <c r="B141" s="27"/>
      <c r="C141" s="88"/>
      <c r="D141" s="88"/>
      <c r="E141" s="27"/>
      <c r="F141" s="88"/>
      <c r="G141" s="88"/>
      <c r="H141" s="88"/>
      <c r="I141" s="88"/>
      <c r="J141" s="659" t="s">
        <v>1111</v>
      </c>
      <c r="K141" s="726">
        <v>28000000</v>
      </c>
      <c r="L141" s="726"/>
      <c r="M141" s="726"/>
      <c r="N141" s="1857"/>
      <c r="O141" s="726"/>
      <c r="P141" s="726">
        <v>28000000</v>
      </c>
      <c r="Q141" s="726"/>
      <c r="R141" s="726"/>
      <c r="S141" s="727"/>
      <c r="T141" s="1844">
        <v>28000000</v>
      </c>
      <c r="U141" s="721"/>
      <c r="V141" s="694"/>
      <c r="W141" s="27"/>
      <c r="X141" s="27"/>
      <c r="Y141" s="699"/>
    </row>
    <row r="142" spans="1:25" s="1" customFormat="1" ht="22.5" customHeight="1" thickTop="1" thickBot="1">
      <c r="A142" s="700" t="s">
        <v>127</v>
      </c>
      <c r="B142" s="701" t="s">
        <v>134</v>
      </c>
      <c r="C142" s="701"/>
      <c r="D142" s="701"/>
      <c r="E142" s="701"/>
      <c r="F142" s="701"/>
      <c r="G142" s="701"/>
      <c r="H142" s="26"/>
      <c r="I142" s="26"/>
      <c r="J142" s="702" t="s">
        <v>169</v>
      </c>
      <c r="K142" s="703">
        <f t="shared" ref="K142:R142" si="69">+K143+K152+K189+K195+K214+K244+K257</f>
        <v>26632186240.459999</v>
      </c>
      <c r="L142" s="703">
        <f>+L143+L152+L189+L195+L214+L244+L257</f>
        <v>0</v>
      </c>
      <c r="M142" s="703">
        <f>+M143+M152+M189+M195+M214+M244+M257</f>
        <v>0</v>
      </c>
      <c r="N142" s="1850">
        <f t="shared" si="68"/>
        <v>26632186240.459999</v>
      </c>
      <c r="O142" s="703">
        <f t="shared" si="69"/>
        <v>0</v>
      </c>
      <c r="P142" s="703">
        <f t="shared" si="69"/>
        <v>26632186240.459999</v>
      </c>
      <c r="Q142" s="703">
        <f t="shared" si="69"/>
        <v>0</v>
      </c>
      <c r="R142" s="703">
        <f t="shared" si="69"/>
        <v>0</v>
      </c>
      <c r="S142" s="703">
        <f>+S143+S152+S189+S195+S214+S244+S257</f>
        <v>0</v>
      </c>
      <c r="T142" s="1850">
        <f>+T143+T152+T189+T195+T214+T244+T257</f>
        <v>23177078655</v>
      </c>
      <c r="U142" s="704" t="e">
        <f t="shared" si="66"/>
        <v>#DIV/0!</v>
      </c>
      <c r="V142" s="700"/>
      <c r="W142" s="700" t="s">
        <v>1112</v>
      </c>
      <c r="X142" s="700"/>
      <c r="Y142" s="699" t="s">
        <v>968</v>
      </c>
    </row>
    <row r="143" spans="1:25" s="1" customFormat="1" ht="22.5" customHeight="1" thickTop="1" thickBot="1">
      <c r="A143" s="705" t="s">
        <v>127</v>
      </c>
      <c r="B143" s="706" t="s">
        <v>134</v>
      </c>
      <c r="C143" s="706" t="s">
        <v>129</v>
      </c>
      <c r="D143" s="706"/>
      <c r="E143" s="706"/>
      <c r="F143" s="706"/>
      <c r="G143" s="706"/>
      <c r="H143" s="707"/>
      <c r="I143" s="707"/>
      <c r="J143" s="708" t="s">
        <v>170</v>
      </c>
      <c r="K143" s="709">
        <f>+K144</f>
        <v>0</v>
      </c>
      <c r="L143" s="709">
        <f>+L144</f>
        <v>0</v>
      </c>
      <c r="M143" s="709">
        <f>+M144</f>
        <v>0</v>
      </c>
      <c r="N143" s="1851">
        <f t="shared" si="68"/>
        <v>0</v>
      </c>
      <c r="O143" s="709">
        <f t="shared" ref="O143:T143" si="70">+O144</f>
        <v>0</v>
      </c>
      <c r="P143" s="709">
        <f t="shared" si="70"/>
        <v>0</v>
      </c>
      <c r="Q143" s="709">
        <f t="shared" si="70"/>
        <v>0</v>
      </c>
      <c r="R143" s="709">
        <f t="shared" si="70"/>
        <v>0</v>
      </c>
      <c r="S143" s="709">
        <f>+S144</f>
        <v>0</v>
      </c>
      <c r="T143" s="1851">
        <f t="shared" si="70"/>
        <v>0</v>
      </c>
      <c r="U143" s="710" t="e">
        <f t="shared" si="66"/>
        <v>#DIV/0!</v>
      </c>
      <c r="V143" s="706"/>
      <c r="W143" s="705" t="s">
        <v>1113</v>
      </c>
      <c r="X143" s="706"/>
      <c r="Y143" s="699" t="s">
        <v>968</v>
      </c>
    </row>
    <row r="144" spans="1:25" s="1" customFormat="1" ht="22.5" customHeight="1" thickTop="1" thickBot="1">
      <c r="A144" s="711" t="s">
        <v>127</v>
      </c>
      <c r="B144" s="712" t="s">
        <v>134</v>
      </c>
      <c r="C144" s="712" t="s">
        <v>129</v>
      </c>
      <c r="D144" s="712" t="s">
        <v>129</v>
      </c>
      <c r="E144" s="712"/>
      <c r="F144" s="712"/>
      <c r="G144" s="712"/>
      <c r="H144" s="713"/>
      <c r="I144" s="713"/>
      <c r="J144" s="714" t="s">
        <v>171</v>
      </c>
      <c r="K144" s="715">
        <f>+K145+K150</f>
        <v>0</v>
      </c>
      <c r="L144" s="715">
        <f>+L145+L150</f>
        <v>0</v>
      </c>
      <c r="M144" s="715">
        <f>+M145+M150</f>
        <v>0</v>
      </c>
      <c r="N144" s="1852">
        <f t="shared" si="68"/>
        <v>0</v>
      </c>
      <c r="O144" s="715">
        <f t="shared" ref="O144:T144" si="71">+O145+O150</f>
        <v>0</v>
      </c>
      <c r="P144" s="715">
        <f t="shared" si="71"/>
        <v>0</v>
      </c>
      <c r="Q144" s="715">
        <f t="shared" si="71"/>
        <v>0</v>
      </c>
      <c r="R144" s="715">
        <f t="shared" si="71"/>
        <v>0</v>
      </c>
      <c r="S144" s="715">
        <f>+S145+S150</f>
        <v>0</v>
      </c>
      <c r="T144" s="1852">
        <f t="shared" si="71"/>
        <v>0</v>
      </c>
      <c r="U144" s="716" t="e">
        <f t="shared" si="66"/>
        <v>#DIV/0!</v>
      </c>
      <c r="V144" s="712"/>
      <c r="W144" s="711" t="s">
        <v>1114</v>
      </c>
      <c r="X144" s="711"/>
      <c r="Y144" s="699" t="s">
        <v>968</v>
      </c>
    </row>
    <row r="145" spans="1:25" s="1" customFormat="1" ht="22.5" customHeight="1" thickTop="1" thickBot="1">
      <c r="A145" s="720" t="s">
        <v>127</v>
      </c>
      <c r="B145" s="694" t="s">
        <v>134</v>
      </c>
      <c r="C145" s="694" t="s">
        <v>129</v>
      </c>
      <c r="D145" s="694" t="s">
        <v>129</v>
      </c>
      <c r="E145" s="694" t="s">
        <v>129</v>
      </c>
      <c r="F145" s="694"/>
      <c r="G145" s="694"/>
      <c r="H145" s="88"/>
      <c r="I145" s="88"/>
      <c r="J145" s="717" t="s">
        <v>172</v>
      </c>
      <c r="K145" s="718">
        <f>+K146+K147+K148</f>
        <v>0</v>
      </c>
      <c r="L145" s="718">
        <f>+L146+L147+L148</f>
        <v>0</v>
      </c>
      <c r="M145" s="718">
        <f>+M146+M147+M148</f>
        <v>0</v>
      </c>
      <c r="N145" s="1843">
        <f t="shared" si="68"/>
        <v>0</v>
      </c>
      <c r="O145" s="718">
        <f t="shared" ref="O145:T145" si="72">+O146+O147+O148</f>
        <v>0</v>
      </c>
      <c r="P145" s="718">
        <f t="shared" si="72"/>
        <v>0</v>
      </c>
      <c r="Q145" s="718">
        <f t="shared" si="72"/>
        <v>0</v>
      </c>
      <c r="R145" s="718">
        <f t="shared" si="72"/>
        <v>0</v>
      </c>
      <c r="S145" s="718">
        <f>+S146+S147+S148</f>
        <v>0</v>
      </c>
      <c r="T145" s="1843">
        <f t="shared" si="72"/>
        <v>0</v>
      </c>
      <c r="U145" s="719" t="e">
        <f t="shared" si="66"/>
        <v>#DIV/0!</v>
      </c>
      <c r="V145" s="694"/>
      <c r="W145" s="720" t="s">
        <v>1115</v>
      </c>
      <c r="X145" s="720"/>
      <c r="Y145" s="699" t="s">
        <v>968</v>
      </c>
    </row>
    <row r="146" spans="1:25" ht="22.5" customHeight="1" thickTop="1" thickBot="1">
      <c r="A146" s="27" t="s">
        <v>127</v>
      </c>
      <c r="B146" s="88" t="s">
        <v>134</v>
      </c>
      <c r="C146" s="88" t="s">
        <v>129</v>
      </c>
      <c r="D146" s="88" t="s">
        <v>129</v>
      </c>
      <c r="E146" s="88" t="s">
        <v>129</v>
      </c>
      <c r="F146" s="694" t="s">
        <v>129</v>
      </c>
      <c r="G146" s="88"/>
      <c r="H146" s="88"/>
      <c r="I146" s="88"/>
      <c r="J146" s="86" t="s">
        <v>173</v>
      </c>
      <c r="K146" s="658"/>
      <c r="L146" s="658"/>
      <c r="M146" s="658"/>
      <c r="N146" s="1853">
        <f t="shared" si="68"/>
        <v>0</v>
      </c>
      <c r="O146" s="658"/>
      <c r="P146" s="658"/>
      <c r="Q146" s="658"/>
      <c r="R146" s="658"/>
      <c r="S146" s="658"/>
      <c r="T146" s="1853"/>
      <c r="U146" s="721" t="e">
        <f t="shared" si="66"/>
        <v>#DIV/0!</v>
      </c>
      <c r="V146" s="694"/>
      <c r="W146" s="27" t="s">
        <v>1116</v>
      </c>
      <c r="X146" s="27"/>
      <c r="Y146" s="699" t="s">
        <v>968</v>
      </c>
    </row>
    <row r="147" spans="1:25" ht="22.5" customHeight="1" thickTop="1" thickBot="1">
      <c r="A147" s="27" t="s">
        <v>127</v>
      </c>
      <c r="B147" s="88" t="s">
        <v>134</v>
      </c>
      <c r="C147" s="88" t="s">
        <v>129</v>
      </c>
      <c r="D147" s="88" t="s">
        <v>129</v>
      </c>
      <c r="E147" s="88" t="s">
        <v>129</v>
      </c>
      <c r="F147" s="694" t="s">
        <v>134</v>
      </c>
      <c r="G147" s="88"/>
      <c r="H147" s="88"/>
      <c r="I147" s="88"/>
      <c r="J147" s="86" t="s">
        <v>174</v>
      </c>
      <c r="K147" s="658"/>
      <c r="L147" s="658"/>
      <c r="M147" s="658"/>
      <c r="N147" s="1853">
        <f t="shared" si="68"/>
        <v>0</v>
      </c>
      <c r="O147" s="658"/>
      <c r="P147" s="658"/>
      <c r="Q147" s="658"/>
      <c r="R147" s="658"/>
      <c r="S147" s="658"/>
      <c r="T147" s="1853"/>
      <c r="U147" s="721" t="e">
        <f t="shared" si="66"/>
        <v>#DIV/0!</v>
      </c>
      <c r="V147" s="694"/>
      <c r="W147" s="27" t="s">
        <v>1117</v>
      </c>
      <c r="X147" s="27"/>
      <c r="Y147" s="699" t="s">
        <v>968</v>
      </c>
    </row>
    <row r="148" spans="1:25" ht="22.5" customHeight="1" thickTop="1" thickBot="1">
      <c r="A148" s="27" t="s">
        <v>127</v>
      </c>
      <c r="B148" s="88" t="s">
        <v>134</v>
      </c>
      <c r="C148" s="88" t="s">
        <v>129</v>
      </c>
      <c r="D148" s="88" t="s">
        <v>129</v>
      </c>
      <c r="E148" s="88" t="s">
        <v>129</v>
      </c>
      <c r="F148" s="694" t="s">
        <v>139</v>
      </c>
      <c r="G148" s="88"/>
      <c r="H148" s="88"/>
      <c r="I148" s="88"/>
      <c r="J148" s="86" t="s">
        <v>175</v>
      </c>
      <c r="K148" s="658">
        <f>+K149</f>
        <v>0</v>
      </c>
      <c r="L148" s="658">
        <f>+L149</f>
        <v>0</v>
      </c>
      <c r="M148" s="658">
        <f>+M149</f>
        <v>0</v>
      </c>
      <c r="N148" s="1853">
        <f t="shared" si="68"/>
        <v>0</v>
      </c>
      <c r="O148" s="658">
        <f t="shared" ref="O148:T148" si="73">+O149</f>
        <v>0</v>
      </c>
      <c r="P148" s="658">
        <f t="shared" si="73"/>
        <v>0</v>
      </c>
      <c r="Q148" s="658">
        <f t="shared" si="73"/>
        <v>0</v>
      </c>
      <c r="R148" s="658">
        <f t="shared" si="73"/>
        <v>0</v>
      </c>
      <c r="S148" s="658">
        <f>+S149</f>
        <v>0</v>
      </c>
      <c r="T148" s="1853">
        <f t="shared" si="73"/>
        <v>0</v>
      </c>
      <c r="U148" s="721" t="e">
        <f t="shared" si="66"/>
        <v>#DIV/0!</v>
      </c>
      <c r="V148" s="694"/>
      <c r="W148" s="27" t="s">
        <v>1118</v>
      </c>
      <c r="X148" s="27"/>
      <c r="Y148" s="699" t="s">
        <v>968</v>
      </c>
    </row>
    <row r="149" spans="1:25" ht="22.5" customHeight="1" thickTop="1" thickBot="1">
      <c r="A149" s="27" t="s">
        <v>127</v>
      </c>
      <c r="B149" s="88" t="s">
        <v>134</v>
      </c>
      <c r="C149" s="88" t="s">
        <v>129</v>
      </c>
      <c r="D149" s="88" t="s">
        <v>129</v>
      </c>
      <c r="E149" s="88" t="s">
        <v>129</v>
      </c>
      <c r="F149" s="88" t="s">
        <v>139</v>
      </c>
      <c r="G149" s="694" t="s">
        <v>129</v>
      </c>
      <c r="H149" s="88"/>
      <c r="I149" s="88"/>
      <c r="J149" s="86" t="s">
        <v>176</v>
      </c>
      <c r="K149" s="718"/>
      <c r="L149" s="718"/>
      <c r="M149" s="718"/>
      <c r="N149" s="1843">
        <f t="shared" si="68"/>
        <v>0</v>
      </c>
      <c r="O149" s="718"/>
      <c r="P149" s="718"/>
      <c r="Q149" s="718"/>
      <c r="R149" s="718"/>
      <c r="S149" s="718"/>
      <c r="T149" s="1843"/>
      <c r="U149" s="719" t="e">
        <f t="shared" si="66"/>
        <v>#DIV/0!</v>
      </c>
      <c r="V149" s="694"/>
      <c r="W149" s="27" t="s">
        <v>1119</v>
      </c>
      <c r="X149" s="27"/>
      <c r="Y149" s="699" t="s">
        <v>968</v>
      </c>
    </row>
    <row r="150" spans="1:25" s="1" customFormat="1" ht="22.5" customHeight="1" thickTop="1" thickBot="1">
      <c r="A150" s="720" t="s">
        <v>127</v>
      </c>
      <c r="B150" s="694" t="s">
        <v>134</v>
      </c>
      <c r="C150" s="694" t="s">
        <v>129</v>
      </c>
      <c r="D150" s="694" t="s">
        <v>129</v>
      </c>
      <c r="E150" s="694" t="s">
        <v>134</v>
      </c>
      <c r="F150" s="694"/>
      <c r="G150" s="694"/>
      <c r="H150" s="88"/>
      <c r="I150" s="88"/>
      <c r="J150" s="717" t="s">
        <v>177</v>
      </c>
      <c r="K150" s="718">
        <f>+K151</f>
        <v>0</v>
      </c>
      <c r="L150" s="718">
        <f>+L151</f>
        <v>0</v>
      </c>
      <c r="M150" s="718">
        <f>+M151</f>
        <v>0</v>
      </c>
      <c r="N150" s="1843">
        <f t="shared" si="68"/>
        <v>0</v>
      </c>
      <c r="O150" s="718">
        <f t="shared" ref="O150:T150" si="74">+O151</f>
        <v>0</v>
      </c>
      <c r="P150" s="718">
        <f t="shared" si="74"/>
        <v>0</v>
      </c>
      <c r="Q150" s="718">
        <f t="shared" si="74"/>
        <v>0</v>
      </c>
      <c r="R150" s="718">
        <f t="shared" si="74"/>
        <v>0</v>
      </c>
      <c r="S150" s="718">
        <f>+S151</f>
        <v>0</v>
      </c>
      <c r="T150" s="1843">
        <f t="shared" si="74"/>
        <v>0</v>
      </c>
      <c r="U150" s="719" t="e">
        <f t="shared" si="66"/>
        <v>#DIV/0!</v>
      </c>
      <c r="V150" s="694"/>
      <c r="W150" s="720" t="s">
        <v>1120</v>
      </c>
      <c r="X150" s="720"/>
      <c r="Y150" s="699" t="s">
        <v>968</v>
      </c>
    </row>
    <row r="151" spans="1:25" ht="22.5" customHeight="1" thickTop="1" thickBot="1">
      <c r="A151" s="27" t="s">
        <v>127</v>
      </c>
      <c r="B151" s="88" t="s">
        <v>134</v>
      </c>
      <c r="C151" s="88" t="s">
        <v>129</v>
      </c>
      <c r="D151" s="88" t="s">
        <v>129</v>
      </c>
      <c r="E151" s="88" t="s">
        <v>134</v>
      </c>
      <c r="F151" s="694" t="s">
        <v>129</v>
      </c>
      <c r="G151" s="88"/>
      <c r="H151" s="88"/>
      <c r="I151" s="88"/>
      <c r="J151" s="86" t="s">
        <v>178</v>
      </c>
      <c r="K151" s="658"/>
      <c r="L151" s="658"/>
      <c r="M151" s="658"/>
      <c r="N151" s="1853">
        <f t="shared" si="68"/>
        <v>0</v>
      </c>
      <c r="O151" s="658"/>
      <c r="P151" s="658"/>
      <c r="Q151" s="658"/>
      <c r="R151" s="658"/>
      <c r="S151" s="658"/>
      <c r="T151" s="1853"/>
      <c r="U151" s="721" t="e">
        <f t="shared" si="66"/>
        <v>#DIV/0!</v>
      </c>
      <c r="V151" s="694"/>
      <c r="W151" s="27" t="s">
        <v>1121</v>
      </c>
      <c r="X151" s="27"/>
      <c r="Y151" s="699" t="s">
        <v>968</v>
      </c>
    </row>
    <row r="152" spans="1:25" s="1" customFormat="1" ht="22.5" customHeight="1" thickTop="1" thickBot="1">
      <c r="A152" s="705" t="s">
        <v>127</v>
      </c>
      <c r="B152" s="706" t="s">
        <v>134</v>
      </c>
      <c r="C152" s="706" t="s">
        <v>134</v>
      </c>
      <c r="D152" s="706"/>
      <c r="E152" s="706"/>
      <c r="F152" s="706"/>
      <c r="G152" s="706"/>
      <c r="H152" s="707"/>
      <c r="I152" s="707"/>
      <c r="J152" s="708" t="s">
        <v>179</v>
      </c>
      <c r="K152" s="729">
        <f t="shared" ref="K152:R152" si="75">+K153+K154+K171+K187+K188</f>
        <v>331242317.45999998</v>
      </c>
      <c r="L152" s="729">
        <f>+L153+L154+L171+L187+L188</f>
        <v>0</v>
      </c>
      <c r="M152" s="729">
        <f>+M153+M154+M171+M187+M188</f>
        <v>0</v>
      </c>
      <c r="N152" s="1851">
        <f t="shared" si="68"/>
        <v>331242317.45999998</v>
      </c>
      <c r="O152" s="729">
        <f t="shared" si="75"/>
        <v>0</v>
      </c>
      <c r="P152" s="729">
        <f t="shared" si="75"/>
        <v>331242317.45999998</v>
      </c>
      <c r="Q152" s="729">
        <f t="shared" si="75"/>
        <v>0</v>
      </c>
      <c r="R152" s="729">
        <f t="shared" si="75"/>
        <v>0</v>
      </c>
      <c r="S152" s="729">
        <f>+S153+S154+S171+S187+S188</f>
        <v>0</v>
      </c>
      <c r="T152" s="1851">
        <f>+T153+T154+T171+T187+T188</f>
        <v>236078656</v>
      </c>
      <c r="U152" s="710" t="e">
        <f t="shared" si="66"/>
        <v>#DIV/0!</v>
      </c>
      <c r="V152" s="706"/>
      <c r="W152" s="706" t="s">
        <v>1122</v>
      </c>
      <c r="X152" s="706"/>
      <c r="Y152" s="699" t="s">
        <v>968</v>
      </c>
    </row>
    <row r="153" spans="1:25" s="1" customFormat="1" ht="22.5" customHeight="1" thickTop="1" thickBot="1">
      <c r="A153" s="711" t="s">
        <v>127</v>
      </c>
      <c r="B153" s="712" t="s">
        <v>134</v>
      </c>
      <c r="C153" s="712" t="s">
        <v>134</v>
      </c>
      <c r="D153" s="712" t="s">
        <v>129</v>
      </c>
      <c r="E153" s="712"/>
      <c r="F153" s="712"/>
      <c r="G153" s="712"/>
      <c r="H153" s="713"/>
      <c r="I153" s="713"/>
      <c r="J153" s="714" t="s">
        <v>1123</v>
      </c>
      <c r="K153" s="724"/>
      <c r="L153" s="724"/>
      <c r="M153" s="724"/>
      <c r="N153" s="1852">
        <f t="shared" si="68"/>
        <v>0</v>
      </c>
      <c r="O153" s="724"/>
      <c r="P153" s="724"/>
      <c r="Q153" s="724"/>
      <c r="R153" s="724"/>
      <c r="S153" s="724"/>
      <c r="T153" s="1852"/>
      <c r="U153" s="716" t="e">
        <f t="shared" si="66"/>
        <v>#DIV/0!</v>
      </c>
      <c r="V153" s="712"/>
      <c r="W153" s="711" t="s">
        <v>1124</v>
      </c>
      <c r="X153" s="711"/>
      <c r="Y153" s="699" t="s">
        <v>968</v>
      </c>
    </row>
    <row r="154" spans="1:25" s="1" customFormat="1" ht="22.5" customHeight="1" thickTop="1" thickBot="1">
      <c r="A154" s="711" t="s">
        <v>127</v>
      </c>
      <c r="B154" s="712" t="s">
        <v>134</v>
      </c>
      <c r="C154" s="712" t="s">
        <v>134</v>
      </c>
      <c r="D154" s="712" t="s">
        <v>134</v>
      </c>
      <c r="E154" s="712"/>
      <c r="F154" s="712"/>
      <c r="G154" s="712"/>
      <c r="H154" s="713"/>
      <c r="I154" s="713"/>
      <c r="J154" s="714" t="s">
        <v>1125</v>
      </c>
      <c r="K154" s="724">
        <f>+K155+K156+K159+K165+K166+K167+K168+K169</f>
        <v>331242317.45999998</v>
      </c>
      <c r="L154" s="724">
        <f>+L155+L156+L159+L165+L166+L167+L168+L169</f>
        <v>0</v>
      </c>
      <c r="M154" s="724">
        <f>+M155+M156+M159+M165+M166+M167+M168+M169</f>
        <v>0</v>
      </c>
      <c r="N154" s="1852">
        <f t="shared" si="68"/>
        <v>331242317.45999998</v>
      </c>
      <c r="O154" s="724">
        <f t="shared" ref="O154:T154" si="76">+O155+O156+O159+O165+O166+O167+O168+O169</f>
        <v>0</v>
      </c>
      <c r="P154" s="724">
        <f t="shared" si="76"/>
        <v>331242317.45999998</v>
      </c>
      <c r="Q154" s="724">
        <f t="shared" si="76"/>
        <v>0</v>
      </c>
      <c r="R154" s="724">
        <f t="shared" si="76"/>
        <v>0</v>
      </c>
      <c r="S154" s="724">
        <f t="shared" si="76"/>
        <v>0</v>
      </c>
      <c r="T154" s="1852">
        <f t="shared" si="76"/>
        <v>236078656</v>
      </c>
      <c r="U154" s="716" t="e">
        <f t="shared" si="66"/>
        <v>#DIV/0!</v>
      </c>
      <c r="V154" s="712"/>
      <c r="W154" s="711" t="s">
        <v>1126</v>
      </c>
      <c r="X154" s="711"/>
      <c r="Y154" s="699" t="s">
        <v>968</v>
      </c>
    </row>
    <row r="155" spans="1:25" s="1" customFormat="1" ht="22.5" customHeight="1" thickTop="1" thickBot="1">
      <c r="A155" s="720" t="s">
        <v>127</v>
      </c>
      <c r="B155" s="694" t="s">
        <v>134</v>
      </c>
      <c r="C155" s="694" t="s">
        <v>134</v>
      </c>
      <c r="D155" s="694" t="s">
        <v>134</v>
      </c>
      <c r="E155" s="694" t="s">
        <v>129</v>
      </c>
      <c r="F155" s="694"/>
      <c r="G155" s="694"/>
      <c r="H155" s="88"/>
      <c r="I155" s="88"/>
      <c r="J155" s="717" t="s">
        <v>1127</v>
      </c>
      <c r="K155" s="726">
        <v>331242317.45999998</v>
      </c>
      <c r="L155" s="726">
        <f>+L156+L157+L158+L159+L165+L166+L171</f>
        <v>0</v>
      </c>
      <c r="M155" s="726">
        <f>+M156+M157+M158+M159+M165+M166+M171</f>
        <v>0</v>
      </c>
      <c r="N155" s="1844">
        <f t="shared" si="68"/>
        <v>331242317.45999998</v>
      </c>
      <c r="O155" s="726">
        <f t="shared" ref="O155:R155" si="77">+O156+O157+O158+O159+O165+O166+O171</f>
        <v>0</v>
      </c>
      <c r="P155" s="726">
        <f>+N155</f>
        <v>331242317.45999998</v>
      </c>
      <c r="Q155" s="726">
        <f t="shared" si="77"/>
        <v>0</v>
      </c>
      <c r="R155" s="726">
        <f t="shared" si="77"/>
        <v>0</v>
      </c>
      <c r="S155" s="726">
        <f>+S156+S157+S158+S159+S165+S166+S171</f>
        <v>0</v>
      </c>
      <c r="T155" s="1844">
        <v>236078656</v>
      </c>
      <c r="U155" s="719" t="e">
        <f t="shared" si="66"/>
        <v>#DIV/0!</v>
      </c>
      <c r="V155" s="720"/>
      <c r="W155" s="720" t="s">
        <v>1128</v>
      </c>
      <c r="X155" s="720"/>
      <c r="Y155" s="699" t="s">
        <v>968</v>
      </c>
    </row>
    <row r="156" spans="1:25" ht="22.5" customHeight="1" thickTop="1" thickBot="1">
      <c r="A156" s="27" t="s">
        <v>127</v>
      </c>
      <c r="B156" s="88" t="s">
        <v>134</v>
      </c>
      <c r="C156" s="88" t="s">
        <v>134</v>
      </c>
      <c r="D156" s="88" t="s">
        <v>134</v>
      </c>
      <c r="E156" s="88" t="s">
        <v>129</v>
      </c>
      <c r="F156" s="694" t="s">
        <v>129</v>
      </c>
      <c r="G156" s="88"/>
      <c r="H156" s="88"/>
      <c r="I156" s="88"/>
      <c r="J156" s="717" t="s">
        <v>1129</v>
      </c>
      <c r="K156" s="727"/>
      <c r="L156" s="727"/>
      <c r="M156" s="727"/>
      <c r="N156" s="1853">
        <f t="shared" si="68"/>
        <v>0</v>
      </c>
      <c r="O156" s="727"/>
      <c r="P156" s="727"/>
      <c r="Q156" s="727"/>
      <c r="R156" s="727"/>
      <c r="S156" s="727"/>
      <c r="T156" s="1853"/>
      <c r="U156" s="721" t="e">
        <f t="shared" si="66"/>
        <v>#DIV/0!</v>
      </c>
      <c r="V156" s="27"/>
      <c r="W156" s="27"/>
      <c r="X156" s="27"/>
      <c r="Y156" s="699" t="s">
        <v>968</v>
      </c>
    </row>
    <row r="157" spans="1:25" ht="22.5" customHeight="1" thickTop="1" thickBot="1">
      <c r="A157" s="27" t="s">
        <v>127</v>
      </c>
      <c r="B157" s="88" t="s">
        <v>134</v>
      </c>
      <c r="C157" s="88" t="s">
        <v>134</v>
      </c>
      <c r="D157" s="88" t="s">
        <v>134</v>
      </c>
      <c r="E157" s="88" t="s">
        <v>129</v>
      </c>
      <c r="F157" s="88" t="s">
        <v>129</v>
      </c>
      <c r="G157" s="694" t="s">
        <v>129</v>
      </c>
      <c r="H157" s="88"/>
      <c r="I157" s="88"/>
      <c r="J157" s="86" t="s">
        <v>1130</v>
      </c>
      <c r="K157" s="727"/>
      <c r="L157" s="727"/>
      <c r="M157" s="727"/>
      <c r="N157" s="1853">
        <f t="shared" si="68"/>
        <v>0</v>
      </c>
      <c r="O157" s="727"/>
      <c r="P157" s="727"/>
      <c r="Q157" s="727"/>
      <c r="R157" s="727"/>
      <c r="S157" s="727"/>
      <c r="T157" s="1853"/>
      <c r="U157" s="721" t="e">
        <f t="shared" si="66"/>
        <v>#DIV/0!</v>
      </c>
      <c r="V157" s="27"/>
      <c r="W157" s="27"/>
      <c r="X157" s="27"/>
      <c r="Y157" s="699" t="s">
        <v>968</v>
      </c>
    </row>
    <row r="158" spans="1:25" ht="22.5" customHeight="1" thickTop="1" thickBot="1">
      <c r="A158" s="27" t="s">
        <v>127</v>
      </c>
      <c r="B158" s="88" t="s">
        <v>134</v>
      </c>
      <c r="C158" s="88" t="s">
        <v>134</v>
      </c>
      <c r="D158" s="88" t="s">
        <v>134</v>
      </c>
      <c r="E158" s="88" t="s">
        <v>129</v>
      </c>
      <c r="F158" s="694" t="s">
        <v>134</v>
      </c>
      <c r="G158" s="88"/>
      <c r="H158" s="88"/>
      <c r="I158" s="88"/>
      <c r="J158" s="717" t="s">
        <v>1131</v>
      </c>
      <c r="K158" s="727"/>
      <c r="L158" s="727"/>
      <c r="M158" s="727"/>
      <c r="N158" s="1853">
        <f t="shared" si="68"/>
        <v>0</v>
      </c>
      <c r="O158" s="727"/>
      <c r="P158" s="727"/>
      <c r="Q158" s="727"/>
      <c r="R158" s="727"/>
      <c r="S158" s="727"/>
      <c r="T158" s="1853"/>
      <c r="U158" s="721" t="e">
        <f t="shared" si="66"/>
        <v>#DIV/0!</v>
      </c>
      <c r="V158" s="27"/>
      <c r="W158" s="27"/>
      <c r="X158" s="27"/>
      <c r="Y158" s="699" t="s">
        <v>968</v>
      </c>
    </row>
    <row r="159" spans="1:25" ht="22.5" customHeight="1" thickTop="1" thickBot="1">
      <c r="A159" s="27" t="s">
        <v>127</v>
      </c>
      <c r="B159" s="88" t="s">
        <v>134</v>
      </c>
      <c r="C159" s="88" t="s">
        <v>134</v>
      </c>
      <c r="D159" s="88" t="s">
        <v>134</v>
      </c>
      <c r="E159" s="88" t="s">
        <v>129</v>
      </c>
      <c r="F159" s="694" t="s">
        <v>139</v>
      </c>
      <c r="G159" s="88"/>
      <c r="H159" s="88"/>
      <c r="I159" s="88"/>
      <c r="J159" s="717" t="s">
        <v>1132</v>
      </c>
      <c r="K159" s="726">
        <f>SUM(K160:K164)</f>
        <v>0</v>
      </c>
      <c r="L159" s="726">
        <f>SUM(L160:L164)</f>
        <v>0</v>
      </c>
      <c r="M159" s="726">
        <f>SUM(M160:M164)</f>
        <v>0</v>
      </c>
      <c r="N159" s="1843">
        <f t="shared" si="68"/>
        <v>0</v>
      </c>
      <c r="O159" s="726">
        <f t="shared" ref="O159:T159" si="78">SUM(O160:O164)</f>
        <v>0</v>
      </c>
      <c r="P159" s="726">
        <f t="shared" si="78"/>
        <v>0</v>
      </c>
      <c r="Q159" s="726">
        <f t="shared" si="78"/>
        <v>0</v>
      </c>
      <c r="R159" s="726">
        <f t="shared" si="78"/>
        <v>0</v>
      </c>
      <c r="S159" s="726">
        <f>SUM(S160:S164)</f>
        <v>0</v>
      </c>
      <c r="T159" s="1843">
        <f t="shared" si="78"/>
        <v>0</v>
      </c>
      <c r="U159" s="719" t="e">
        <f t="shared" si="66"/>
        <v>#DIV/0!</v>
      </c>
      <c r="V159" s="27"/>
      <c r="W159" s="27"/>
      <c r="X159" s="27"/>
      <c r="Y159" s="699" t="s">
        <v>968</v>
      </c>
    </row>
    <row r="160" spans="1:25" ht="22.5" customHeight="1" thickTop="1" thickBot="1">
      <c r="A160" s="27" t="s">
        <v>127</v>
      </c>
      <c r="B160" s="88" t="s">
        <v>134</v>
      </c>
      <c r="C160" s="88" t="s">
        <v>134</v>
      </c>
      <c r="D160" s="88" t="s">
        <v>134</v>
      </c>
      <c r="E160" s="88" t="s">
        <v>129</v>
      </c>
      <c r="F160" s="88" t="s">
        <v>139</v>
      </c>
      <c r="G160" s="694" t="s">
        <v>129</v>
      </c>
      <c r="H160" s="88"/>
      <c r="I160" s="88"/>
      <c r="J160" s="86" t="s">
        <v>1133</v>
      </c>
      <c r="K160" s="727"/>
      <c r="L160" s="727"/>
      <c r="M160" s="727"/>
      <c r="N160" s="1853">
        <f t="shared" si="68"/>
        <v>0</v>
      </c>
      <c r="O160" s="727"/>
      <c r="P160" s="727"/>
      <c r="Q160" s="727"/>
      <c r="R160" s="727"/>
      <c r="S160" s="727"/>
      <c r="T160" s="1853"/>
      <c r="U160" s="721" t="e">
        <f t="shared" si="66"/>
        <v>#DIV/0!</v>
      </c>
      <c r="V160" s="27"/>
      <c r="W160" s="27"/>
      <c r="X160" s="27"/>
      <c r="Y160" s="699" t="s">
        <v>968</v>
      </c>
    </row>
    <row r="161" spans="1:25" ht="22.5" customHeight="1" thickTop="1" thickBot="1">
      <c r="A161" s="27" t="s">
        <v>127</v>
      </c>
      <c r="B161" s="88" t="s">
        <v>134</v>
      </c>
      <c r="C161" s="88" t="s">
        <v>134</v>
      </c>
      <c r="D161" s="88" t="s">
        <v>134</v>
      </c>
      <c r="E161" s="88" t="s">
        <v>129</v>
      </c>
      <c r="F161" s="88" t="s">
        <v>139</v>
      </c>
      <c r="G161" s="694" t="s">
        <v>134</v>
      </c>
      <c r="H161" s="88"/>
      <c r="I161" s="88"/>
      <c r="J161" s="86" t="s">
        <v>1134</v>
      </c>
      <c r="K161" s="727"/>
      <c r="L161" s="727"/>
      <c r="M161" s="727"/>
      <c r="N161" s="1853">
        <f t="shared" si="68"/>
        <v>0</v>
      </c>
      <c r="O161" s="727"/>
      <c r="P161" s="727"/>
      <c r="Q161" s="727"/>
      <c r="R161" s="727"/>
      <c r="S161" s="727"/>
      <c r="T161" s="1853"/>
      <c r="U161" s="721" t="e">
        <f t="shared" si="66"/>
        <v>#DIV/0!</v>
      </c>
      <c r="V161" s="27"/>
      <c r="W161" s="27"/>
      <c r="X161" s="27"/>
      <c r="Y161" s="699" t="s">
        <v>968</v>
      </c>
    </row>
    <row r="162" spans="1:25" ht="22.5" customHeight="1" thickTop="1" thickBot="1">
      <c r="A162" s="27" t="s">
        <v>127</v>
      </c>
      <c r="B162" s="88" t="s">
        <v>134</v>
      </c>
      <c r="C162" s="88" t="s">
        <v>134</v>
      </c>
      <c r="D162" s="88" t="s">
        <v>134</v>
      </c>
      <c r="E162" s="88" t="s">
        <v>129</v>
      </c>
      <c r="F162" s="88" t="s">
        <v>139</v>
      </c>
      <c r="G162" s="694" t="s">
        <v>139</v>
      </c>
      <c r="H162" s="88"/>
      <c r="I162" s="88"/>
      <c r="J162" s="86" t="s">
        <v>1135</v>
      </c>
      <c r="K162" s="727"/>
      <c r="L162" s="727"/>
      <c r="M162" s="727"/>
      <c r="N162" s="1853">
        <f t="shared" si="68"/>
        <v>0</v>
      </c>
      <c r="O162" s="727"/>
      <c r="P162" s="727"/>
      <c r="Q162" s="727"/>
      <c r="R162" s="727"/>
      <c r="S162" s="727"/>
      <c r="T162" s="1853"/>
      <c r="U162" s="721" t="e">
        <f t="shared" si="66"/>
        <v>#DIV/0!</v>
      </c>
      <c r="V162" s="27"/>
      <c r="W162" s="27"/>
      <c r="X162" s="27"/>
      <c r="Y162" s="699" t="s">
        <v>968</v>
      </c>
    </row>
    <row r="163" spans="1:25" ht="22.5" customHeight="1" thickTop="1" thickBot="1">
      <c r="A163" s="27" t="s">
        <v>127</v>
      </c>
      <c r="B163" s="88" t="s">
        <v>134</v>
      </c>
      <c r="C163" s="88" t="s">
        <v>134</v>
      </c>
      <c r="D163" s="88" t="s">
        <v>134</v>
      </c>
      <c r="E163" s="88" t="s">
        <v>129</v>
      </c>
      <c r="F163" s="88" t="s">
        <v>139</v>
      </c>
      <c r="G163" s="694" t="s">
        <v>140</v>
      </c>
      <c r="H163" s="88"/>
      <c r="I163" s="88"/>
      <c r="J163" s="86" t="s">
        <v>1136</v>
      </c>
      <c r="K163" s="727"/>
      <c r="L163" s="727"/>
      <c r="M163" s="727"/>
      <c r="N163" s="1853">
        <f t="shared" si="68"/>
        <v>0</v>
      </c>
      <c r="O163" s="727"/>
      <c r="P163" s="727"/>
      <c r="Q163" s="727"/>
      <c r="R163" s="727"/>
      <c r="S163" s="727"/>
      <c r="T163" s="1853"/>
      <c r="U163" s="721" t="e">
        <f t="shared" si="66"/>
        <v>#DIV/0!</v>
      </c>
      <c r="V163" s="27"/>
      <c r="W163" s="27"/>
      <c r="X163" s="27"/>
      <c r="Y163" s="699" t="s">
        <v>968</v>
      </c>
    </row>
    <row r="164" spans="1:25" ht="22.5" customHeight="1" thickTop="1" thickBot="1">
      <c r="A164" s="27" t="s">
        <v>127</v>
      </c>
      <c r="B164" s="88" t="s">
        <v>134</v>
      </c>
      <c r="C164" s="88" t="s">
        <v>134</v>
      </c>
      <c r="D164" s="88" t="s">
        <v>134</v>
      </c>
      <c r="E164" s="88" t="s">
        <v>129</v>
      </c>
      <c r="F164" s="88" t="s">
        <v>139</v>
      </c>
      <c r="G164" s="694" t="s">
        <v>144</v>
      </c>
      <c r="H164" s="88"/>
      <c r="I164" s="88"/>
      <c r="J164" s="86" t="s">
        <v>1137</v>
      </c>
      <c r="K164" s="727"/>
      <c r="L164" s="727"/>
      <c r="M164" s="727"/>
      <c r="N164" s="1853">
        <f t="shared" si="68"/>
        <v>0</v>
      </c>
      <c r="O164" s="727"/>
      <c r="P164" s="727"/>
      <c r="Q164" s="727"/>
      <c r="R164" s="727"/>
      <c r="S164" s="727"/>
      <c r="T164" s="1853"/>
      <c r="U164" s="721" t="e">
        <f t="shared" si="66"/>
        <v>#DIV/0!</v>
      </c>
      <c r="V164" s="27"/>
      <c r="W164" s="27"/>
      <c r="X164" s="27"/>
      <c r="Y164" s="699" t="s">
        <v>968</v>
      </c>
    </row>
    <row r="165" spans="1:25" ht="22.5" customHeight="1" thickTop="1" thickBot="1">
      <c r="A165" s="27" t="s">
        <v>127</v>
      </c>
      <c r="B165" s="88" t="s">
        <v>134</v>
      </c>
      <c r="C165" s="88" t="s">
        <v>134</v>
      </c>
      <c r="D165" s="88" t="s">
        <v>134</v>
      </c>
      <c r="E165" s="88" t="s">
        <v>129</v>
      </c>
      <c r="F165" s="694" t="s">
        <v>140</v>
      </c>
      <c r="G165" s="88"/>
      <c r="H165" s="88"/>
      <c r="I165" s="88"/>
      <c r="J165" s="717" t="s">
        <v>1138</v>
      </c>
      <c r="K165" s="726"/>
      <c r="L165" s="726"/>
      <c r="M165" s="726"/>
      <c r="N165" s="1843">
        <f t="shared" si="68"/>
        <v>0</v>
      </c>
      <c r="O165" s="726"/>
      <c r="P165" s="726"/>
      <c r="Q165" s="726"/>
      <c r="R165" s="726"/>
      <c r="S165" s="726"/>
      <c r="T165" s="1843"/>
      <c r="U165" s="719" t="e">
        <f t="shared" si="66"/>
        <v>#DIV/0!</v>
      </c>
      <c r="V165" s="27"/>
      <c r="W165" s="27"/>
      <c r="X165" s="27"/>
      <c r="Y165" s="699" t="s">
        <v>968</v>
      </c>
    </row>
    <row r="166" spans="1:25" ht="22.5" customHeight="1" thickTop="1" thickBot="1">
      <c r="A166" s="27" t="s">
        <v>127</v>
      </c>
      <c r="B166" s="88" t="s">
        <v>134</v>
      </c>
      <c r="C166" s="88" t="s">
        <v>134</v>
      </c>
      <c r="D166" s="88" t="s">
        <v>134</v>
      </c>
      <c r="E166" s="88" t="s">
        <v>129</v>
      </c>
      <c r="F166" s="694" t="s">
        <v>144</v>
      </c>
      <c r="G166" s="88"/>
      <c r="H166" s="88"/>
      <c r="I166" s="88"/>
      <c r="J166" s="717" t="s">
        <v>1139</v>
      </c>
      <c r="K166" s="726">
        <v>0</v>
      </c>
      <c r="L166" s="726"/>
      <c r="M166" s="726"/>
      <c r="N166" s="1843">
        <f t="shared" si="68"/>
        <v>0</v>
      </c>
      <c r="O166" s="726"/>
      <c r="P166" s="726"/>
      <c r="Q166" s="726"/>
      <c r="R166" s="726"/>
      <c r="S166" s="726"/>
      <c r="T166" s="1843"/>
      <c r="U166" s="719" t="e">
        <f t="shared" si="66"/>
        <v>#DIV/0!</v>
      </c>
      <c r="V166" s="27"/>
      <c r="W166" s="27"/>
      <c r="X166" s="27"/>
      <c r="Y166" s="699" t="s">
        <v>968</v>
      </c>
    </row>
    <row r="167" spans="1:25" ht="22.5" customHeight="1" thickTop="1" thickBot="1">
      <c r="A167" s="27" t="s">
        <v>127</v>
      </c>
      <c r="B167" s="88" t="s">
        <v>134</v>
      </c>
      <c r="C167" s="88" t="s">
        <v>134</v>
      </c>
      <c r="D167" s="88" t="s">
        <v>134</v>
      </c>
      <c r="E167" s="88" t="s">
        <v>129</v>
      </c>
      <c r="F167" s="694" t="s">
        <v>145</v>
      </c>
      <c r="G167" s="88"/>
      <c r="H167" s="88"/>
      <c r="I167" s="88"/>
      <c r="J167" s="717" t="s">
        <v>1140</v>
      </c>
      <c r="K167" s="726"/>
      <c r="L167" s="726"/>
      <c r="M167" s="726"/>
      <c r="N167" s="1843">
        <f t="shared" si="68"/>
        <v>0</v>
      </c>
      <c r="O167" s="726"/>
      <c r="P167" s="726"/>
      <c r="Q167" s="726"/>
      <c r="R167" s="726"/>
      <c r="S167" s="726"/>
      <c r="T167" s="1843"/>
      <c r="U167" s="719" t="e">
        <f t="shared" si="66"/>
        <v>#DIV/0!</v>
      </c>
      <c r="V167" s="27"/>
      <c r="W167" s="27"/>
      <c r="X167" s="27"/>
      <c r="Y167" s="699"/>
    </row>
    <row r="168" spans="1:25" ht="22.5" customHeight="1" thickTop="1" thickBot="1">
      <c r="A168" s="27" t="s">
        <v>127</v>
      </c>
      <c r="B168" s="88" t="s">
        <v>134</v>
      </c>
      <c r="C168" s="88" t="s">
        <v>134</v>
      </c>
      <c r="D168" s="88" t="s">
        <v>134</v>
      </c>
      <c r="E168" s="88" t="s">
        <v>129</v>
      </c>
      <c r="F168" s="694" t="s">
        <v>146</v>
      </c>
      <c r="G168" s="88"/>
      <c r="H168" s="88"/>
      <c r="I168" s="88"/>
      <c r="J168" s="717" t="s">
        <v>1141</v>
      </c>
      <c r="K168" s="726"/>
      <c r="L168" s="726"/>
      <c r="M168" s="726"/>
      <c r="N168" s="1843">
        <f t="shared" si="68"/>
        <v>0</v>
      </c>
      <c r="O168" s="726"/>
      <c r="P168" s="726"/>
      <c r="Q168" s="726"/>
      <c r="R168" s="726"/>
      <c r="S168" s="726"/>
      <c r="T168" s="1843"/>
      <c r="U168" s="719" t="e">
        <f t="shared" si="66"/>
        <v>#DIV/0!</v>
      </c>
      <c r="V168" s="27"/>
      <c r="W168" s="27"/>
      <c r="X168" s="27"/>
      <c r="Y168" s="699"/>
    </row>
    <row r="169" spans="1:25" ht="22.5" customHeight="1" thickTop="1" thickBot="1">
      <c r="A169" s="27" t="s">
        <v>127</v>
      </c>
      <c r="B169" s="88" t="s">
        <v>134</v>
      </c>
      <c r="C169" s="88" t="s">
        <v>134</v>
      </c>
      <c r="D169" s="88" t="s">
        <v>134</v>
      </c>
      <c r="E169" s="88" t="s">
        <v>129</v>
      </c>
      <c r="F169" s="88" t="s">
        <v>147</v>
      </c>
      <c r="G169" s="730"/>
      <c r="H169" s="731"/>
      <c r="I169" s="88"/>
      <c r="J169" s="717" t="s">
        <v>1142</v>
      </c>
      <c r="K169" s="725">
        <f>+K170</f>
        <v>0</v>
      </c>
      <c r="L169" s="725">
        <f>+L170</f>
        <v>0</v>
      </c>
      <c r="M169" s="725">
        <f>+M170</f>
        <v>0</v>
      </c>
      <c r="N169" s="1854">
        <f t="shared" si="68"/>
        <v>0</v>
      </c>
      <c r="O169" s="725">
        <f t="shared" ref="O169:T169" si="79">+O170</f>
        <v>0</v>
      </c>
      <c r="P169" s="725">
        <f t="shared" si="79"/>
        <v>0</v>
      </c>
      <c r="Q169" s="725">
        <f t="shared" si="79"/>
        <v>0</v>
      </c>
      <c r="R169" s="725">
        <f t="shared" si="79"/>
        <v>0</v>
      </c>
      <c r="S169" s="725">
        <f>+S170</f>
        <v>0</v>
      </c>
      <c r="T169" s="1854">
        <f t="shared" si="79"/>
        <v>0</v>
      </c>
      <c r="U169" s="723" t="e">
        <f t="shared" si="66"/>
        <v>#DIV/0!</v>
      </c>
      <c r="V169" s="27"/>
      <c r="W169" s="27"/>
      <c r="X169" s="27"/>
      <c r="Y169" s="699"/>
    </row>
    <row r="170" spans="1:25" ht="22.5" customHeight="1" thickTop="1" thickBot="1">
      <c r="A170" s="27" t="s">
        <v>127</v>
      </c>
      <c r="B170" s="88" t="s">
        <v>134</v>
      </c>
      <c r="C170" s="88" t="s">
        <v>134</v>
      </c>
      <c r="D170" s="88" t="s">
        <v>134</v>
      </c>
      <c r="E170" s="88" t="s">
        <v>129</v>
      </c>
      <c r="F170" s="88" t="s">
        <v>147</v>
      </c>
      <c r="G170" s="731" t="s">
        <v>129</v>
      </c>
      <c r="H170" s="731"/>
      <c r="I170" s="88"/>
      <c r="J170" s="86" t="s">
        <v>1143</v>
      </c>
      <c r="K170" s="726"/>
      <c r="L170" s="726"/>
      <c r="M170" s="726"/>
      <c r="N170" s="1843">
        <f t="shared" si="68"/>
        <v>0</v>
      </c>
      <c r="O170" s="726"/>
      <c r="P170" s="726"/>
      <c r="Q170" s="726"/>
      <c r="R170" s="726"/>
      <c r="S170" s="726"/>
      <c r="T170" s="1843"/>
      <c r="U170" s="719" t="e">
        <f t="shared" si="66"/>
        <v>#DIV/0!</v>
      </c>
      <c r="V170" s="27"/>
      <c r="W170" s="27"/>
      <c r="X170" s="27"/>
      <c r="Y170" s="699"/>
    </row>
    <row r="171" spans="1:25" s="1" customFormat="1" ht="22.5" customHeight="1" thickTop="1" thickBot="1">
      <c r="A171" s="711" t="s">
        <v>127</v>
      </c>
      <c r="B171" s="712" t="s">
        <v>134</v>
      </c>
      <c r="C171" s="712" t="s">
        <v>134</v>
      </c>
      <c r="D171" s="712" t="s">
        <v>139</v>
      </c>
      <c r="E171" s="712"/>
      <c r="F171" s="712"/>
      <c r="G171" s="712"/>
      <c r="H171" s="713"/>
      <c r="I171" s="713"/>
      <c r="J171" s="714" t="s">
        <v>1144</v>
      </c>
      <c r="K171" s="724">
        <f>+K172+K176+K177+K178+K179+K180+K181+K182+K183+K184+K185+K186</f>
        <v>0</v>
      </c>
      <c r="L171" s="724">
        <f>+L172+L176+L177+L178+L179+L180+L181+L182+L183+L184+L185+L186</f>
        <v>0</v>
      </c>
      <c r="M171" s="724">
        <f>+M172+M176+M177+M178+M179+M180+M181+M182+M183+M184+M185+M186</f>
        <v>0</v>
      </c>
      <c r="N171" s="1852">
        <f t="shared" si="68"/>
        <v>0</v>
      </c>
      <c r="O171" s="724">
        <f t="shared" ref="O171:T171" si="80">+O172+O176+O177+O178+O179+O180+O181+O182+O183+O184+O185+O186</f>
        <v>0</v>
      </c>
      <c r="P171" s="724">
        <f t="shared" si="80"/>
        <v>0</v>
      </c>
      <c r="Q171" s="724">
        <f t="shared" si="80"/>
        <v>0</v>
      </c>
      <c r="R171" s="724">
        <f t="shared" si="80"/>
        <v>0</v>
      </c>
      <c r="S171" s="724">
        <f>+S172+S176+S177+S178+S179+S180+S181+S182+S183+S184+S185+S186</f>
        <v>0</v>
      </c>
      <c r="T171" s="1852">
        <f t="shared" si="80"/>
        <v>0</v>
      </c>
      <c r="U171" s="716" t="e">
        <f t="shared" si="66"/>
        <v>#DIV/0!</v>
      </c>
      <c r="V171" s="712"/>
      <c r="W171" s="711"/>
      <c r="X171" s="711"/>
      <c r="Y171" s="699" t="s">
        <v>968</v>
      </c>
    </row>
    <row r="172" spans="1:25" s="1" customFormat="1" ht="22.5" customHeight="1" thickTop="1" thickBot="1">
      <c r="A172" s="720">
        <v>1</v>
      </c>
      <c r="B172" s="694" t="s">
        <v>134</v>
      </c>
      <c r="C172" s="694" t="s">
        <v>134</v>
      </c>
      <c r="D172" s="694" t="s">
        <v>139</v>
      </c>
      <c r="E172" s="694" t="s">
        <v>129</v>
      </c>
      <c r="F172" s="694"/>
      <c r="G172" s="694"/>
      <c r="H172" s="88"/>
      <c r="I172" s="88"/>
      <c r="J172" s="717" t="s">
        <v>1145</v>
      </c>
      <c r="K172" s="725">
        <f>+K173+K174+K175</f>
        <v>0</v>
      </c>
      <c r="L172" s="725">
        <f>+L173+L174+L175</f>
        <v>0</v>
      </c>
      <c r="M172" s="725">
        <f>+M173+M174+M175</f>
        <v>0</v>
      </c>
      <c r="N172" s="1854">
        <f t="shared" si="68"/>
        <v>0</v>
      </c>
      <c r="O172" s="725">
        <f t="shared" ref="O172:T172" si="81">+O173+O174+O175</f>
        <v>0</v>
      </c>
      <c r="P172" s="725">
        <f t="shared" si="81"/>
        <v>0</v>
      </c>
      <c r="Q172" s="725">
        <f t="shared" si="81"/>
        <v>0</v>
      </c>
      <c r="R172" s="725">
        <f t="shared" si="81"/>
        <v>0</v>
      </c>
      <c r="S172" s="725">
        <f>+S173+S174+S175</f>
        <v>0</v>
      </c>
      <c r="T172" s="1854">
        <f t="shared" si="81"/>
        <v>0</v>
      </c>
      <c r="U172" s="723" t="e">
        <f t="shared" si="66"/>
        <v>#DIV/0!</v>
      </c>
      <c r="V172" s="720"/>
      <c r="W172" s="720"/>
      <c r="X172" s="720"/>
      <c r="Y172" s="699"/>
    </row>
    <row r="173" spans="1:25" ht="22.5" customHeight="1" thickTop="1" thickBot="1">
      <c r="A173" s="27">
        <v>1</v>
      </c>
      <c r="B173" s="88" t="s">
        <v>134</v>
      </c>
      <c r="C173" s="88" t="s">
        <v>134</v>
      </c>
      <c r="D173" s="88" t="s">
        <v>139</v>
      </c>
      <c r="E173" s="88" t="s">
        <v>129</v>
      </c>
      <c r="F173" s="694" t="s">
        <v>129</v>
      </c>
      <c r="G173" s="88"/>
      <c r="H173" s="88"/>
      <c r="I173" s="88"/>
      <c r="J173" s="659" t="s">
        <v>1146</v>
      </c>
      <c r="K173" s="725"/>
      <c r="L173" s="725"/>
      <c r="M173" s="725"/>
      <c r="N173" s="1854">
        <f t="shared" si="68"/>
        <v>0</v>
      </c>
      <c r="O173" s="725"/>
      <c r="P173" s="725"/>
      <c r="Q173" s="725"/>
      <c r="R173" s="725"/>
      <c r="S173" s="725"/>
      <c r="T173" s="1854"/>
      <c r="U173" s="723" t="e">
        <f t="shared" si="66"/>
        <v>#DIV/0!</v>
      </c>
      <c r="V173" s="27"/>
      <c r="W173" s="27"/>
      <c r="X173" s="27"/>
      <c r="Y173" s="699"/>
    </row>
    <row r="174" spans="1:25" ht="22.5" customHeight="1" thickTop="1" thickBot="1">
      <c r="A174" s="27">
        <v>1</v>
      </c>
      <c r="B174" s="88" t="s">
        <v>134</v>
      </c>
      <c r="C174" s="88" t="s">
        <v>134</v>
      </c>
      <c r="D174" s="88" t="s">
        <v>139</v>
      </c>
      <c r="E174" s="88" t="s">
        <v>129</v>
      </c>
      <c r="F174" s="694" t="s">
        <v>134</v>
      </c>
      <c r="G174" s="88"/>
      <c r="H174" s="88"/>
      <c r="I174" s="88"/>
      <c r="J174" s="659" t="s">
        <v>1147</v>
      </c>
      <c r="K174" s="725"/>
      <c r="L174" s="725"/>
      <c r="M174" s="725"/>
      <c r="N174" s="1854">
        <f t="shared" si="68"/>
        <v>0</v>
      </c>
      <c r="O174" s="725"/>
      <c r="P174" s="725"/>
      <c r="Q174" s="725"/>
      <c r="R174" s="725"/>
      <c r="S174" s="725"/>
      <c r="T174" s="1854"/>
      <c r="U174" s="723" t="e">
        <f t="shared" si="66"/>
        <v>#DIV/0!</v>
      </c>
      <c r="V174" s="27"/>
      <c r="W174" s="27"/>
      <c r="X174" s="27"/>
      <c r="Y174" s="699"/>
    </row>
    <row r="175" spans="1:25" ht="22.5" customHeight="1" thickTop="1" thickBot="1">
      <c r="A175" s="27">
        <v>1</v>
      </c>
      <c r="B175" s="88" t="s">
        <v>134</v>
      </c>
      <c r="C175" s="88" t="s">
        <v>134</v>
      </c>
      <c r="D175" s="88" t="s">
        <v>139</v>
      </c>
      <c r="E175" s="88" t="s">
        <v>129</v>
      </c>
      <c r="F175" s="694" t="s">
        <v>139</v>
      </c>
      <c r="G175" s="88"/>
      <c r="H175" s="88"/>
      <c r="I175" s="88"/>
      <c r="J175" s="659" t="s">
        <v>1148</v>
      </c>
      <c r="K175" s="725"/>
      <c r="L175" s="725"/>
      <c r="M175" s="725"/>
      <c r="N175" s="1854">
        <f t="shared" si="68"/>
        <v>0</v>
      </c>
      <c r="O175" s="725"/>
      <c r="P175" s="725"/>
      <c r="Q175" s="725"/>
      <c r="R175" s="725"/>
      <c r="S175" s="725"/>
      <c r="T175" s="1854"/>
      <c r="U175" s="723" t="e">
        <f t="shared" si="66"/>
        <v>#DIV/0!</v>
      </c>
      <c r="V175" s="27"/>
      <c r="W175" s="27"/>
      <c r="X175" s="27"/>
      <c r="Y175" s="699"/>
    </row>
    <row r="176" spans="1:25" s="1" customFormat="1" ht="22.5" customHeight="1" thickTop="1" thickBot="1">
      <c r="A176" s="720">
        <v>1</v>
      </c>
      <c r="B176" s="694" t="s">
        <v>134</v>
      </c>
      <c r="C176" s="694" t="s">
        <v>134</v>
      </c>
      <c r="D176" s="694" t="s">
        <v>139</v>
      </c>
      <c r="E176" s="694" t="s">
        <v>134</v>
      </c>
      <c r="F176" s="694"/>
      <c r="G176" s="694"/>
      <c r="H176" s="88"/>
      <c r="I176" s="88"/>
      <c r="J176" s="717" t="s">
        <v>1149</v>
      </c>
      <c r="K176" s="726"/>
      <c r="L176" s="726"/>
      <c r="M176" s="726"/>
      <c r="N176" s="1843">
        <f t="shared" si="68"/>
        <v>0</v>
      </c>
      <c r="O176" s="726"/>
      <c r="P176" s="726"/>
      <c r="Q176" s="726"/>
      <c r="R176" s="726"/>
      <c r="S176" s="726"/>
      <c r="T176" s="1843"/>
      <c r="U176" s="719" t="e">
        <f t="shared" si="66"/>
        <v>#DIV/0!</v>
      </c>
      <c r="V176" s="720"/>
      <c r="W176" s="720"/>
      <c r="X176" s="720"/>
      <c r="Y176" s="699" t="s">
        <v>968</v>
      </c>
    </row>
    <row r="177" spans="1:25" s="1" customFormat="1" ht="22.5" customHeight="1" thickTop="1" thickBot="1">
      <c r="A177" s="720" t="s">
        <v>127</v>
      </c>
      <c r="B177" s="694" t="s">
        <v>134</v>
      </c>
      <c r="C177" s="694" t="s">
        <v>134</v>
      </c>
      <c r="D177" s="694" t="s">
        <v>139</v>
      </c>
      <c r="E177" s="694" t="s">
        <v>139</v>
      </c>
      <c r="F177" s="694"/>
      <c r="G177" s="694"/>
      <c r="H177" s="88"/>
      <c r="I177" s="88"/>
      <c r="J177" s="717" t="s">
        <v>1150</v>
      </c>
      <c r="K177" s="726"/>
      <c r="L177" s="726"/>
      <c r="M177" s="726"/>
      <c r="N177" s="1843">
        <f t="shared" si="68"/>
        <v>0</v>
      </c>
      <c r="O177" s="726"/>
      <c r="P177" s="726"/>
      <c r="Q177" s="726"/>
      <c r="R177" s="726"/>
      <c r="S177" s="726"/>
      <c r="T177" s="1843"/>
      <c r="U177" s="719" t="e">
        <f t="shared" si="66"/>
        <v>#DIV/0!</v>
      </c>
      <c r="V177" s="720"/>
      <c r="W177" s="720"/>
      <c r="X177" s="720"/>
      <c r="Y177" s="699" t="s">
        <v>968</v>
      </c>
    </row>
    <row r="178" spans="1:25" s="1" customFormat="1" ht="22.5" customHeight="1" thickTop="1" thickBot="1">
      <c r="A178" s="720" t="s">
        <v>127</v>
      </c>
      <c r="B178" s="694" t="s">
        <v>134</v>
      </c>
      <c r="C178" s="694" t="s">
        <v>134</v>
      </c>
      <c r="D178" s="694" t="s">
        <v>139</v>
      </c>
      <c r="E178" s="694" t="s">
        <v>140</v>
      </c>
      <c r="F178" s="694"/>
      <c r="G178" s="694"/>
      <c r="H178" s="88"/>
      <c r="I178" s="88"/>
      <c r="J178" s="717" t="s">
        <v>1151</v>
      </c>
      <c r="K178" s="726"/>
      <c r="L178" s="726"/>
      <c r="M178" s="726"/>
      <c r="N178" s="1843">
        <f t="shared" si="68"/>
        <v>0</v>
      </c>
      <c r="O178" s="726"/>
      <c r="P178" s="726"/>
      <c r="Q178" s="726"/>
      <c r="R178" s="726"/>
      <c r="S178" s="726"/>
      <c r="T178" s="1843"/>
      <c r="U178" s="719" t="e">
        <f t="shared" si="66"/>
        <v>#DIV/0!</v>
      </c>
      <c r="V178" s="720"/>
      <c r="W178" s="720"/>
      <c r="X178" s="720"/>
      <c r="Y178" s="699" t="s">
        <v>968</v>
      </c>
    </row>
    <row r="179" spans="1:25" s="1" customFormat="1" ht="22.5" customHeight="1" thickTop="1" thickBot="1">
      <c r="A179" s="720" t="s">
        <v>127</v>
      </c>
      <c r="B179" s="694" t="s">
        <v>134</v>
      </c>
      <c r="C179" s="694" t="s">
        <v>134</v>
      </c>
      <c r="D179" s="694" t="s">
        <v>139</v>
      </c>
      <c r="E179" s="694" t="s">
        <v>144</v>
      </c>
      <c r="F179" s="694"/>
      <c r="G179" s="694"/>
      <c r="H179" s="88"/>
      <c r="I179" s="88"/>
      <c r="J179" s="717" t="s">
        <v>1152</v>
      </c>
      <c r="K179" s="726"/>
      <c r="L179" s="726"/>
      <c r="M179" s="726"/>
      <c r="N179" s="1843">
        <f t="shared" si="68"/>
        <v>0</v>
      </c>
      <c r="O179" s="726"/>
      <c r="P179" s="726"/>
      <c r="Q179" s="726"/>
      <c r="R179" s="726"/>
      <c r="S179" s="726"/>
      <c r="T179" s="1843"/>
      <c r="U179" s="719" t="e">
        <f t="shared" si="66"/>
        <v>#DIV/0!</v>
      </c>
      <c r="V179" s="720"/>
      <c r="W179" s="720"/>
      <c r="X179" s="720"/>
      <c r="Y179" s="699" t="s">
        <v>968</v>
      </c>
    </row>
    <row r="180" spans="1:25" s="1" customFormat="1" ht="22.5" customHeight="1" thickTop="1" thickBot="1">
      <c r="A180" s="720" t="s">
        <v>127</v>
      </c>
      <c r="B180" s="694" t="s">
        <v>134</v>
      </c>
      <c r="C180" s="694" t="s">
        <v>134</v>
      </c>
      <c r="D180" s="694" t="s">
        <v>139</v>
      </c>
      <c r="E180" s="694" t="s">
        <v>145</v>
      </c>
      <c r="F180" s="694"/>
      <c r="G180" s="694"/>
      <c r="H180" s="88"/>
      <c r="I180" s="88"/>
      <c r="J180" s="717" t="s">
        <v>1153</v>
      </c>
      <c r="K180" s="726"/>
      <c r="L180" s="726"/>
      <c r="M180" s="726"/>
      <c r="N180" s="1843">
        <f t="shared" si="68"/>
        <v>0</v>
      </c>
      <c r="O180" s="726"/>
      <c r="P180" s="726"/>
      <c r="Q180" s="726"/>
      <c r="R180" s="726"/>
      <c r="S180" s="726"/>
      <c r="T180" s="1843"/>
      <c r="U180" s="719" t="e">
        <f t="shared" si="66"/>
        <v>#DIV/0!</v>
      </c>
      <c r="V180" s="720"/>
      <c r="W180" s="720"/>
      <c r="X180" s="720"/>
      <c r="Y180" s="699" t="s">
        <v>968</v>
      </c>
    </row>
    <row r="181" spans="1:25" s="1" customFormat="1" ht="22.5" customHeight="1" thickTop="1" thickBot="1">
      <c r="A181" s="720" t="s">
        <v>127</v>
      </c>
      <c r="B181" s="694" t="s">
        <v>134</v>
      </c>
      <c r="C181" s="694" t="s">
        <v>134</v>
      </c>
      <c r="D181" s="694" t="s">
        <v>139</v>
      </c>
      <c r="E181" s="694" t="s">
        <v>146</v>
      </c>
      <c r="F181" s="694"/>
      <c r="G181" s="694"/>
      <c r="H181" s="88"/>
      <c r="I181" s="88"/>
      <c r="J181" s="717" t="s">
        <v>1154</v>
      </c>
      <c r="K181" s="726"/>
      <c r="L181" s="726"/>
      <c r="M181" s="726"/>
      <c r="N181" s="1843">
        <f t="shared" si="68"/>
        <v>0</v>
      </c>
      <c r="O181" s="726"/>
      <c r="P181" s="726"/>
      <c r="Q181" s="726"/>
      <c r="R181" s="726"/>
      <c r="S181" s="726"/>
      <c r="T181" s="1843"/>
      <c r="U181" s="719" t="e">
        <f t="shared" si="66"/>
        <v>#DIV/0!</v>
      </c>
      <c r="V181" s="720"/>
      <c r="W181" s="720"/>
      <c r="X181" s="720"/>
      <c r="Y181" s="699" t="s">
        <v>968</v>
      </c>
    </row>
    <row r="182" spans="1:25" s="1" customFormat="1" ht="22.5" customHeight="1" thickTop="1" thickBot="1">
      <c r="A182" s="720" t="s">
        <v>127</v>
      </c>
      <c r="B182" s="694" t="s">
        <v>134</v>
      </c>
      <c r="C182" s="694" t="s">
        <v>134</v>
      </c>
      <c r="D182" s="694" t="s">
        <v>139</v>
      </c>
      <c r="E182" s="694" t="s">
        <v>147</v>
      </c>
      <c r="F182" s="694"/>
      <c r="G182" s="694"/>
      <c r="H182" s="88"/>
      <c r="I182" s="88"/>
      <c r="J182" s="717" t="s">
        <v>1155</v>
      </c>
      <c r="K182" s="726"/>
      <c r="L182" s="726"/>
      <c r="M182" s="726"/>
      <c r="N182" s="1843">
        <f t="shared" si="68"/>
        <v>0</v>
      </c>
      <c r="O182" s="726"/>
      <c r="P182" s="726"/>
      <c r="Q182" s="726"/>
      <c r="R182" s="726"/>
      <c r="S182" s="726"/>
      <c r="T182" s="1843"/>
      <c r="U182" s="719" t="e">
        <f t="shared" si="66"/>
        <v>#DIV/0!</v>
      </c>
      <c r="V182" s="720"/>
      <c r="W182" s="720"/>
      <c r="X182" s="720"/>
      <c r="Y182" s="699" t="s">
        <v>968</v>
      </c>
    </row>
    <row r="183" spans="1:25" s="1" customFormat="1" ht="22.5" customHeight="1" thickTop="1" thickBot="1">
      <c r="A183" s="720" t="s">
        <v>127</v>
      </c>
      <c r="B183" s="694" t="s">
        <v>134</v>
      </c>
      <c r="C183" s="694" t="s">
        <v>134</v>
      </c>
      <c r="D183" s="694" t="s">
        <v>139</v>
      </c>
      <c r="E183" s="694" t="s">
        <v>180</v>
      </c>
      <c r="F183" s="694"/>
      <c r="G183" s="694"/>
      <c r="H183" s="88"/>
      <c r="I183" s="88"/>
      <c r="J183" s="717" t="s">
        <v>1156</v>
      </c>
      <c r="K183" s="726"/>
      <c r="L183" s="726"/>
      <c r="M183" s="726"/>
      <c r="N183" s="1843">
        <f t="shared" si="68"/>
        <v>0</v>
      </c>
      <c r="O183" s="726"/>
      <c r="P183" s="726"/>
      <c r="Q183" s="726"/>
      <c r="R183" s="726"/>
      <c r="S183" s="726"/>
      <c r="T183" s="1843"/>
      <c r="U183" s="719" t="e">
        <f t="shared" si="66"/>
        <v>#DIV/0!</v>
      </c>
      <c r="V183" s="720"/>
      <c r="W183" s="720"/>
      <c r="X183" s="720"/>
      <c r="Y183" s="699" t="s">
        <v>968</v>
      </c>
    </row>
    <row r="184" spans="1:25" s="1" customFormat="1" ht="22.5" customHeight="1" thickTop="1" thickBot="1">
      <c r="A184" s="720" t="s">
        <v>127</v>
      </c>
      <c r="B184" s="694" t="s">
        <v>134</v>
      </c>
      <c r="C184" s="694" t="s">
        <v>134</v>
      </c>
      <c r="D184" s="694" t="s">
        <v>139</v>
      </c>
      <c r="E184" s="694" t="s">
        <v>181</v>
      </c>
      <c r="F184" s="694"/>
      <c r="G184" s="694"/>
      <c r="H184" s="88"/>
      <c r="I184" s="88"/>
      <c r="J184" s="717" t="s">
        <v>1157</v>
      </c>
      <c r="K184" s="726"/>
      <c r="L184" s="726"/>
      <c r="M184" s="726"/>
      <c r="N184" s="1843">
        <f t="shared" si="68"/>
        <v>0</v>
      </c>
      <c r="O184" s="726"/>
      <c r="P184" s="726"/>
      <c r="Q184" s="726"/>
      <c r="R184" s="726"/>
      <c r="S184" s="726"/>
      <c r="T184" s="1843"/>
      <c r="U184" s="719" t="e">
        <f t="shared" si="66"/>
        <v>#DIV/0!</v>
      </c>
      <c r="V184" s="720"/>
      <c r="W184" s="720"/>
      <c r="X184" s="720"/>
      <c r="Y184" s="699" t="s">
        <v>968</v>
      </c>
    </row>
    <row r="185" spans="1:25" s="1" customFormat="1" ht="22.5" customHeight="1" thickTop="1" thickBot="1">
      <c r="A185" s="720" t="s">
        <v>127</v>
      </c>
      <c r="B185" s="694" t="s">
        <v>134</v>
      </c>
      <c r="C185" s="694" t="s">
        <v>134</v>
      </c>
      <c r="D185" s="694" t="s">
        <v>139</v>
      </c>
      <c r="E185" s="694" t="s">
        <v>182</v>
      </c>
      <c r="F185" s="694"/>
      <c r="G185" s="694"/>
      <c r="H185" s="88"/>
      <c r="I185" s="88"/>
      <c r="J185" s="717" t="s">
        <v>1158</v>
      </c>
      <c r="K185" s="726"/>
      <c r="L185" s="726"/>
      <c r="M185" s="726"/>
      <c r="N185" s="1843">
        <f t="shared" si="68"/>
        <v>0</v>
      </c>
      <c r="O185" s="726"/>
      <c r="P185" s="726"/>
      <c r="Q185" s="726"/>
      <c r="R185" s="726"/>
      <c r="S185" s="726"/>
      <c r="T185" s="1843"/>
      <c r="U185" s="719" t="e">
        <f t="shared" si="66"/>
        <v>#DIV/0!</v>
      </c>
      <c r="V185" s="720"/>
      <c r="W185" s="720"/>
      <c r="X185" s="720"/>
      <c r="Y185" s="699" t="s">
        <v>968</v>
      </c>
    </row>
    <row r="186" spans="1:25" s="1" customFormat="1" ht="22.5" customHeight="1" thickTop="1" thickBot="1">
      <c r="A186" s="720" t="s">
        <v>127</v>
      </c>
      <c r="B186" s="694" t="s">
        <v>134</v>
      </c>
      <c r="C186" s="694" t="s">
        <v>134</v>
      </c>
      <c r="D186" s="694" t="s">
        <v>139</v>
      </c>
      <c r="E186" s="694" t="s">
        <v>183</v>
      </c>
      <c r="F186" s="694"/>
      <c r="G186" s="694"/>
      <c r="H186" s="88"/>
      <c r="I186" s="88"/>
      <c r="J186" s="717" t="s">
        <v>1159</v>
      </c>
      <c r="K186" s="726"/>
      <c r="L186" s="726"/>
      <c r="M186" s="726"/>
      <c r="N186" s="1843">
        <f t="shared" si="68"/>
        <v>0</v>
      </c>
      <c r="O186" s="726"/>
      <c r="P186" s="726"/>
      <c r="Q186" s="726"/>
      <c r="R186" s="726"/>
      <c r="S186" s="726"/>
      <c r="T186" s="1843"/>
      <c r="U186" s="719" t="e">
        <f t="shared" si="66"/>
        <v>#DIV/0!</v>
      </c>
      <c r="V186" s="720"/>
      <c r="W186" s="720"/>
      <c r="X186" s="720"/>
      <c r="Y186" s="699" t="s">
        <v>968</v>
      </c>
    </row>
    <row r="187" spans="1:25" s="1" customFormat="1" ht="22.5" customHeight="1" thickTop="1" thickBot="1">
      <c r="A187" s="711" t="s">
        <v>127</v>
      </c>
      <c r="B187" s="712" t="s">
        <v>134</v>
      </c>
      <c r="C187" s="712" t="s">
        <v>134</v>
      </c>
      <c r="D187" s="712" t="s">
        <v>140</v>
      </c>
      <c r="E187" s="712"/>
      <c r="F187" s="712"/>
      <c r="G187" s="712"/>
      <c r="H187" s="713"/>
      <c r="I187" s="713"/>
      <c r="J187" s="714" t="s">
        <v>1160</v>
      </c>
      <c r="K187" s="724"/>
      <c r="L187" s="724"/>
      <c r="M187" s="724"/>
      <c r="N187" s="1852">
        <f t="shared" si="68"/>
        <v>0</v>
      </c>
      <c r="O187" s="724"/>
      <c r="P187" s="724"/>
      <c r="Q187" s="724"/>
      <c r="R187" s="724"/>
      <c r="S187" s="724"/>
      <c r="T187" s="1852"/>
      <c r="U187" s="716" t="e">
        <f t="shared" si="66"/>
        <v>#DIV/0!</v>
      </c>
      <c r="V187" s="712"/>
      <c r="W187" s="711" t="s">
        <v>1161</v>
      </c>
      <c r="X187" s="711"/>
      <c r="Y187" s="699" t="s">
        <v>968</v>
      </c>
    </row>
    <row r="188" spans="1:25" s="1" customFormat="1" ht="22.5" customHeight="1" thickTop="1" thickBot="1">
      <c r="A188" s="711" t="s">
        <v>127</v>
      </c>
      <c r="B188" s="712" t="s">
        <v>134</v>
      </c>
      <c r="C188" s="712" t="s">
        <v>134</v>
      </c>
      <c r="D188" s="712" t="s">
        <v>144</v>
      </c>
      <c r="E188" s="712"/>
      <c r="F188" s="712"/>
      <c r="G188" s="712"/>
      <c r="H188" s="713"/>
      <c r="I188" s="713"/>
      <c r="J188" s="714" t="s">
        <v>1162</v>
      </c>
      <c r="K188" s="724"/>
      <c r="L188" s="724"/>
      <c r="M188" s="724"/>
      <c r="N188" s="1852">
        <f t="shared" si="68"/>
        <v>0</v>
      </c>
      <c r="O188" s="724"/>
      <c r="P188" s="724"/>
      <c r="Q188" s="724"/>
      <c r="R188" s="724"/>
      <c r="S188" s="724"/>
      <c r="T188" s="1852"/>
      <c r="U188" s="716" t="e">
        <f t="shared" si="66"/>
        <v>#DIV/0!</v>
      </c>
      <c r="V188" s="712"/>
      <c r="W188" s="711" t="s">
        <v>1163</v>
      </c>
      <c r="X188" s="711"/>
      <c r="Y188" s="699" t="s">
        <v>968</v>
      </c>
    </row>
    <row r="189" spans="1:25" s="1" customFormat="1" ht="22.5" customHeight="1" thickTop="1" thickBot="1">
      <c r="A189" s="705" t="s">
        <v>127</v>
      </c>
      <c r="B189" s="706" t="s">
        <v>134</v>
      </c>
      <c r="C189" s="706" t="s">
        <v>139</v>
      </c>
      <c r="D189" s="706"/>
      <c r="E189" s="706"/>
      <c r="F189" s="706"/>
      <c r="G189" s="706"/>
      <c r="H189" s="707"/>
      <c r="I189" s="707"/>
      <c r="J189" s="708" t="s">
        <v>184</v>
      </c>
      <c r="K189" s="729">
        <f>+K190+K193+K194</f>
        <v>0</v>
      </c>
      <c r="L189" s="729">
        <f>+L190+L193+L194</f>
        <v>0</v>
      </c>
      <c r="M189" s="729">
        <f>+M190+M193+M194</f>
        <v>0</v>
      </c>
      <c r="N189" s="1851">
        <f t="shared" si="68"/>
        <v>0</v>
      </c>
      <c r="O189" s="729">
        <f t="shared" ref="O189:T189" si="82">+O190+O193+O194</f>
        <v>0</v>
      </c>
      <c r="P189" s="729">
        <f t="shared" si="82"/>
        <v>0</v>
      </c>
      <c r="Q189" s="729">
        <f t="shared" si="82"/>
        <v>0</v>
      </c>
      <c r="R189" s="729">
        <f t="shared" si="82"/>
        <v>0</v>
      </c>
      <c r="S189" s="729">
        <f>+S190+S193+S194</f>
        <v>0</v>
      </c>
      <c r="T189" s="1851">
        <f t="shared" si="82"/>
        <v>0</v>
      </c>
      <c r="U189" s="710" t="e">
        <f t="shared" si="66"/>
        <v>#DIV/0!</v>
      </c>
      <c r="V189" s="706"/>
      <c r="W189" s="706" t="s">
        <v>1164</v>
      </c>
      <c r="X189" s="706"/>
      <c r="Y189" s="699" t="s">
        <v>968</v>
      </c>
    </row>
    <row r="190" spans="1:25" s="1" customFormat="1" ht="22.5" customHeight="1" thickTop="1" thickBot="1">
      <c r="A190" s="712" t="s">
        <v>127</v>
      </c>
      <c r="B190" s="712" t="s">
        <v>134</v>
      </c>
      <c r="C190" s="712" t="s">
        <v>139</v>
      </c>
      <c r="D190" s="712" t="s">
        <v>129</v>
      </c>
      <c r="E190" s="712"/>
      <c r="F190" s="712"/>
      <c r="G190" s="712"/>
      <c r="H190" s="713"/>
      <c r="I190" s="713"/>
      <c r="J190" s="714" t="s">
        <v>185</v>
      </c>
      <c r="K190" s="724">
        <f>+K191+K192</f>
        <v>0</v>
      </c>
      <c r="L190" s="724">
        <f>+L191+L192</f>
        <v>0</v>
      </c>
      <c r="M190" s="724">
        <f>+M191+M192</f>
        <v>0</v>
      </c>
      <c r="N190" s="1852">
        <f t="shared" si="68"/>
        <v>0</v>
      </c>
      <c r="O190" s="724">
        <f t="shared" ref="O190:T190" si="83">+O191+O192</f>
        <v>0</v>
      </c>
      <c r="P190" s="724">
        <f t="shared" si="83"/>
        <v>0</v>
      </c>
      <c r="Q190" s="724">
        <f t="shared" si="83"/>
        <v>0</v>
      </c>
      <c r="R190" s="724">
        <f t="shared" si="83"/>
        <v>0</v>
      </c>
      <c r="S190" s="724">
        <f>+S191+S192</f>
        <v>0</v>
      </c>
      <c r="T190" s="1852">
        <f t="shared" si="83"/>
        <v>0</v>
      </c>
      <c r="U190" s="716" t="e">
        <f t="shared" si="66"/>
        <v>#DIV/0!</v>
      </c>
      <c r="V190" s="712"/>
      <c r="W190" s="711" t="s">
        <v>1165</v>
      </c>
      <c r="X190" s="711" t="s">
        <v>1166</v>
      </c>
      <c r="Y190" s="699" t="s">
        <v>968</v>
      </c>
    </row>
    <row r="191" spans="1:25" s="1" customFormat="1" ht="22.5" customHeight="1" thickTop="1" thickBot="1">
      <c r="A191" s="720" t="s">
        <v>127</v>
      </c>
      <c r="B191" s="694" t="s">
        <v>134</v>
      </c>
      <c r="C191" s="694" t="s">
        <v>139</v>
      </c>
      <c r="D191" s="694" t="s">
        <v>129</v>
      </c>
      <c r="E191" s="694" t="s">
        <v>129</v>
      </c>
      <c r="F191" s="694"/>
      <c r="G191" s="694"/>
      <c r="H191" s="88"/>
      <c r="I191" s="88"/>
      <c r="J191" s="717" t="s">
        <v>186</v>
      </c>
      <c r="K191" s="726"/>
      <c r="L191" s="726"/>
      <c r="M191" s="726"/>
      <c r="N191" s="1843">
        <f t="shared" si="68"/>
        <v>0</v>
      </c>
      <c r="O191" s="726"/>
      <c r="P191" s="726"/>
      <c r="Q191" s="726"/>
      <c r="R191" s="726"/>
      <c r="S191" s="726"/>
      <c r="T191" s="1843"/>
      <c r="U191" s="719" t="e">
        <f t="shared" si="66"/>
        <v>#DIV/0!</v>
      </c>
      <c r="V191" s="720"/>
      <c r="W191" s="720" t="s">
        <v>1167</v>
      </c>
      <c r="X191" s="720" t="s">
        <v>1168</v>
      </c>
      <c r="Y191" s="699" t="s">
        <v>968</v>
      </c>
    </row>
    <row r="192" spans="1:25" s="1" customFormat="1" ht="22.5" customHeight="1" thickTop="1" thickBot="1">
      <c r="A192" s="720" t="s">
        <v>127</v>
      </c>
      <c r="B192" s="694" t="s">
        <v>134</v>
      </c>
      <c r="C192" s="694" t="s">
        <v>139</v>
      </c>
      <c r="D192" s="694" t="s">
        <v>129</v>
      </c>
      <c r="E192" s="694" t="s">
        <v>134</v>
      </c>
      <c r="F192" s="694"/>
      <c r="G192" s="694"/>
      <c r="H192" s="88"/>
      <c r="I192" s="88"/>
      <c r="J192" s="717" t="s">
        <v>187</v>
      </c>
      <c r="K192" s="726"/>
      <c r="L192" s="726"/>
      <c r="M192" s="726"/>
      <c r="N192" s="1843">
        <f t="shared" si="68"/>
        <v>0</v>
      </c>
      <c r="O192" s="726"/>
      <c r="P192" s="726"/>
      <c r="Q192" s="726"/>
      <c r="R192" s="726"/>
      <c r="S192" s="726"/>
      <c r="T192" s="1843"/>
      <c r="U192" s="719" t="e">
        <f t="shared" si="66"/>
        <v>#DIV/0!</v>
      </c>
      <c r="V192" s="694"/>
      <c r="W192" s="720" t="s">
        <v>1169</v>
      </c>
      <c r="X192" s="720"/>
      <c r="Y192" s="699" t="s">
        <v>968</v>
      </c>
    </row>
    <row r="193" spans="1:25" s="1" customFormat="1" ht="22.5" customHeight="1" thickTop="1" thickBot="1">
      <c r="A193" s="711" t="s">
        <v>127</v>
      </c>
      <c r="B193" s="712" t="s">
        <v>134</v>
      </c>
      <c r="C193" s="712" t="s">
        <v>139</v>
      </c>
      <c r="D193" s="712" t="s">
        <v>134</v>
      </c>
      <c r="E193" s="712"/>
      <c r="F193" s="712"/>
      <c r="G193" s="712"/>
      <c r="H193" s="713"/>
      <c r="I193" s="713"/>
      <c r="J193" s="714" t="s">
        <v>1170</v>
      </c>
      <c r="K193" s="724"/>
      <c r="L193" s="724"/>
      <c r="M193" s="724"/>
      <c r="N193" s="1852">
        <f t="shared" si="68"/>
        <v>0</v>
      </c>
      <c r="O193" s="724"/>
      <c r="P193" s="724"/>
      <c r="Q193" s="724"/>
      <c r="R193" s="724"/>
      <c r="S193" s="724"/>
      <c r="T193" s="1852"/>
      <c r="U193" s="716" t="e">
        <f t="shared" si="66"/>
        <v>#DIV/0!</v>
      </c>
      <c r="V193" s="712"/>
      <c r="W193" s="711" t="s">
        <v>1171</v>
      </c>
      <c r="X193" s="711"/>
      <c r="Y193" s="699" t="s">
        <v>968</v>
      </c>
    </row>
    <row r="194" spans="1:25" s="1" customFormat="1" ht="22.5" customHeight="1" thickTop="1" thickBot="1">
      <c r="A194" s="711" t="s">
        <v>127</v>
      </c>
      <c r="B194" s="712" t="s">
        <v>134</v>
      </c>
      <c r="C194" s="712" t="s">
        <v>139</v>
      </c>
      <c r="D194" s="712" t="s">
        <v>139</v>
      </c>
      <c r="E194" s="712"/>
      <c r="F194" s="712"/>
      <c r="G194" s="712"/>
      <c r="H194" s="713"/>
      <c r="I194" s="713"/>
      <c r="J194" s="714" t="s">
        <v>1172</v>
      </c>
      <c r="K194" s="724"/>
      <c r="L194" s="724"/>
      <c r="M194" s="724"/>
      <c r="N194" s="1852">
        <f t="shared" si="68"/>
        <v>0</v>
      </c>
      <c r="O194" s="724"/>
      <c r="P194" s="724"/>
      <c r="Q194" s="724"/>
      <c r="R194" s="724"/>
      <c r="S194" s="724"/>
      <c r="T194" s="1852"/>
      <c r="U194" s="716" t="e">
        <f t="shared" si="66"/>
        <v>#DIV/0!</v>
      </c>
      <c r="V194" s="712"/>
      <c r="W194" s="711" t="s">
        <v>1173</v>
      </c>
      <c r="X194" s="711" t="s">
        <v>1174</v>
      </c>
      <c r="Y194" s="699" t="s">
        <v>968</v>
      </c>
    </row>
    <row r="195" spans="1:25" s="1" customFormat="1" ht="22.5" customHeight="1" thickTop="1" thickBot="1">
      <c r="A195" s="705" t="s">
        <v>127</v>
      </c>
      <c r="B195" s="706" t="s">
        <v>134</v>
      </c>
      <c r="C195" s="706" t="s">
        <v>140</v>
      </c>
      <c r="D195" s="706"/>
      <c r="E195" s="706"/>
      <c r="F195" s="706"/>
      <c r="G195" s="706"/>
      <c r="H195" s="707"/>
      <c r="I195" s="707"/>
      <c r="J195" s="708" t="s">
        <v>188</v>
      </c>
      <c r="K195" s="729">
        <f>+K196+K207+K213</f>
        <v>8000000000</v>
      </c>
      <c r="L195" s="729">
        <f>+L196+L207+L213</f>
        <v>0</v>
      </c>
      <c r="M195" s="729">
        <f>+M196+M207+M213</f>
        <v>0</v>
      </c>
      <c r="N195" s="1851">
        <f t="shared" si="68"/>
        <v>8000000000</v>
      </c>
      <c r="O195" s="729">
        <f t="shared" ref="O195:T195" si="84">+O196+O207+O213</f>
        <v>0</v>
      </c>
      <c r="P195" s="729">
        <f t="shared" si="84"/>
        <v>8000000000</v>
      </c>
      <c r="Q195" s="729">
        <f t="shared" si="84"/>
        <v>0</v>
      </c>
      <c r="R195" s="729">
        <f t="shared" si="84"/>
        <v>0</v>
      </c>
      <c r="S195" s="729">
        <f>+S196+S207+S213</f>
        <v>0</v>
      </c>
      <c r="T195" s="1851">
        <f t="shared" si="84"/>
        <v>8000000000</v>
      </c>
      <c r="U195" s="710" t="e">
        <f t="shared" si="66"/>
        <v>#DIV/0!</v>
      </c>
      <c r="V195" s="706"/>
      <c r="W195" s="706" t="s">
        <v>1175</v>
      </c>
      <c r="X195" s="706"/>
      <c r="Y195" s="699" t="s">
        <v>968</v>
      </c>
    </row>
    <row r="196" spans="1:25" s="1" customFormat="1" ht="22.5" customHeight="1" thickTop="1" thickBot="1">
      <c r="A196" s="711" t="s">
        <v>127</v>
      </c>
      <c r="B196" s="712" t="s">
        <v>134</v>
      </c>
      <c r="C196" s="712" t="s">
        <v>140</v>
      </c>
      <c r="D196" s="712" t="s">
        <v>129</v>
      </c>
      <c r="E196" s="712"/>
      <c r="F196" s="712"/>
      <c r="G196" s="712"/>
      <c r="H196" s="713"/>
      <c r="I196" s="713"/>
      <c r="J196" s="714" t="s">
        <v>189</v>
      </c>
      <c r="K196" s="724">
        <f>+K197+K200+K206</f>
        <v>8000000000</v>
      </c>
      <c r="L196" s="724">
        <f>+L197+L200+L206</f>
        <v>0</v>
      </c>
      <c r="M196" s="724">
        <f>+M197+M200+M206</f>
        <v>0</v>
      </c>
      <c r="N196" s="1852">
        <f t="shared" si="68"/>
        <v>8000000000</v>
      </c>
      <c r="O196" s="724">
        <f t="shared" ref="O196:T196" si="85">+O197+O200+O206</f>
        <v>0</v>
      </c>
      <c r="P196" s="724">
        <f t="shared" si="85"/>
        <v>8000000000</v>
      </c>
      <c r="Q196" s="724">
        <f t="shared" si="85"/>
        <v>0</v>
      </c>
      <c r="R196" s="724">
        <f t="shared" si="85"/>
        <v>0</v>
      </c>
      <c r="S196" s="724">
        <f>+S197+S200+S206</f>
        <v>0</v>
      </c>
      <c r="T196" s="1852">
        <f t="shared" si="85"/>
        <v>8000000000</v>
      </c>
      <c r="U196" s="716" t="e">
        <f t="shared" si="66"/>
        <v>#DIV/0!</v>
      </c>
      <c r="V196" s="712"/>
      <c r="W196" s="711" t="s">
        <v>1176</v>
      </c>
      <c r="X196" s="711" t="s">
        <v>1177</v>
      </c>
      <c r="Y196" s="699" t="s">
        <v>968</v>
      </c>
    </row>
    <row r="197" spans="1:25" s="1" customFormat="1" ht="22.5" customHeight="1" thickTop="1" thickBot="1">
      <c r="A197" s="720" t="s">
        <v>127</v>
      </c>
      <c r="B197" s="694" t="s">
        <v>134</v>
      </c>
      <c r="C197" s="694" t="s">
        <v>140</v>
      </c>
      <c r="D197" s="694" t="s">
        <v>129</v>
      </c>
      <c r="E197" s="694" t="s">
        <v>129</v>
      </c>
      <c r="F197" s="694"/>
      <c r="G197" s="694"/>
      <c r="H197" s="88"/>
      <c r="I197" s="88"/>
      <c r="J197" s="717" t="s">
        <v>1178</v>
      </c>
      <c r="K197" s="726">
        <f>+K198+K199</f>
        <v>8000000000</v>
      </c>
      <c r="L197" s="726">
        <f>+L198+L199</f>
        <v>0</v>
      </c>
      <c r="M197" s="726">
        <f>+M198+M199</f>
        <v>0</v>
      </c>
      <c r="N197" s="1844">
        <f t="shared" si="68"/>
        <v>8000000000</v>
      </c>
      <c r="O197" s="726">
        <f t="shared" ref="O197:T197" si="86">+O198+O199</f>
        <v>0</v>
      </c>
      <c r="P197" s="726">
        <f t="shared" si="86"/>
        <v>8000000000</v>
      </c>
      <c r="Q197" s="726">
        <f t="shared" si="86"/>
        <v>0</v>
      </c>
      <c r="R197" s="726">
        <f t="shared" si="86"/>
        <v>0</v>
      </c>
      <c r="S197" s="726">
        <f>+S198+S199</f>
        <v>0</v>
      </c>
      <c r="T197" s="1844">
        <f t="shared" si="86"/>
        <v>8000000000</v>
      </c>
      <c r="U197" s="719" t="e">
        <f t="shared" si="66"/>
        <v>#DIV/0!</v>
      </c>
      <c r="V197" s="720"/>
      <c r="W197" s="720" t="s">
        <v>1179</v>
      </c>
      <c r="X197" s="720" t="s">
        <v>1168</v>
      </c>
      <c r="Y197" s="699" t="s">
        <v>968</v>
      </c>
    </row>
    <row r="198" spans="1:25" ht="22.5" customHeight="1" thickTop="1" thickBot="1">
      <c r="A198" s="27" t="s">
        <v>127</v>
      </c>
      <c r="B198" s="88" t="s">
        <v>134</v>
      </c>
      <c r="C198" s="88" t="s">
        <v>140</v>
      </c>
      <c r="D198" s="88" t="s">
        <v>129</v>
      </c>
      <c r="E198" s="88" t="s">
        <v>129</v>
      </c>
      <c r="F198" s="694" t="s">
        <v>129</v>
      </c>
      <c r="G198" s="88"/>
      <c r="H198" s="88"/>
      <c r="I198" s="88"/>
      <c r="J198" s="86" t="s">
        <v>1180</v>
      </c>
      <c r="K198" s="727"/>
      <c r="L198" s="727"/>
      <c r="M198" s="727"/>
      <c r="N198" s="1855">
        <f t="shared" si="68"/>
        <v>0</v>
      </c>
      <c r="O198" s="727"/>
      <c r="P198" s="727"/>
      <c r="Q198" s="727"/>
      <c r="R198" s="727"/>
      <c r="S198" s="727"/>
      <c r="T198" s="1855"/>
      <c r="U198" s="721" t="e">
        <f t="shared" si="66"/>
        <v>#DIV/0!</v>
      </c>
      <c r="V198" s="88"/>
      <c r="W198" s="27" t="s">
        <v>1181</v>
      </c>
      <c r="X198" s="27"/>
      <c r="Y198" s="699" t="s">
        <v>968</v>
      </c>
    </row>
    <row r="199" spans="1:25" ht="22.5" customHeight="1" thickTop="1" thickBot="1">
      <c r="A199" s="27" t="s">
        <v>127</v>
      </c>
      <c r="B199" s="88" t="s">
        <v>134</v>
      </c>
      <c r="C199" s="88" t="s">
        <v>140</v>
      </c>
      <c r="D199" s="88" t="s">
        <v>129</v>
      </c>
      <c r="E199" s="88" t="s">
        <v>129</v>
      </c>
      <c r="F199" s="694" t="s">
        <v>134</v>
      </c>
      <c r="G199" s="88"/>
      <c r="H199" s="88"/>
      <c r="I199" s="88"/>
      <c r="J199" s="86" t="s">
        <v>1182</v>
      </c>
      <c r="K199" s="727">
        <v>8000000000</v>
      </c>
      <c r="L199" s="727"/>
      <c r="M199" s="727"/>
      <c r="N199" s="1855">
        <f t="shared" si="68"/>
        <v>8000000000</v>
      </c>
      <c r="O199" s="727"/>
      <c r="P199" s="727">
        <f>+N199</f>
        <v>8000000000</v>
      </c>
      <c r="Q199" s="727"/>
      <c r="R199" s="727"/>
      <c r="S199" s="727"/>
      <c r="T199" s="1855">
        <v>8000000000</v>
      </c>
      <c r="U199" s="721" t="e">
        <f t="shared" si="66"/>
        <v>#DIV/0!</v>
      </c>
      <c r="V199" s="27"/>
      <c r="W199" s="27" t="s">
        <v>1183</v>
      </c>
      <c r="X199" s="27"/>
      <c r="Y199" s="699" t="s">
        <v>968</v>
      </c>
    </row>
    <row r="200" spans="1:25" s="1" customFormat="1" ht="22.5" customHeight="1" thickTop="1" thickBot="1">
      <c r="A200" s="720" t="s">
        <v>127</v>
      </c>
      <c r="B200" s="694" t="s">
        <v>134</v>
      </c>
      <c r="C200" s="694" t="s">
        <v>140</v>
      </c>
      <c r="D200" s="694" t="s">
        <v>129</v>
      </c>
      <c r="E200" s="694" t="s">
        <v>134</v>
      </c>
      <c r="F200" s="694"/>
      <c r="G200" s="694"/>
      <c r="H200" s="88"/>
      <c r="I200" s="88"/>
      <c r="J200" s="717" t="s">
        <v>1184</v>
      </c>
      <c r="K200" s="726">
        <f>+K201+K202+K203+K204+K205</f>
        <v>0</v>
      </c>
      <c r="L200" s="726">
        <f>+L201+L202+L203+L204+L205</f>
        <v>0</v>
      </c>
      <c r="M200" s="726">
        <f>+M201+M202+M203+M204+M205</f>
        <v>0</v>
      </c>
      <c r="N200" s="1843">
        <f t="shared" si="68"/>
        <v>0</v>
      </c>
      <c r="O200" s="726">
        <f t="shared" ref="O200:T200" si="87">+O201+O202+O203+O204+O205</f>
        <v>0</v>
      </c>
      <c r="P200" s="726">
        <f t="shared" si="87"/>
        <v>0</v>
      </c>
      <c r="Q200" s="726">
        <f t="shared" si="87"/>
        <v>0</v>
      </c>
      <c r="R200" s="726">
        <f t="shared" si="87"/>
        <v>0</v>
      </c>
      <c r="S200" s="726">
        <f>+S201+S202+S203+S204+S205</f>
        <v>0</v>
      </c>
      <c r="T200" s="1843">
        <f t="shared" si="87"/>
        <v>0</v>
      </c>
      <c r="U200" s="719" t="e">
        <f t="shared" si="66"/>
        <v>#DIV/0!</v>
      </c>
      <c r="V200" s="720"/>
      <c r="W200" s="720" t="s">
        <v>1185</v>
      </c>
      <c r="X200" s="720"/>
      <c r="Y200" s="699" t="s">
        <v>968</v>
      </c>
    </row>
    <row r="201" spans="1:25" ht="22.5" customHeight="1" thickTop="1" thickBot="1">
      <c r="A201" s="27" t="s">
        <v>127</v>
      </c>
      <c r="B201" s="88" t="s">
        <v>134</v>
      </c>
      <c r="C201" s="88" t="s">
        <v>140</v>
      </c>
      <c r="D201" s="88" t="s">
        <v>129</v>
      </c>
      <c r="E201" s="88" t="s">
        <v>134</v>
      </c>
      <c r="F201" s="694" t="s">
        <v>129</v>
      </c>
      <c r="G201" s="88"/>
      <c r="H201" s="88"/>
      <c r="I201" s="88"/>
      <c r="J201" s="86" t="s">
        <v>1186</v>
      </c>
      <c r="K201" s="727"/>
      <c r="L201" s="727"/>
      <c r="M201" s="727"/>
      <c r="N201" s="1853">
        <f t="shared" si="68"/>
        <v>0</v>
      </c>
      <c r="O201" s="727"/>
      <c r="P201" s="727"/>
      <c r="Q201" s="727"/>
      <c r="R201" s="727"/>
      <c r="S201" s="727"/>
      <c r="T201" s="1853"/>
      <c r="U201" s="721" t="e">
        <f t="shared" ref="U201:U264" si="88">T201/S201</f>
        <v>#DIV/0!</v>
      </c>
      <c r="V201" s="27"/>
      <c r="W201" s="27" t="s">
        <v>1187</v>
      </c>
      <c r="X201" s="27"/>
      <c r="Y201" s="699" t="s">
        <v>968</v>
      </c>
    </row>
    <row r="202" spans="1:25" ht="22.5" customHeight="1" thickTop="1" thickBot="1">
      <c r="A202" s="27" t="s">
        <v>127</v>
      </c>
      <c r="B202" s="88" t="s">
        <v>134</v>
      </c>
      <c r="C202" s="88" t="s">
        <v>140</v>
      </c>
      <c r="D202" s="88" t="s">
        <v>129</v>
      </c>
      <c r="E202" s="88" t="s">
        <v>134</v>
      </c>
      <c r="F202" s="694" t="s">
        <v>134</v>
      </c>
      <c r="G202" s="88"/>
      <c r="H202" s="88"/>
      <c r="I202" s="88"/>
      <c r="J202" s="86" t="s">
        <v>1188</v>
      </c>
      <c r="K202" s="727"/>
      <c r="L202" s="727"/>
      <c r="M202" s="727"/>
      <c r="N202" s="1853">
        <f t="shared" si="68"/>
        <v>0</v>
      </c>
      <c r="O202" s="727"/>
      <c r="P202" s="727"/>
      <c r="Q202" s="727"/>
      <c r="R202" s="727"/>
      <c r="S202" s="727"/>
      <c r="T202" s="1853"/>
      <c r="U202" s="721" t="e">
        <f t="shared" si="88"/>
        <v>#DIV/0!</v>
      </c>
      <c r="V202" s="27"/>
      <c r="W202" s="27" t="s">
        <v>1189</v>
      </c>
      <c r="X202" s="27"/>
      <c r="Y202" s="699" t="s">
        <v>968</v>
      </c>
    </row>
    <row r="203" spans="1:25" ht="22.5" customHeight="1" thickTop="1" thickBot="1">
      <c r="A203" s="27" t="s">
        <v>127</v>
      </c>
      <c r="B203" s="88" t="s">
        <v>134</v>
      </c>
      <c r="C203" s="88" t="s">
        <v>140</v>
      </c>
      <c r="D203" s="88" t="s">
        <v>129</v>
      </c>
      <c r="E203" s="88" t="s">
        <v>134</v>
      </c>
      <c r="F203" s="694" t="s">
        <v>139</v>
      </c>
      <c r="G203" s="88"/>
      <c r="H203" s="88"/>
      <c r="I203" s="88"/>
      <c r="J203" s="86" t="s">
        <v>1190</v>
      </c>
      <c r="K203" s="727"/>
      <c r="L203" s="727"/>
      <c r="M203" s="727"/>
      <c r="N203" s="1853">
        <f t="shared" ref="N203:N243" si="89">K203+L203-M203</f>
        <v>0</v>
      </c>
      <c r="O203" s="727"/>
      <c r="P203" s="727"/>
      <c r="Q203" s="727"/>
      <c r="R203" s="727"/>
      <c r="S203" s="727"/>
      <c r="T203" s="1853"/>
      <c r="U203" s="721" t="e">
        <f t="shared" si="88"/>
        <v>#DIV/0!</v>
      </c>
      <c r="V203" s="27"/>
      <c r="W203" s="27" t="s">
        <v>1191</v>
      </c>
      <c r="X203" s="27"/>
      <c r="Y203" s="699" t="s">
        <v>968</v>
      </c>
    </row>
    <row r="204" spans="1:25" ht="22.5" customHeight="1" thickTop="1" thickBot="1">
      <c r="A204" s="27" t="s">
        <v>127</v>
      </c>
      <c r="B204" s="88" t="s">
        <v>134</v>
      </c>
      <c r="C204" s="88" t="s">
        <v>140</v>
      </c>
      <c r="D204" s="88" t="s">
        <v>129</v>
      </c>
      <c r="E204" s="88" t="s">
        <v>134</v>
      </c>
      <c r="F204" s="694" t="s">
        <v>140</v>
      </c>
      <c r="G204" s="88"/>
      <c r="H204" s="88"/>
      <c r="I204" s="88"/>
      <c r="J204" s="86" t="s">
        <v>1192</v>
      </c>
      <c r="K204" s="727"/>
      <c r="L204" s="727"/>
      <c r="M204" s="727"/>
      <c r="N204" s="1853">
        <f t="shared" si="89"/>
        <v>0</v>
      </c>
      <c r="O204" s="727"/>
      <c r="P204" s="727"/>
      <c r="Q204" s="727"/>
      <c r="R204" s="727"/>
      <c r="S204" s="727"/>
      <c r="T204" s="1853"/>
      <c r="U204" s="721" t="e">
        <f t="shared" si="88"/>
        <v>#DIV/0!</v>
      </c>
      <c r="V204" s="27"/>
      <c r="W204" s="27" t="s">
        <v>1193</v>
      </c>
      <c r="X204" s="27"/>
      <c r="Y204" s="699" t="s">
        <v>968</v>
      </c>
    </row>
    <row r="205" spans="1:25" ht="22.5" customHeight="1" thickTop="1" thickBot="1">
      <c r="A205" s="27" t="s">
        <v>127</v>
      </c>
      <c r="B205" s="88" t="s">
        <v>134</v>
      </c>
      <c r="C205" s="88" t="s">
        <v>140</v>
      </c>
      <c r="D205" s="88" t="s">
        <v>129</v>
      </c>
      <c r="E205" s="88" t="s">
        <v>134</v>
      </c>
      <c r="F205" s="694" t="s">
        <v>144</v>
      </c>
      <c r="G205" s="88"/>
      <c r="H205" s="88"/>
      <c r="I205" s="88"/>
      <c r="J205" s="86" t="s">
        <v>1194</v>
      </c>
      <c r="K205" s="727"/>
      <c r="L205" s="727"/>
      <c r="M205" s="727"/>
      <c r="N205" s="1853">
        <f t="shared" si="89"/>
        <v>0</v>
      </c>
      <c r="O205" s="727"/>
      <c r="P205" s="727"/>
      <c r="Q205" s="727"/>
      <c r="R205" s="727"/>
      <c r="S205" s="727"/>
      <c r="T205" s="1853"/>
      <c r="U205" s="721" t="e">
        <f t="shared" si="88"/>
        <v>#DIV/0!</v>
      </c>
      <c r="V205" s="27"/>
      <c r="W205" s="27" t="s">
        <v>1195</v>
      </c>
      <c r="X205" s="27" t="s">
        <v>1196</v>
      </c>
      <c r="Y205" s="699" t="s">
        <v>968</v>
      </c>
    </row>
    <row r="206" spans="1:25" s="1" customFormat="1" ht="22.5" customHeight="1" thickTop="1" thickBot="1">
      <c r="A206" s="720" t="s">
        <v>127</v>
      </c>
      <c r="B206" s="694" t="s">
        <v>134</v>
      </c>
      <c r="C206" s="694" t="s">
        <v>140</v>
      </c>
      <c r="D206" s="694" t="s">
        <v>129</v>
      </c>
      <c r="E206" s="694" t="s">
        <v>139</v>
      </c>
      <c r="F206" s="694"/>
      <c r="G206" s="694"/>
      <c r="H206" s="88"/>
      <c r="I206" s="88"/>
      <c r="J206" s="717" t="s">
        <v>1197</v>
      </c>
      <c r="K206" s="726"/>
      <c r="L206" s="726"/>
      <c r="M206" s="726"/>
      <c r="N206" s="1843">
        <f t="shared" si="89"/>
        <v>0</v>
      </c>
      <c r="O206" s="726"/>
      <c r="P206" s="726"/>
      <c r="Q206" s="726"/>
      <c r="R206" s="726"/>
      <c r="S206" s="726"/>
      <c r="T206" s="1843"/>
      <c r="U206" s="719" t="e">
        <f t="shared" si="88"/>
        <v>#DIV/0!</v>
      </c>
      <c r="V206" s="720"/>
      <c r="W206" s="720" t="s">
        <v>1198</v>
      </c>
      <c r="X206" s="720"/>
      <c r="Y206" s="699" t="s">
        <v>968</v>
      </c>
    </row>
    <row r="207" spans="1:25" s="1" customFormat="1" ht="22.5" customHeight="1" thickTop="1" thickBot="1">
      <c r="A207" s="711" t="s">
        <v>127</v>
      </c>
      <c r="B207" s="712" t="s">
        <v>134</v>
      </c>
      <c r="C207" s="712" t="s">
        <v>140</v>
      </c>
      <c r="D207" s="712" t="s">
        <v>134</v>
      </c>
      <c r="E207" s="712"/>
      <c r="F207" s="712"/>
      <c r="G207" s="712"/>
      <c r="H207" s="713"/>
      <c r="I207" s="713"/>
      <c r="J207" s="714" t="s">
        <v>1199</v>
      </c>
      <c r="K207" s="724">
        <f>+K208+K211+K212</f>
        <v>0</v>
      </c>
      <c r="L207" s="724">
        <f>+L208+L211+L212</f>
        <v>0</v>
      </c>
      <c r="M207" s="724">
        <f>+M208+M211+M212</f>
        <v>0</v>
      </c>
      <c r="N207" s="1852">
        <f t="shared" si="89"/>
        <v>0</v>
      </c>
      <c r="O207" s="724">
        <f t="shared" ref="O207:T207" si="90">+O208+O211+O212</f>
        <v>0</v>
      </c>
      <c r="P207" s="724">
        <f t="shared" si="90"/>
        <v>0</v>
      </c>
      <c r="Q207" s="724">
        <f t="shared" si="90"/>
        <v>0</v>
      </c>
      <c r="R207" s="724">
        <f t="shared" si="90"/>
        <v>0</v>
      </c>
      <c r="S207" s="724">
        <f>+S208+S211+S212</f>
        <v>0</v>
      </c>
      <c r="T207" s="1852">
        <f t="shared" si="90"/>
        <v>0</v>
      </c>
      <c r="U207" s="716" t="e">
        <f t="shared" si="88"/>
        <v>#DIV/0!</v>
      </c>
      <c r="V207" s="712"/>
      <c r="W207" s="711" t="s">
        <v>1200</v>
      </c>
      <c r="X207" s="711" t="s">
        <v>1201</v>
      </c>
      <c r="Y207" s="699" t="s">
        <v>968</v>
      </c>
    </row>
    <row r="208" spans="1:25" s="1" customFormat="1" ht="22.5" customHeight="1" thickTop="1" thickBot="1">
      <c r="A208" s="720" t="s">
        <v>127</v>
      </c>
      <c r="B208" s="694" t="s">
        <v>134</v>
      </c>
      <c r="C208" s="694" t="s">
        <v>140</v>
      </c>
      <c r="D208" s="694" t="s">
        <v>134</v>
      </c>
      <c r="E208" s="694" t="s">
        <v>129</v>
      </c>
      <c r="F208" s="694"/>
      <c r="G208" s="694"/>
      <c r="H208" s="88"/>
      <c r="I208" s="88"/>
      <c r="J208" s="717" t="s">
        <v>1202</v>
      </c>
      <c r="K208" s="732">
        <f>+K209+K210</f>
        <v>0</v>
      </c>
      <c r="L208" s="732">
        <f>+L209+L210</f>
        <v>0</v>
      </c>
      <c r="M208" s="732">
        <f>+M209+M210</f>
        <v>0</v>
      </c>
      <c r="N208" s="1858">
        <f t="shared" si="89"/>
        <v>0</v>
      </c>
      <c r="O208" s="732">
        <f t="shared" ref="O208:T208" si="91">+O209+O210</f>
        <v>0</v>
      </c>
      <c r="P208" s="732">
        <f t="shared" si="91"/>
        <v>0</v>
      </c>
      <c r="Q208" s="732">
        <f t="shared" si="91"/>
        <v>0</v>
      </c>
      <c r="R208" s="732">
        <f t="shared" si="91"/>
        <v>0</v>
      </c>
      <c r="S208" s="732">
        <f>+S209+S210</f>
        <v>0</v>
      </c>
      <c r="T208" s="1858">
        <f t="shared" si="91"/>
        <v>0</v>
      </c>
      <c r="U208" s="733" t="e">
        <f t="shared" si="88"/>
        <v>#DIV/0!</v>
      </c>
      <c r="V208" s="694"/>
      <c r="W208" s="720" t="s">
        <v>1203</v>
      </c>
      <c r="X208" s="720"/>
      <c r="Y208" s="699" t="s">
        <v>968</v>
      </c>
    </row>
    <row r="209" spans="1:25" ht="22.5" customHeight="1" thickTop="1" thickBot="1">
      <c r="A209" s="27" t="s">
        <v>127</v>
      </c>
      <c r="B209" s="88" t="s">
        <v>134</v>
      </c>
      <c r="C209" s="88" t="s">
        <v>140</v>
      </c>
      <c r="D209" s="88" t="s">
        <v>134</v>
      </c>
      <c r="E209" s="88" t="s">
        <v>129</v>
      </c>
      <c r="F209" s="694" t="s">
        <v>129</v>
      </c>
      <c r="G209" s="88"/>
      <c r="H209" s="88"/>
      <c r="I209" s="88"/>
      <c r="J209" s="86" t="s">
        <v>190</v>
      </c>
      <c r="K209" s="734"/>
      <c r="L209" s="734"/>
      <c r="M209" s="734"/>
      <c r="N209" s="1859">
        <f t="shared" si="89"/>
        <v>0</v>
      </c>
      <c r="O209" s="734"/>
      <c r="P209" s="734"/>
      <c r="Q209" s="734"/>
      <c r="R209" s="734"/>
      <c r="S209" s="734"/>
      <c r="T209" s="1859"/>
      <c r="U209" s="735" t="e">
        <f t="shared" si="88"/>
        <v>#DIV/0!</v>
      </c>
      <c r="V209" s="88"/>
      <c r="W209" s="27" t="s">
        <v>1204</v>
      </c>
      <c r="X209" s="27"/>
      <c r="Y209" s="699" t="s">
        <v>968</v>
      </c>
    </row>
    <row r="210" spans="1:25" ht="22.5" customHeight="1" thickTop="1" thickBot="1">
      <c r="A210" s="27" t="s">
        <v>127</v>
      </c>
      <c r="B210" s="88" t="s">
        <v>134</v>
      </c>
      <c r="C210" s="88" t="s">
        <v>140</v>
      </c>
      <c r="D210" s="88" t="s">
        <v>134</v>
      </c>
      <c r="E210" s="88" t="s">
        <v>129</v>
      </c>
      <c r="F210" s="694" t="s">
        <v>134</v>
      </c>
      <c r="G210" s="88"/>
      <c r="H210" s="88"/>
      <c r="I210" s="88"/>
      <c r="J210" s="86" t="s">
        <v>191</v>
      </c>
      <c r="K210" s="734"/>
      <c r="L210" s="734"/>
      <c r="M210" s="734"/>
      <c r="N210" s="1859">
        <f t="shared" si="89"/>
        <v>0</v>
      </c>
      <c r="O210" s="734"/>
      <c r="P210" s="734"/>
      <c r="Q210" s="734"/>
      <c r="R210" s="734"/>
      <c r="S210" s="734"/>
      <c r="T210" s="1859"/>
      <c r="U210" s="735" t="e">
        <f t="shared" si="88"/>
        <v>#DIV/0!</v>
      </c>
      <c r="V210" s="88"/>
      <c r="W210" s="27" t="s">
        <v>1205</v>
      </c>
      <c r="X210" s="27"/>
      <c r="Y210" s="699" t="s">
        <v>968</v>
      </c>
    </row>
    <row r="211" spans="1:25" s="1" customFormat="1" ht="22.5" customHeight="1" thickTop="1" thickBot="1">
      <c r="A211" s="720" t="s">
        <v>127</v>
      </c>
      <c r="B211" s="694" t="s">
        <v>134</v>
      </c>
      <c r="C211" s="694" t="s">
        <v>140</v>
      </c>
      <c r="D211" s="694" t="s">
        <v>134</v>
      </c>
      <c r="E211" s="694" t="s">
        <v>134</v>
      </c>
      <c r="F211" s="694"/>
      <c r="G211" s="694"/>
      <c r="H211" s="88"/>
      <c r="I211" s="88"/>
      <c r="J211" s="717" t="s">
        <v>1206</v>
      </c>
      <c r="K211" s="732"/>
      <c r="L211" s="732"/>
      <c r="M211" s="732"/>
      <c r="N211" s="1858">
        <f t="shared" si="89"/>
        <v>0</v>
      </c>
      <c r="O211" s="732"/>
      <c r="P211" s="732"/>
      <c r="Q211" s="732"/>
      <c r="R211" s="732"/>
      <c r="S211" s="732"/>
      <c r="T211" s="1858"/>
      <c r="U211" s="733" t="e">
        <f t="shared" si="88"/>
        <v>#DIV/0!</v>
      </c>
      <c r="V211" s="694"/>
      <c r="W211" s="720" t="s">
        <v>1207</v>
      </c>
      <c r="X211" s="720"/>
      <c r="Y211" s="699" t="s">
        <v>968</v>
      </c>
    </row>
    <row r="212" spans="1:25" s="1" customFormat="1" ht="22.5" customHeight="1" thickTop="1" thickBot="1">
      <c r="A212" s="720" t="s">
        <v>127</v>
      </c>
      <c r="B212" s="694" t="s">
        <v>134</v>
      </c>
      <c r="C212" s="694" t="s">
        <v>140</v>
      </c>
      <c r="D212" s="694" t="s">
        <v>134</v>
      </c>
      <c r="E212" s="694" t="s">
        <v>139</v>
      </c>
      <c r="F212" s="694"/>
      <c r="G212" s="694"/>
      <c r="H212" s="88"/>
      <c r="I212" s="88"/>
      <c r="J212" s="717" t="s">
        <v>1208</v>
      </c>
      <c r="K212" s="732"/>
      <c r="L212" s="732"/>
      <c r="M212" s="732"/>
      <c r="N212" s="1858">
        <f t="shared" si="89"/>
        <v>0</v>
      </c>
      <c r="O212" s="732"/>
      <c r="P212" s="732"/>
      <c r="Q212" s="732"/>
      <c r="R212" s="732"/>
      <c r="S212" s="732"/>
      <c r="T212" s="1858"/>
      <c r="U212" s="733" t="e">
        <f t="shared" si="88"/>
        <v>#DIV/0!</v>
      </c>
      <c r="V212" s="694"/>
      <c r="W212" s="720" t="s">
        <v>1209</v>
      </c>
      <c r="X212" s="720"/>
      <c r="Y212" s="699" t="s">
        <v>968</v>
      </c>
    </row>
    <row r="213" spans="1:25" s="1" customFormat="1" ht="22.5" customHeight="1" thickTop="1" thickBot="1">
      <c r="A213" s="711" t="s">
        <v>127</v>
      </c>
      <c r="B213" s="712" t="s">
        <v>134</v>
      </c>
      <c r="C213" s="712" t="s">
        <v>140</v>
      </c>
      <c r="D213" s="712" t="s">
        <v>139</v>
      </c>
      <c r="E213" s="712"/>
      <c r="F213" s="712"/>
      <c r="G213" s="712"/>
      <c r="H213" s="713"/>
      <c r="I213" s="713"/>
      <c r="J213" s="714" t="s">
        <v>1172</v>
      </c>
      <c r="K213" s="736"/>
      <c r="L213" s="736"/>
      <c r="M213" s="736"/>
      <c r="N213" s="1860">
        <f t="shared" si="89"/>
        <v>0</v>
      </c>
      <c r="O213" s="736"/>
      <c r="P213" s="736"/>
      <c r="Q213" s="736"/>
      <c r="R213" s="736"/>
      <c r="S213" s="736"/>
      <c r="T213" s="1860"/>
      <c r="U213" s="737" t="e">
        <f t="shared" si="88"/>
        <v>#DIV/0!</v>
      </c>
      <c r="V213" s="712"/>
      <c r="W213" s="711" t="s">
        <v>1210</v>
      </c>
      <c r="X213" s="711" t="s">
        <v>1174</v>
      </c>
      <c r="Y213" s="699" t="s">
        <v>968</v>
      </c>
    </row>
    <row r="214" spans="1:25" s="1" customFormat="1" ht="22.5" customHeight="1" thickTop="1" thickBot="1">
      <c r="A214" s="705" t="s">
        <v>127</v>
      </c>
      <c r="B214" s="706" t="s">
        <v>134</v>
      </c>
      <c r="C214" s="706" t="s">
        <v>144</v>
      </c>
      <c r="D214" s="706"/>
      <c r="E214" s="706"/>
      <c r="F214" s="706"/>
      <c r="G214" s="706"/>
      <c r="H214" s="707"/>
      <c r="I214" s="707"/>
      <c r="J214" s="738" t="s">
        <v>1211</v>
      </c>
      <c r="K214" s="739">
        <f>+K215+K219+K221+K222+K223+K226+K227+K228+K229+K230+K231+K232+K236+K241</f>
        <v>18300943923</v>
      </c>
      <c r="L214" s="739">
        <f>+L215+L219+L221+L222+L223+L226+L227+L228+L229+L230+L231+L232+L236+L241</f>
        <v>0</v>
      </c>
      <c r="M214" s="739">
        <f>+M215+M219+M221+M222+M223+M226+M227+M228+M229+M230+M231+M232+M236+M241</f>
        <v>0</v>
      </c>
      <c r="N214" s="1861">
        <f t="shared" si="89"/>
        <v>18300943923</v>
      </c>
      <c r="O214" s="739">
        <f t="shared" ref="O214:T214" si="92">+O215+O219+O221+O222+O223+O226+O227+O228+O229+O230+O231+O232+O236+O241</f>
        <v>0</v>
      </c>
      <c r="P214" s="739">
        <f t="shared" si="92"/>
        <v>18300943923</v>
      </c>
      <c r="Q214" s="739">
        <f t="shared" si="92"/>
        <v>0</v>
      </c>
      <c r="R214" s="739">
        <f t="shared" si="92"/>
        <v>0</v>
      </c>
      <c r="S214" s="739">
        <f>+S215+S219+S221+S222+S223+S226+S227+S228+S229+S230+S231+S232+S236+S241</f>
        <v>0</v>
      </c>
      <c r="T214" s="1861">
        <f t="shared" si="92"/>
        <v>14940999999</v>
      </c>
      <c r="U214" s="740" t="e">
        <f t="shared" si="88"/>
        <v>#DIV/0!</v>
      </c>
      <c r="V214" s="706"/>
      <c r="W214" s="706" t="s">
        <v>1212</v>
      </c>
      <c r="X214" s="706"/>
      <c r="Y214" s="699" t="s">
        <v>968</v>
      </c>
    </row>
    <row r="215" spans="1:25" s="1" customFormat="1" ht="22.5" customHeight="1" thickTop="1" thickBot="1">
      <c r="A215" s="711" t="s">
        <v>127</v>
      </c>
      <c r="B215" s="712" t="s">
        <v>134</v>
      </c>
      <c r="C215" s="712" t="s">
        <v>144</v>
      </c>
      <c r="D215" s="712" t="s">
        <v>129</v>
      </c>
      <c r="E215" s="712"/>
      <c r="F215" s="712"/>
      <c r="G215" s="712"/>
      <c r="H215" s="713"/>
      <c r="I215" s="713"/>
      <c r="J215" s="714" t="s">
        <v>1213</v>
      </c>
      <c r="K215" s="736">
        <f>+K216+K217+K218</f>
        <v>18300943923</v>
      </c>
      <c r="L215" s="736">
        <f>+L216+L217+L218</f>
        <v>0</v>
      </c>
      <c r="M215" s="736">
        <f>+M216+M217+M218</f>
        <v>0</v>
      </c>
      <c r="N215" s="1860">
        <f t="shared" si="89"/>
        <v>18300943923</v>
      </c>
      <c r="O215" s="736">
        <f t="shared" ref="O215:T215" si="93">+O216+O217+O218</f>
        <v>0</v>
      </c>
      <c r="P215" s="736">
        <f t="shared" si="93"/>
        <v>18300943923</v>
      </c>
      <c r="Q215" s="736">
        <f t="shared" si="93"/>
        <v>0</v>
      </c>
      <c r="R215" s="736">
        <f t="shared" si="93"/>
        <v>0</v>
      </c>
      <c r="S215" s="736">
        <f>+S216+S217+S218</f>
        <v>0</v>
      </c>
      <c r="T215" s="1860">
        <f t="shared" si="93"/>
        <v>14940999999</v>
      </c>
      <c r="U215" s="737" t="e">
        <f t="shared" si="88"/>
        <v>#DIV/0!</v>
      </c>
      <c r="V215" s="712"/>
      <c r="W215" s="711"/>
      <c r="X215" s="711"/>
      <c r="Y215" s="699"/>
    </row>
    <row r="216" spans="1:25" ht="22.5" customHeight="1" thickTop="1" thickBot="1">
      <c r="A216" s="27" t="s">
        <v>127</v>
      </c>
      <c r="B216" s="88" t="s">
        <v>134</v>
      </c>
      <c r="C216" s="88" t="s">
        <v>144</v>
      </c>
      <c r="D216" s="88" t="s">
        <v>129</v>
      </c>
      <c r="E216" s="694" t="s">
        <v>129</v>
      </c>
      <c r="F216" s="88"/>
      <c r="G216" s="88"/>
      <c r="H216" s="88"/>
      <c r="I216" s="88"/>
      <c r="J216" s="86" t="s">
        <v>1214</v>
      </c>
      <c r="K216" s="660">
        <v>18300943923</v>
      </c>
      <c r="L216" s="660"/>
      <c r="M216" s="660"/>
      <c r="N216" s="1862">
        <f t="shared" si="89"/>
        <v>18300943923</v>
      </c>
      <c r="O216" s="660"/>
      <c r="P216" s="660">
        <f>+N216</f>
        <v>18300943923</v>
      </c>
      <c r="Q216" s="660"/>
      <c r="R216" s="660"/>
      <c r="S216" s="660"/>
      <c r="T216" s="1862">
        <v>14940999999</v>
      </c>
      <c r="U216" s="661" t="e">
        <f t="shared" si="88"/>
        <v>#DIV/0!</v>
      </c>
      <c r="V216" s="88"/>
      <c r="W216" s="27"/>
      <c r="X216" s="27"/>
      <c r="Y216" s="110"/>
    </row>
    <row r="217" spans="1:25" ht="22.5" customHeight="1" thickTop="1" thickBot="1">
      <c r="A217" s="27" t="s">
        <v>127</v>
      </c>
      <c r="B217" s="88" t="s">
        <v>134</v>
      </c>
      <c r="C217" s="88" t="s">
        <v>144</v>
      </c>
      <c r="D217" s="88" t="s">
        <v>129</v>
      </c>
      <c r="E217" s="694" t="s">
        <v>134</v>
      </c>
      <c r="F217" s="88"/>
      <c r="G217" s="88"/>
      <c r="H217" s="88"/>
      <c r="I217" s="88"/>
      <c r="J217" s="86" t="s">
        <v>1215</v>
      </c>
      <c r="K217" s="660"/>
      <c r="L217" s="660"/>
      <c r="M217" s="660"/>
      <c r="N217" s="1863">
        <f t="shared" si="89"/>
        <v>0</v>
      </c>
      <c r="O217" s="660"/>
      <c r="P217" s="660"/>
      <c r="Q217" s="660"/>
      <c r="R217" s="660"/>
      <c r="S217" s="660"/>
      <c r="T217" s="1863"/>
      <c r="U217" s="661" t="e">
        <f t="shared" si="88"/>
        <v>#DIV/0!</v>
      </c>
      <c r="V217" s="88"/>
      <c r="W217" s="27"/>
      <c r="X217" s="27"/>
      <c r="Y217" s="110"/>
    </row>
    <row r="218" spans="1:25" ht="22.5" customHeight="1" thickTop="1" thickBot="1">
      <c r="A218" s="27" t="s">
        <v>127</v>
      </c>
      <c r="B218" s="88" t="s">
        <v>134</v>
      </c>
      <c r="C218" s="88" t="s">
        <v>144</v>
      </c>
      <c r="D218" s="88" t="s">
        <v>129</v>
      </c>
      <c r="E218" s="694" t="s">
        <v>139</v>
      </c>
      <c r="F218" s="88"/>
      <c r="G218" s="88"/>
      <c r="H218" s="88"/>
      <c r="I218" s="88"/>
      <c r="J218" s="86" t="s">
        <v>1216</v>
      </c>
      <c r="K218" s="660"/>
      <c r="L218" s="660"/>
      <c r="M218" s="660"/>
      <c r="N218" s="1863">
        <f t="shared" si="89"/>
        <v>0</v>
      </c>
      <c r="O218" s="660"/>
      <c r="P218" s="660"/>
      <c r="Q218" s="660"/>
      <c r="R218" s="660"/>
      <c r="S218" s="660"/>
      <c r="T218" s="1863"/>
      <c r="U218" s="661" t="e">
        <f t="shared" si="88"/>
        <v>#DIV/0!</v>
      </c>
      <c r="V218" s="88"/>
      <c r="W218" s="27"/>
      <c r="X218" s="27"/>
      <c r="Y218" s="110"/>
    </row>
    <row r="219" spans="1:25" s="1" customFormat="1" ht="22.5" customHeight="1" thickTop="1" thickBot="1">
      <c r="A219" s="711" t="s">
        <v>127</v>
      </c>
      <c r="B219" s="712" t="s">
        <v>134</v>
      </c>
      <c r="C219" s="712" t="s">
        <v>144</v>
      </c>
      <c r="D219" s="712" t="s">
        <v>134</v>
      </c>
      <c r="E219" s="712"/>
      <c r="F219" s="712"/>
      <c r="G219" s="712"/>
      <c r="H219" s="713"/>
      <c r="I219" s="713"/>
      <c r="J219" s="714" t="s">
        <v>1089</v>
      </c>
      <c r="K219" s="736">
        <f>+K220</f>
        <v>0</v>
      </c>
      <c r="L219" s="736">
        <f>+L220</f>
        <v>0</v>
      </c>
      <c r="M219" s="736">
        <f>+M220</f>
        <v>0</v>
      </c>
      <c r="N219" s="1860">
        <f t="shared" si="89"/>
        <v>0</v>
      </c>
      <c r="O219" s="736">
        <f t="shared" ref="O219:T219" si="94">+O220</f>
        <v>0</v>
      </c>
      <c r="P219" s="736">
        <f t="shared" si="94"/>
        <v>0</v>
      </c>
      <c r="Q219" s="736">
        <f t="shared" si="94"/>
        <v>0</v>
      </c>
      <c r="R219" s="736">
        <f t="shared" si="94"/>
        <v>0</v>
      </c>
      <c r="S219" s="736">
        <f>+S220</f>
        <v>0</v>
      </c>
      <c r="T219" s="1860">
        <f t="shared" si="94"/>
        <v>0</v>
      </c>
      <c r="U219" s="737" t="e">
        <f t="shared" si="88"/>
        <v>#DIV/0!</v>
      </c>
      <c r="V219" s="712"/>
      <c r="W219" s="711"/>
      <c r="X219" s="711"/>
      <c r="Y219" s="699" t="s">
        <v>968</v>
      </c>
    </row>
    <row r="220" spans="1:25" s="1" customFormat="1" ht="22.5" customHeight="1" thickTop="1" thickBot="1">
      <c r="A220" s="720" t="s">
        <v>127</v>
      </c>
      <c r="B220" s="694" t="s">
        <v>134</v>
      </c>
      <c r="C220" s="694" t="s">
        <v>144</v>
      </c>
      <c r="D220" s="694" t="s">
        <v>134</v>
      </c>
      <c r="E220" s="694" t="s">
        <v>129</v>
      </c>
      <c r="F220" s="694"/>
      <c r="G220" s="694"/>
      <c r="H220" s="88"/>
      <c r="I220" s="88"/>
      <c r="J220" s="717" t="s">
        <v>1217</v>
      </c>
      <c r="K220" s="732"/>
      <c r="L220" s="732"/>
      <c r="M220" s="732"/>
      <c r="N220" s="1858">
        <f t="shared" si="89"/>
        <v>0</v>
      </c>
      <c r="O220" s="732"/>
      <c r="P220" s="732"/>
      <c r="Q220" s="732"/>
      <c r="R220" s="732"/>
      <c r="S220" s="732"/>
      <c r="T220" s="1858"/>
      <c r="U220" s="733" t="e">
        <f t="shared" si="88"/>
        <v>#DIV/0!</v>
      </c>
      <c r="V220" s="694"/>
      <c r="W220" s="720"/>
      <c r="X220" s="720"/>
      <c r="Y220" s="699" t="s">
        <v>968</v>
      </c>
    </row>
    <row r="221" spans="1:25" s="1" customFormat="1" ht="22.5" customHeight="1" thickTop="1" thickBot="1">
      <c r="A221" s="711" t="s">
        <v>127</v>
      </c>
      <c r="B221" s="712" t="s">
        <v>134</v>
      </c>
      <c r="C221" s="712" t="s">
        <v>144</v>
      </c>
      <c r="D221" s="712" t="s">
        <v>139</v>
      </c>
      <c r="E221" s="712"/>
      <c r="F221" s="712"/>
      <c r="G221" s="712"/>
      <c r="H221" s="713"/>
      <c r="I221" s="713"/>
      <c r="J221" s="714" t="s">
        <v>1218</v>
      </c>
      <c r="K221" s="736"/>
      <c r="L221" s="736"/>
      <c r="M221" s="736"/>
      <c r="N221" s="1860">
        <f t="shared" si="89"/>
        <v>0</v>
      </c>
      <c r="O221" s="736"/>
      <c r="P221" s="736"/>
      <c r="Q221" s="736"/>
      <c r="R221" s="736"/>
      <c r="S221" s="736"/>
      <c r="T221" s="1860"/>
      <c r="U221" s="737" t="e">
        <f t="shared" si="88"/>
        <v>#DIV/0!</v>
      </c>
      <c r="V221" s="712"/>
      <c r="W221" s="711"/>
      <c r="X221" s="711"/>
      <c r="Y221" s="699" t="s">
        <v>968</v>
      </c>
    </row>
    <row r="222" spans="1:25" s="1" customFormat="1" ht="22.5" customHeight="1" thickTop="1" thickBot="1">
      <c r="A222" s="711" t="s">
        <v>127</v>
      </c>
      <c r="B222" s="712" t="s">
        <v>134</v>
      </c>
      <c r="C222" s="712" t="s">
        <v>144</v>
      </c>
      <c r="D222" s="712" t="s">
        <v>140</v>
      </c>
      <c r="E222" s="712"/>
      <c r="F222" s="712"/>
      <c r="G222" s="712"/>
      <c r="H222" s="713"/>
      <c r="I222" s="713"/>
      <c r="J222" s="714" t="s">
        <v>1219</v>
      </c>
      <c r="K222" s="736"/>
      <c r="L222" s="736"/>
      <c r="M222" s="736"/>
      <c r="N222" s="1860">
        <f t="shared" si="89"/>
        <v>0</v>
      </c>
      <c r="O222" s="736"/>
      <c r="P222" s="736"/>
      <c r="Q222" s="736"/>
      <c r="R222" s="736"/>
      <c r="S222" s="736"/>
      <c r="T222" s="1860"/>
      <c r="U222" s="737" t="e">
        <f t="shared" si="88"/>
        <v>#DIV/0!</v>
      </c>
      <c r="V222" s="712"/>
      <c r="W222" s="711"/>
      <c r="X222" s="711"/>
      <c r="Y222" s="699" t="s">
        <v>968</v>
      </c>
    </row>
    <row r="223" spans="1:25" s="1" customFormat="1" ht="22.5" customHeight="1" thickTop="1" thickBot="1">
      <c r="A223" s="711" t="s">
        <v>127</v>
      </c>
      <c r="B223" s="712" t="s">
        <v>134</v>
      </c>
      <c r="C223" s="712" t="s">
        <v>144</v>
      </c>
      <c r="D223" s="712" t="s">
        <v>144</v>
      </c>
      <c r="E223" s="712"/>
      <c r="F223" s="712"/>
      <c r="G223" s="712"/>
      <c r="H223" s="713"/>
      <c r="I223" s="713"/>
      <c r="J223" s="714" t="s">
        <v>1220</v>
      </c>
      <c r="K223" s="736">
        <f>+K224+K225</f>
        <v>0</v>
      </c>
      <c r="L223" s="736">
        <f>+L224+L225</f>
        <v>0</v>
      </c>
      <c r="M223" s="736">
        <f>+M224+M225</f>
        <v>0</v>
      </c>
      <c r="N223" s="1860">
        <f t="shared" si="89"/>
        <v>0</v>
      </c>
      <c r="O223" s="736">
        <f t="shared" ref="O223:T223" si="95">+O224+O225</f>
        <v>0</v>
      </c>
      <c r="P223" s="736">
        <f t="shared" si="95"/>
        <v>0</v>
      </c>
      <c r="Q223" s="736">
        <f t="shared" si="95"/>
        <v>0</v>
      </c>
      <c r="R223" s="736">
        <f t="shared" si="95"/>
        <v>0</v>
      </c>
      <c r="S223" s="736">
        <f>+S224+S225</f>
        <v>0</v>
      </c>
      <c r="T223" s="1860">
        <f t="shared" si="95"/>
        <v>0</v>
      </c>
      <c r="U223" s="737" t="e">
        <f t="shared" si="88"/>
        <v>#DIV/0!</v>
      </c>
      <c r="V223" s="712"/>
      <c r="W223" s="711"/>
      <c r="X223" s="711"/>
      <c r="Y223" s="699" t="s">
        <v>968</v>
      </c>
    </row>
    <row r="224" spans="1:25" s="1" customFormat="1" ht="22.5" customHeight="1" thickTop="1" thickBot="1">
      <c r="A224" s="720" t="s">
        <v>127</v>
      </c>
      <c r="B224" s="694" t="s">
        <v>134</v>
      </c>
      <c r="C224" s="694" t="s">
        <v>144</v>
      </c>
      <c r="D224" s="694" t="s">
        <v>144</v>
      </c>
      <c r="E224" s="694" t="s">
        <v>129</v>
      </c>
      <c r="F224" s="694"/>
      <c r="G224" s="694"/>
      <c r="H224" s="88"/>
      <c r="I224" s="88"/>
      <c r="J224" s="717" t="s">
        <v>1221</v>
      </c>
      <c r="K224" s="732"/>
      <c r="L224" s="732"/>
      <c r="M224" s="732"/>
      <c r="N224" s="1858">
        <f t="shared" si="89"/>
        <v>0</v>
      </c>
      <c r="O224" s="732"/>
      <c r="P224" s="732"/>
      <c r="Q224" s="732"/>
      <c r="R224" s="732"/>
      <c r="S224" s="732"/>
      <c r="T224" s="1858"/>
      <c r="U224" s="733" t="e">
        <f t="shared" si="88"/>
        <v>#DIV/0!</v>
      </c>
      <c r="V224" s="694"/>
      <c r="W224" s="720"/>
      <c r="X224" s="720"/>
      <c r="Y224" s="699" t="s">
        <v>968</v>
      </c>
    </row>
    <row r="225" spans="1:25" s="1" customFormat="1" ht="22.5" customHeight="1" thickTop="1" thickBot="1">
      <c r="A225" s="720" t="s">
        <v>127</v>
      </c>
      <c r="B225" s="694" t="s">
        <v>134</v>
      </c>
      <c r="C225" s="694" t="s">
        <v>144</v>
      </c>
      <c r="D225" s="694" t="s">
        <v>144</v>
      </c>
      <c r="E225" s="694" t="s">
        <v>134</v>
      </c>
      <c r="F225" s="694"/>
      <c r="G225" s="694"/>
      <c r="H225" s="88"/>
      <c r="I225" s="88"/>
      <c r="J225" s="717" t="s">
        <v>1222</v>
      </c>
      <c r="K225" s="732"/>
      <c r="L225" s="732"/>
      <c r="M225" s="732"/>
      <c r="N225" s="1858">
        <f t="shared" si="89"/>
        <v>0</v>
      </c>
      <c r="O225" s="732"/>
      <c r="P225" s="732"/>
      <c r="Q225" s="732"/>
      <c r="R225" s="732"/>
      <c r="S225" s="732"/>
      <c r="T225" s="1858"/>
      <c r="U225" s="733" t="e">
        <f t="shared" si="88"/>
        <v>#DIV/0!</v>
      </c>
      <c r="V225" s="720"/>
      <c r="W225" s="720"/>
      <c r="X225" s="720"/>
      <c r="Y225" s="699" t="s">
        <v>968</v>
      </c>
    </row>
    <row r="226" spans="1:25" s="1" customFormat="1" ht="22.5" customHeight="1" thickTop="1" thickBot="1">
      <c r="A226" s="711" t="s">
        <v>127</v>
      </c>
      <c r="B226" s="712" t="s">
        <v>134</v>
      </c>
      <c r="C226" s="712" t="s">
        <v>144</v>
      </c>
      <c r="D226" s="712" t="s">
        <v>145</v>
      </c>
      <c r="E226" s="712"/>
      <c r="F226" s="712"/>
      <c r="G226" s="712"/>
      <c r="H226" s="713"/>
      <c r="I226" s="713"/>
      <c r="J226" s="714" t="s">
        <v>1223</v>
      </c>
      <c r="K226" s="736"/>
      <c r="L226" s="736"/>
      <c r="M226" s="736"/>
      <c r="N226" s="1860">
        <f t="shared" si="89"/>
        <v>0</v>
      </c>
      <c r="O226" s="736"/>
      <c r="P226" s="736"/>
      <c r="Q226" s="736"/>
      <c r="R226" s="736"/>
      <c r="S226" s="736"/>
      <c r="T226" s="1860"/>
      <c r="U226" s="737" t="e">
        <f t="shared" si="88"/>
        <v>#DIV/0!</v>
      </c>
      <c r="V226" s="712"/>
      <c r="W226" s="711"/>
      <c r="X226" s="711"/>
      <c r="Y226" s="699" t="s">
        <v>968</v>
      </c>
    </row>
    <row r="227" spans="1:25" s="1" customFormat="1" ht="22.5" customHeight="1" thickTop="1" thickBot="1">
      <c r="A227" s="711" t="s">
        <v>127</v>
      </c>
      <c r="B227" s="712" t="s">
        <v>134</v>
      </c>
      <c r="C227" s="712" t="s">
        <v>144</v>
      </c>
      <c r="D227" s="712" t="s">
        <v>146</v>
      </c>
      <c r="E227" s="712"/>
      <c r="F227" s="712"/>
      <c r="G227" s="712"/>
      <c r="H227" s="713"/>
      <c r="I227" s="713"/>
      <c r="J227" s="714" t="s">
        <v>1224</v>
      </c>
      <c r="K227" s="736"/>
      <c r="L227" s="736"/>
      <c r="M227" s="736"/>
      <c r="N227" s="1860">
        <f t="shared" si="89"/>
        <v>0</v>
      </c>
      <c r="O227" s="736"/>
      <c r="P227" s="736"/>
      <c r="Q227" s="736"/>
      <c r="R227" s="736"/>
      <c r="S227" s="736"/>
      <c r="T227" s="1860"/>
      <c r="U227" s="737" t="e">
        <f t="shared" si="88"/>
        <v>#DIV/0!</v>
      </c>
      <c r="V227" s="712"/>
      <c r="W227" s="711"/>
      <c r="X227" s="711"/>
      <c r="Y227" s="699" t="s">
        <v>968</v>
      </c>
    </row>
    <row r="228" spans="1:25" s="1" customFormat="1" ht="22.5" customHeight="1" thickTop="1" thickBot="1">
      <c r="A228" s="711" t="s">
        <v>127</v>
      </c>
      <c r="B228" s="712" t="s">
        <v>134</v>
      </c>
      <c r="C228" s="712" t="s">
        <v>144</v>
      </c>
      <c r="D228" s="712" t="s">
        <v>147</v>
      </c>
      <c r="E228" s="712"/>
      <c r="F228" s="712"/>
      <c r="G228" s="712"/>
      <c r="H228" s="713"/>
      <c r="I228" s="713"/>
      <c r="J228" s="714" t="s">
        <v>1225</v>
      </c>
      <c r="K228" s="736"/>
      <c r="L228" s="736"/>
      <c r="M228" s="736"/>
      <c r="N228" s="1860">
        <f t="shared" si="89"/>
        <v>0</v>
      </c>
      <c r="O228" s="736"/>
      <c r="P228" s="736"/>
      <c r="Q228" s="736"/>
      <c r="R228" s="736"/>
      <c r="S228" s="736"/>
      <c r="T228" s="1860"/>
      <c r="U228" s="737" t="e">
        <f t="shared" si="88"/>
        <v>#DIV/0!</v>
      </c>
      <c r="V228" s="712"/>
      <c r="W228" s="711"/>
      <c r="X228" s="711"/>
      <c r="Y228" s="699" t="s">
        <v>968</v>
      </c>
    </row>
    <row r="229" spans="1:25" s="1" customFormat="1" ht="22.5" customHeight="1" thickTop="1" thickBot="1">
      <c r="A229" s="711" t="s">
        <v>127</v>
      </c>
      <c r="B229" s="712" t="s">
        <v>134</v>
      </c>
      <c r="C229" s="712" t="s">
        <v>144</v>
      </c>
      <c r="D229" s="712" t="s">
        <v>180</v>
      </c>
      <c r="E229" s="712"/>
      <c r="F229" s="712"/>
      <c r="G229" s="712"/>
      <c r="H229" s="713"/>
      <c r="I229" s="713"/>
      <c r="J229" s="714" t="s">
        <v>1226</v>
      </c>
      <c r="K229" s="736"/>
      <c r="L229" s="736"/>
      <c r="M229" s="736"/>
      <c r="N229" s="1860">
        <f t="shared" si="89"/>
        <v>0</v>
      </c>
      <c r="O229" s="736"/>
      <c r="P229" s="736"/>
      <c r="Q229" s="736"/>
      <c r="R229" s="736"/>
      <c r="S229" s="736"/>
      <c r="T229" s="1860"/>
      <c r="U229" s="737" t="e">
        <f t="shared" si="88"/>
        <v>#DIV/0!</v>
      </c>
      <c r="V229" s="712"/>
      <c r="W229" s="711"/>
      <c r="X229" s="711"/>
      <c r="Y229" s="699" t="s">
        <v>968</v>
      </c>
    </row>
    <row r="230" spans="1:25" s="1" customFormat="1" ht="22.5" customHeight="1" thickTop="1" thickBot="1">
      <c r="A230" s="711" t="s">
        <v>127</v>
      </c>
      <c r="B230" s="712" t="s">
        <v>134</v>
      </c>
      <c r="C230" s="712" t="s">
        <v>144</v>
      </c>
      <c r="D230" s="712" t="s">
        <v>181</v>
      </c>
      <c r="E230" s="712"/>
      <c r="F230" s="712"/>
      <c r="G230" s="712"/>
      <c r="H230" s="713"/>
      <c r="I230" s="713"/>
      <c r="J230" s="714" t="s">
        <v>1227</v>
      </c>
      <c r="K230" s="736"/>
      <c r="L230" s="736"/>
      <c r="M230" s="736"/>
      <c r="N230" s="1860">
        <f t="shared" si="89"/>
        <v>0</v>
      </c>
      <c r="O230" s="736"/>
      <c r="P230" s="736"/>
      <c r="Q230" s="736"/>
      <c r="R230" s="736"/>
      <c r="S230" s="736"/>
      <c r="T230" s="1860"/>
      <c r="U230" s="737" t="e">
        <f t="shared" si="88"/>
        <v>#DIV/0!</v>
      </c>
      <c r="V230" s="712"/>
      <c r="W230" s="711"/>
      <c r="X230" s="711"/>
      <c r="Y230" s="699" t="s">
        <v>968</v>
      </c>
    </row>
    <row r="231" spans="1:25" s="1" customFormat="1" ht="22.5" customHeight="1" thickTop="1" thickBot="1">
      <c r="A231" s="711" t="s">
        <v>127</v>
      </c>
      <c r="B231" s="712" t="s">
        <v>134</v>
      </c>
      <c r="C231" s="712" t="s">
        <v>144</v>
      </c>
      <c r="D231" s="712" t="s">
        <v>182</v>
      </c>
      <c r="E231" s="712"/>
      <c r="F231" s="712"/>
      <c r="G231" s="712"/>
      <c r="H231" s="713"/>
      <c r="I231" s="713"/>
      <c r="J231" s="714" t="s">
        <v>192</v>
      </c>
      <c r="K231" s="736"/>
      <c r="L231" s="736"/>
      <c r="M231" s="736"/>
      <c r="N231" s="1860">
        <f t="shared" si="89"/>
        <v>0</v>
      </c>
      <c r="O231" s="736"/>
      <c r="P231" s="736"/>
      <c r="Q231" s="736"/>
      <c r="R231" s="736"/>
      <c r="S231" s="736"/>
      <c r="T231" s="1860"/>
      <c r="U231" s="737" t="e">
        <f t="shared" si="88"/>
        <v>#DIV/0!</v>
      </c>
      <c r="V231" s="712"/>
      <c r="W231" s="711" t="s">
        <v>1228</v>
      </c>
      <c r="X231" s="711"/>
      <c r="Y231" s="699" t="s">
        <v>968</v>
      </c>
    </row>
    <row r="232" spans="1:25" s="1" customFormat="1" ht="22.5" customHeight="1" thickTop="1" thickBot="1">
      <c r="A232" s="711" t="s">
        <v>127</v>
      </c>
      <c r="B232" s="712" t="s">
        <v>134</v>
      </c>
      <c r="C232" s="712" t="s">
        <v>144</v>
      </c>
      <c r="D232" s="712" t="s">
        <v>183</v>
      </c>
      <c r="E232" s="712"/>
      <c r="F232" s="712"/>
      <c r="G232" s="712"/>
      <c r="H232" s="713"/>
      <c r="I232" s="713"/>
      <c r="J232" s="714" t="s">
        <v>52</v>
      </c>
      <c r="K232" s="736">
        <f>+K233+K234+K235</f>
        <v>0</v>
      </c>
      <c r="L232" s="736">
        <f>+L233+L234+L235</f>
        <v>0</v>
      </c>
      <c r="M232" s="736">
        <f>+M233+M234+M235</f>
        <v>0</v>
      </c>
      <c r="N232" s="1860">
        <f t="shared" si="89"/>
        <v>0</v>
      </c>
      <c r="O232" s="736">
        <f t="shared" ref="O232:T232" si="96">+O233+O234+O235</f>
        <v>0</v>
      </c>
      <c r="P232" s="736">
        <f t="shared" si="96"/>
        <v>0</v>
      </c>
      <c r="Q232" s="736">
        <f t="shared" si="96"/>
        <v>0</v>
      </c>
      <c r="R232" s="736">
        <f t="shared" si="96"/>
        <v>0</v>
      </c>
      <c r="S232" s="736">
        <f>+S233+S234+S235</f>
        <v>0</v>
      </c>
      <c r="T232" s="1860">
        <f t="shared" si="96"/>
        <v>0</v>
      </c>
      <c r="U232" s="737" t="e">
        <f t="shared" si="88"/>
        <v>#DIV/0!</v>
      </c>
      <c r="V232" s="712"/>
      <c r="W232" s="711" t="s">
        <v>1229</v>
      </c>
      <c r="X232" s="711"/>
      <c r="Y232" s="699" t="s">
        <v>968</v>
      </c>
    </row>
    <row r="233" spans="1:25" s="1" customFormat="1" ht="22.5" customHeight="1" thickTop="1" thickBot="1">
      <c r="A233" s="720" t="s">
        <v>127</v>
      </c>
      <c r="B233" s="694" t="s">
        <v>134</v>
      </c>
      <c r="C233" s="694" t="s">
        <v>144</v>
      </c>
      <c r="D233" s="694" t="s">
        <v>183</v>
      </c>
      <c r="E233" s="694" t="s">
        <v>129</v>
      </c>
      <c r="F233" s="694"/>
      <c r="G233" s="694"/>
      <c r="H233" s="88"/>
      <c r="I233" s="88"/>
      <c r="J233" s="717" t="s">
        <v>1230</v>
      </c>
      <c r="K233" s="732"/>
      <c r="L233" s="732"/>
      <c r="M233" s="732"/>
      <c r="N233" s="1858">
        <f t="shared" si="89"/>
        <v>0</v>
      </c>
      <c r="O233" s="732"/>
      <c r="P233" s="732"/>
      <c r="Q233" s="732"/>
      <c r="R233" s="732"/>
      <c r="S233" s="732"/>
      <c r="T233" s="1858"/>
      <c r="U233" s="733" t="e">
        <f t="shared" si="88"/>
        <v>#DIV/0!</v>
      </c>
      <c r="V233" s="720"/>
      <c r="W233" s="720" t="s">
        <v>1231</v>
      </c>
      <c r="X233" s="720"/>
      <c r="Y233" s="699" t="s">
        <v>968</v>
      </c>
    </row>
    <row r="234" spans="1:25" s="1" customFormat="1" ht="22.5" customHeight="1" thickTop="1" thickBot="1">
      <c r="A234" s="720" t="s">
        <v>127</v>
      </c>
      <c r="B234" s="694" t="s">
        <v>134</v>
      </c>
      <c r="C234" s="694" t="s">
        <v>144</v>
      </c>
      <c r="D234" s="694" t="s">
        <v>183</v>
      </c>
      <c r="E234" s="694" t="s">
        <v>134</v>
      </c>
      <c r="F234" s="694"/>
      <c r="G234" s="694"/>
      <c r="H234" s="88"/>
      <c r="I234" s="88"/>
      <c r="J234" s="717" t="s">
        <v>1232</v>
      </c>
      <c r="K234" s="732"/>
      <c r="L234" s="732"/>
      <c r="M234" s="732"/>
      <c r="N234" s="1858">
        <f t="shared" si="89"/>
        <v>0</v>
      </c>
      <c r="O234" s="732"/>
      <c r="P234" s="732"/>
      <c r="Q234" s="732"/>
      <c r="R234" s="732"/>
      <c r="S234" s="732"/>
      <c r="T234" s="1858"/>
      <c r="U234" s="733" t="e">
        <f t="shared" si="88"/>
        <v>#DIV/0!</v>
      </c>
      <c r="V234" s="694"/>
      <c r="W234" s="720" t="s">
        <v>1233</v>
      </c>
      <c r="X234" s="720"/>
      <c r="Y234" s="699" t="s">
        <v>968</v>
      </c>
    </row>
    <row r="235" spans="1:25" s="1" customFormat="1" ht="22.5" customHeight="1" thickTop="1" thickBot="1">
      <c r="A235" s="720" t="s">
        <v>127</v>
      </c>
      <c r="B235" s="694" t="s">
        <v>134</v>
      </c>
      <c r="C235" s="694" t="s">
        <v>144</v>
      </c>
      <c r="D235" s="694" t="s">
        <v>183</v>
      </c>
      <c r="E235" s="694" t="s">
        <v>139</v>
      </c>
      <c r="F235" s="694"/>
      <c r="G235" s="694"/>
      <c r="H235" s="88"/>
      <c r="I235" s="88"/>
      <c r="J235" s="717" t="s">
        <v>1234</v>
      </c>
      <c r="K235" s="732"/>
      <c r="L235" s="732"/>
      <c r="M235" s="732"/>
      <c r="N235" s="1858">
        <f t="shared" si="89"/>
        <v>0</v>
      </c>
      <c r="O235" s="732"/>
      <c r="P235" s="732"/>
      <c r="Q235" s="732"/>
      <c r="R235" s="732"/>
      <c r="S235" s="732"/>
      <c r="T235" s="1858"/>
      <c r="U235" s="733" t="e">
        <f t="shared" si="88"/>
        <v>#DIV/0!</v>
      </c>
      <c r="V235" s="720"/>
      <c r="W235" s="720" t="s">
        <v>1235</v>
      </c>
      <c r="X235" s="720"/>
      <c r="Y235" s="699" t="s">
        <v>968</v>
      </c>
    </row>
    <row r="236" spans="1:25" s="1" customFormat="1" ht="22.5" customHeight="1" thickTop="1" thickBot="1">
      <c r="A236" s="711" t="s">
        <v>127</v>
      </c>
      <c r="B236" s="712" t="s">
        <v>134</v>
      </c>
      <c r="C236" s="712" t="s">
        <v>144</v>
      </c>
      <c r="D236" s="712" t="s">
        <v>193</v>
      </c>
      <c r="E236" s="712"/>
      <c r="F236" s="712"/>
      <c r="G236" s="712"/>
      <c r="H236" s="713"/>
      <c r="I236" s="713"/>
      <c r="J236" s="714" t="s">
        <v>1236</v>
      </c>
      <c r="K236" s="736">
        <f>+K237+K240</f>
        <v>0</v>
      </c>
      <c r="L236" s="736">
        <f>+L237+L240</f>
        <v>0</v>
      </c>
      <c r="M236" s="736">
        <f>+M237+M240</f>
        <v>0</v>
      </c>
      <c r="N236" s="1860">
        <f t="shared" si="89"/>
        <v>0</v>
      </c>
      <c r="O236" s="736">
        <f t="shared" ref="O236:T236" si="97">+O237+O240</f>
        <v>0</v>
      </c>
      <c r="P236" s="736">
        <f t="shared" si="97"/>
        <v>0</v>
      </c>
      <c r="Q236" s="736">
        <f t="shared" si="97"/>
        <v>0</v>
      </c>
      <c r="R236" s="736">
        <f t="shared" si="97"/>
        <v>0</v>
      </c>
      <c r="S236" s="736">
        <f>+S237+S240</f>
        <v>0</v>
      </c>
      <c r="T236" s="1860">
        <f t="shared" si="97"/>
        <v>0</v>
      </c>
      <c r="U236" s="737" t="e">
        <f t="shared" si="88"/>
        <v>#DIV/0!</v>
      </c>
      <c r="V236" s="712"/>
      <c r="W236" s="712" t="s">
        <v>1237</v>
      </c>
      <c r="X236" s="712"/>
      <c r="Y236" s="699" t="s">
        <v>968</v>
      </c>
    </row>
    <row r="237" spans="1:25" s="1" customFormat="1" ht="22.5" customHeight="1" thickTop="1" thickBot="1">
      <c r="A237" s="720" t="s">
        <v>127</v>
      </c>
      <c r="B237" s="694" t="s">
        <v>134</v>
      </c>
      <c r="C237" s="694" t="s">
        <v>144</v>
      </c>
      <c r="D237" s="694" t="s">
        <v>193</v>
      </c>
      <c r="E237" s="694" t="s">
        <v>129</v>
      </c>
      <c r="F237" s="694"/>
      <c r="G237" s="694"/>
      <c r="H237" s="88"/>
      <c r="I237" s="88"/>
      <c r="J237" s="717" t="s">
        <v>1238</v>
      </c>
      <c r="K237" s="741">
        <f>+K238+K239</f>
        <v>0</v>
      </c>
      <c r="L237" s="741">
        <f>+L238+L239</f>
        <v>0</v>
      </c>
      <c r="M237" s="741">
        <f>+M238+M239</f>
        <v>0</v>
      </c>
      <c r="N237" s="1864">
        <f t="shared" si="89"/>
        <v>0</v>
      </c>
      <c r="O237" s="741">
        <f t="shared" ref="O237:T237" si="98">+O238+O239</f>
        <v>0</v>
      </c>
      <c r="P237" s="741">
        <f t="shared" si="98"/>
        <v>0</v>
      </c>
      <c r="Q237" s="741">
        <f t="shared" si="98"/>
        <v>0</v>
      </c>
      <c r="R237" s="741">
        <f t="shared" si="98"/>
        <v>0</v>
      </c>
      <c r="S237" s="741">
        <f>+S238+S239</f>
        <v>0</v>
      </c>
      <c r="T237" s="1864">
        <f t="shared" si="98"/>
        <v>0</v>
      </c>
      <c r="U237" s="742" t="e">
        <f t="shared" si="88"/>
        <v>#DIV/0!</v>
      </c>
      <c r="V237" s="694"/>
      <c r="W237" s="694" t="s">
        <v>1239</v>
      </c>
      <c r="X237" s="694"/>
      <c r="Y237" s="699" t="s">
        <v>968</v>
      </c>
    </row>
    <row r="238" spans="1:25" ht="22.5" customHeight="1" thickTop="1" thickBot="1">
      <c r="A238" s="27" t="s">
        <v>127</v>
      </c>
      <c r="B238" s="88" t="s">
        <v>134</v>
      </c>
      <c r="C238" s="88" t="s">
        <v>144</v>
      </c>
      <c r="D238" s="88" t="s">
        <v>193</v>
      </c>
      <c r="E238" s="88" t="s">
        <v>129</v>
      </c>
      <c r="F238" s="694" t="s">
        <v>129</v>
      </c>
      <c r="G238" s="88"/>
      <c r="H238" s="88"/>
      <c r="I238" s="88"/>
      <c r="J238" s="86" t="s">
        <v>1240</v>
      </c>
      <c r="K238" s="741"/>
      <c r="L238" s="741"/>
      <c r="M238" s="741"/>
      <c r="N238" s="1864">
        <f t="shared" si="89"/>
        <v>0</v>
      </c>
      <c r="O238" s="741"/>
      <c r="P238" s="741"/>
      <c r="Q238" s="741"/>
      <c r="R238" s="741"/>
      <c r="S238" s="741"/>
      <c r="T238" s="1864"/>
      <c r="U238" s="742" t="e">
        <f t="shared" si="88"/>
        <v>#DIV/0!</v>
      </c>
      <c r="V238" s="694"/>
      <c r="W238" s="694"/>
      <c r="X238" s="694"/>
      <c r="Y238" s="699"/>
    </row>
    <row r="239" spans="1:25" ht="22.5" customHeight="1" thickTop="1" thickBot="1">
      <c r="A239" s="27" t="s">
        <v>127</v>
      </c>
      <c r="B239" s="88" t="s">
        <v>134</v>
      </c>
      <c r="C239" s="88" t="s">
        <v>144</v>
      </c>
      <c r="D239" s="88" t="s">
        <v>193</v>
      </c>
      <c r="E239" s="88" t="s">
        <v>129</v>
      </c>
      <c r="F239" s="694" t="s">
        <v>134</v>
      </c>
      <c r="G239" s="88"/>
      <c r="H239" s="88"/>
      <c r="I239" s="88"/>
      <c r="J239" s="86" t="s">
        <v>1241</v>
      </c>
      <c r="K239" s="741"/>
      <c r="L239" s="741"/>
      <c r="M239" s="741"/>
      <c r="N239" s="1864">
        <f t="shared" si="89"/>
        <v>0</v>
      </c>
      <c r="O239" s="741"/>
      <c r="P239" s="741"/>
      <c r="Q239" s="741"/>
      <c r="R239" s="741"/>
      <c r="S239" s="741"/>
      <c r="T239" s="1864"/>
      <c r="U239" s="742" t="e">
        <f t="shared" si="88"/>
        <v>#DIV/0!</v>
      </c>
      <c r="V239" s="694"/>
      <c r="W239" s="694"/>
      <c r="X239" s="694"/>
      <c r="Y239" s="699"/>
    </row>
    <row r="240" spans="1:25" s="1" customFormat="1" ht="22.5" customHeight="1" thickTop="1" thickBot="1">
      <c r="A240" s="720" t="s">
        <v>127</v>
      </c>
      <c r="B240" s="694" t="s">
        <v>134</v>
      </c>
      <c r="C240" s="694" t="s">
        <v>144</v>
      </c>
      <c r="D240" s="694" t="s">
        <v>193</v>
      </c>
      <c r="E240" s="694" t="s">
        <v>134</v>
      </c>
      <c r="F240" s="694"/>
      <c r="G240" s="694"/>
      <c r="H240" s="88"/>
      <c r="I240" s="88"/>
      <c r="J240" s="717" t="s">
        <v>1242</v>
      </c>
      <c r="K240" s="741"/>
      <c r="L240" s="741"/>
      <c r="M240" s="741"/>
      <c r="N240" s="1864">
        <f t="shared" si="89"/>
        <v>0</v>
      </c>
      <c r="O240" s="741"/>
      <c r="P240" s="741"/>
      <c r="Q240" s="741"/>
      <c r="R240" s="741"/>
      <c r="S240" s="741"/>
      <c r="T240" s="1864"/>
      <c r="U240" s="742" t="e">
        <f t="shared" si="88"/>
        <v>#DIV/0!</v>
      </c>
      <c r="V240" s="694"/>
      <c r="W240" s="694"/>
      <c r="X240" s="694"/>
      <c r="Y240" s="699" t="s">
        <v>968</v>
      </c>
    </row>
    <row r="241" spans="1:25" s="1" customFormat="1" ht="22.5" customHeight="1" thickTop="1" thickBot="1">
      <c r="A241" s="711">
        <v>1</v>
      </c>
      <c r="B241" s="712" t="s">
        <v>134</v>
      </c>
      <c r="C241" s="712" t="s">
        <v>144</v>
      </c>
      <c r="D241" s="712" t="s">
        <v>194</v>
      </c>
      <c r="E241" s="712"/>
      <c r="F241" s="712"/>
      <c r="G241" s="712"/>
      <c r="H241" s="713"/>
      <c r="I241" s="713"/>
      <c r="J241" s="714" t="s">
        <v>1243</v>
      </c>
      <c r="K241" s="736">
        <f>+K242+K243</f>
        <v>0</v>
      </c>
      <c r="L241" s="736">
        <f>+L242+L243</f>
        <v>0</v>
      </c>
      <c r="M241" s="736">
        <f>+M242+M243</f>
        <v>0</v>
      </c>
      <c r="N241" s="1860">
        <f t="shared" si="89"/>
        <v>0</v>
      </c>
      <c r="O241" s="736">
        <f t="shared" ref="O241:T241" si="99">+O242+O243</f>
        <v>0</v>
      </c>
      <c r="P241" s="736">
        <f t="shared" si="99"/>
        <v>0</v>
      </c>
      <c r="Q241" s="736">
        <f t="shared" si="99"/>
        <v>0</v>
      </c>
      <c r="R241" s="736">
        <f t="shared" si="99"/>
        <v>0</v>
      </c>
      <c r="S241" s="736">
        <f>+S242+S243</f>
        <v>0</v>
      </c>
      <c r="T241" s="1860">
        <f t="shared" si="99"/>
        <v>0</v>
      </c>
      <c r="U241" s="737" t="e">
        <f t="shared" si="88"/>
        <v>#DIV/0!</v>
      </c>
      <c r="V241" s="712"/>
      <c r="W241" s="712"/>
      <c r="X241" s="712"/>
      <c r="Y241" s="699"/>
    </row>
    <row r="242" spans="1:25" ht="22.5" customHeight="1" thickTop="1" thickBot="1">
      <c r="A242" s="27">
        <v>1</v>
      </c>
      <c r="B242" s="88" t="s">
        <v>134</v>
      </c>
      <c r="C242" s="88" t="s">
        <v>144</v>
      </c>
      <c r="D242" s="88" t="s">
        <v>194</v>
      </c>
      <c r="E242" s="694" t="s">
        <v>129</v>
      </c>
      <c r="F242" s="88"/>
      <c r="G242" s="88"/>
      <c r="H242" s="88"/>
      <c r="I242" s="88"/>
      <c r="J242" s="86" t="s">
        <v>1244</v>
      </c>
      <c r="K242" s="660"/>
      <c r="L242" s="660"/>
      <c r="M242" s="660"/>
      <c r="N242" s="1863">
        <f t="shared" si="89"/>
        <v>0</v>
      </c>
      <c r="O242" s="660"/>
      <c r="P242" s="660"/>
      <c r="Q242" s="660"/>
      <c r="R242" s="660"/>
      <c r="S242" s="660"/>
      <c r="T242" s="1863"/>
      <c r="U242" s="661" t="e">
        <f t="shared" si="88"/>
        <v>#DIV/0!</v>
      </c>
      <c r="V242" s="88"/>
      <c r="W242" s="88"/>
      <c r="X242" s="88"/>
      <c r="Y242" s="110"/>
    </row>
    <row r="243" spans="1:25" ht="22.5" customHeight="1" thickTop="1" thickBot="1">
      <c r="A243" s="27">
        <v>1</v>
      </c>
      <c r="B243" s="88" t="s">
        <v>134</v>
      </c>
      <c r="C243" s="88" t="s">
        <v>144</v>
      </c>
      <c r="D243" s="88" t="s">
        <v>194</v>
      </c>
      <c r="E243" s="694" t="s">
        <v>134</v>
      </c>
      <c r="F243" s="88"/>
      <c r="G243" s="88"/>
      <c r="H243" s="88"/>
      <c r="I243" s="88"/>
      <c r="J243" s="86" t="s">
        <v>1245</v>
      </c>
      <c r="K243" s="660"/>
      <c r="L243" s="660"/>
      <c r="M243" s="660"/>
      <c r="N243" s="1863">
        <f t="shared" si="89"/>
        <v>0</v>
      </c>
      <c r="O243" s="660"/>
      <c r="P243" s="660"/>
      <c r="Q243" s="660"/>
      <c r="R243" s="660"/>
      <c r="S243" s="660"/>
      <c r="T243" s="1863"/>
      <c r="U243" s="661" t="e">
        <f t="shared" si="88"/>
        <v>#DIV/0!</v>
      </c>
      <c r="V243" s="88"/>
      <c r="W243" s="88"/>
      <c r="X243" s="88"/>
      <c r="Y243" s="110"/>
    </row>
    <row r="244" spans="1:25" s="1" customFormat="1" ht="22.5" customHeight="1" thickTop="1" thickBot="1">
      <c r="A244" s="705" t="s">
        <v>127</v>
      </c>
      <c r="B244" s="706" t="s">
        <v>134</v>
      </c>
      <c r="C244" s="706" t="s">
        <v>145</v>
      </c>
      <c r="D244" s="706"/>
      <c r="E244" s="706"/>
      <c r="F244" s="706"/>
      <c r="G244" s="706"/>
      <c r="H244" s="707"/>
      <c r="I244" s="707"/>
      <c r="J244" s="708" t="s">
        <v>1246</v>
      </c>
      <c r="K244" s="743">
        <f t="shared" ref="K244:T244" si="100">+K245+K247+K248+K254+K255+K256</f>
        <v>0</v>
      </c>
      <c r="L244" s="743">
        <f t="shared" si="100"/>
        <v>0</v>
      </c>
      <c r="M244" s="743">
        <f t="shared" si="100"/>
        <v>0</v>
      </c>
      <c r="N244" s="1865">
        <f t="shared" si="100"/>
        <v>0</v>
      </c>
      <c r="O244" s="743">
        <f t="shared" si="100"/>
        <v>0</v>
      </c>
      <c r="P244" s="743">
        <f t="shared" si="100"/>
        <v>0</v>
      </c>
      <c r="Q244" s="743">
        <f t="shared" si="100"/>
        <v>0</v>
      </c>
      <c r="R244" s="743">
        <f t="shared" si="100"/>
        <v>0</v>
      </c>
      <c r="S244" s="743">
        <f t="shared" si="100"/>
        <v>0</v>
      </c>
      <c r="T244" s="1865">
        <f t="shared" si="100"/>
        <v>0</v>
      </c>
      <c r="U244" s="744" t="e">
        <f t="shared" si="88"/>
        <v>#DIV/0!</v>
      </c>
      <c r="V244" s="706"/>
      <c r="W244" s="706" t="s">
        <v>1247</v>
      </c>
      <c r="X244" s="706" t="s">
        <v>1248</v>
      </c>
      <c r="Y244" s="699" t="s">
        <v>968</v>
      </c>
    </row>
    <row r="245" spans="1:25" s="1" customFormat="1" ht="22.5" customHeight="1" thickTop="1" thickBot="1">
      <c r="A245" s="711" t="s">
        <v>127</v>
      </c>
      <c r="B245" s="712" t="s">
        <v>134</v>
      </c>
      <c r="C245" s="712" t="s">
        <v>145</v>
      </c>
      <c r="D245" s="712" t="s">
        <v>129</v>
      </c>
      <c r="E245" s="712"/>
      <c r="F245" s="712"/>
      <c r="G245" s="712"/>
      <c r="H245" s="713"/>
      <c r="I245" s="713"/>
      <c r="J245" s="714" t="s">
        <v>1249</v>
      </c>
      <c r="K245" s="736">
        <f>+K246</f>
        <v>0</v>
      </c>
      <c r="L245" s="736">
        <f>+L246</f>
        <v>0</v>
      </c>
      <c r="M245" s="736">
        <f>+M246</f>
        <v>0</v>
      </c>
      <c r="N245" s="1860">
        <f t="shared" ref="N245:N302" si="101">K245+L245-M245</f>
        <v>0</v>
      </c>
      <c r="O245" s="736">
        <f t="shared" ref="O245:T245" si="102">+O246</f>
        <v>0</v>
      </c>
      <c r="P245" s="736">
        <f t="shared" si="102"/>
        <v>0</v>
      </c>
      <c r="Q245" s="736">
        <f t="shared" si="102"/>
        <v>0</v>
      </c>
      <c r="R245" s="736">
        <f t="shared" si="102"/>
        <v>0</v>
      </c>
      <c r="S245" s="736">
        <f t="shared" si="102"/>
        <v>0</v>
      </c>
      <c r="T245" s="1860">
        <f t="shared" si="102"/>
        <v>0</v>
      </c>
      <c r="U245" s="737" t="e">
        <f t="shared" si="88"/>
        <v>#DIV/0!</v>
      </c>
      <c r="V245" s="712"/>
      <c r="W245" s="711"/>
      <c r="X245" s="711"/>
      <c r="Y245" s="699" t="s">
        <v>968</v>
      </c>
    </row>
    <row r="246" spans="1:25" s="1" customFormat="1" ht="22.5" customHeight="1" thickTop="1" thickBot="1">
      <c r="A246" s="720" t="s">
        <v>127</v>
      </c>
      <c r="B246" s="694" t="s">
        <v>134</v>
      </c>
      <c r="C246" s="694" t="s">
        <v>145</v>
      </c>
      <c r="D246" s="694" t="s">
        <v>129</v>
      </c>
      <c r="E246" s="694" t="s">
        <v>129</v>
      </c>
      <c r="F246" s="694"/>
      <c r="G246" s="694"/>
      <c r="H246" s="88"/>
      <c r="I246" s="88"/>
      <c r="J246" s="717" t="s">
        <v>1250</v>
      </c>
      <c r="K246" s="732"/>
      <c r="L246" s="732"/>
      <c r="M246" s="732"/>
      <c r="N246" s="1858">
        <f t="shared" si="101"/>
        <v>0</v>
      </c>
      <c r="O246" s="732"/>
      <c r="P246" s="732"/>
      <c r="Q246" s="732"/>
      <c r="R246" s="732"/>
      <c r="S246" s="732"/>
      <c r="T246" s="1858"/>
      <c r="U246" s="733" t="e">
        <f t="shared" si="88"/>
        <v>#DIV/0!</v>
      </c>
      <c r="V246" s="694"/>
      <c r="W246" s="720"/>
      <c r="X246" s="720"/>
      <c r="Y246" s="699" t="s">
        <v>968</v>
      </c>
    </row>
    <row r="247" spans="1:25" s="1" customFormat="1" ht="22.5" customHeight="1" thickTop="1" thickBot="1">
      <c r="A247" s="711" t="s">
        <v>127</v>
      </c>
      <c r="B247" s="712" t="s">
        <v>134</v>
      </c>
      <c r="C247" s="712" t="s">
        <v>145</v>
      </c>
      <c r="D247" s="712" t="s">
        <v>134</v>
      </c>
      <c r="E247" s="712"/>
      <c r="F247" s="712"/>
      <c r="G247" s="712"/>
      <c r="H247" s="713"/>
      <c r="I247" s="713"/>
      <c r="J247" s="714" t="s">
        <v>1251</v>
      </c>
      <c r="K247" s="736"/>
      <c r="L247" s="736"/>
      <c r="M247" s="736"/>
      <c r="N247" s="1860">
        <f t="shared" si="101"/>
        <v>0</v>
      </c>
      <c r="O247" s="736"/>
      <c r="P247" s="736"/>
      <c r="Q247" s="736"/>
      <c r="R247" s="736"/>
      <c r="S247" s="736"/>
      <c r="T247" s="1860"/>
      <c r="U247" s="737" t="e">
        <f t="shared" si="88"/>
        <v>#DIV/0!</v>
      </c>
      <c r="V247" s="712"/>
      <c r="W247" s="711"/>
      <c r="X247" s="711"/>
      <c r="Y247" s="699" t="s">
        <v>968</v>
      </c>
    </row>
    <row r="248" spans="1:25" s="1" customFormat="1" ht="22.5" customHeight="1" thickTop="1" thickBot="1">
      <c r="A248" s="711" t="s">
        <v>127</v>
      </c>
      <c r="B248" s="712" t="s">
        <v>134</v>
      </c>
      <c r="C248" s="712" t="s">
        <v>145</v>
      </c>
      <c r="D248" s="712" t="s">
        <v>139</v>
      </c>
      <c r="E248" s="712"/>
      <c r="F248" s="712"/>
      <c r="G248" s="712"/>
      <c r="H248" s="713"/>
      <c r="I248" s="713"/>
      <c r="J248" s="714" t="s">
        <v>1252</v>
      </c>
      <c r="K248" s="736">
        <f>+K249+K250+K251+K252+K253</f>
        <v>0</v>
      </c>
      <c r="L248" s="736">
        <f>+L249+L250+L251+L252+L253</f>
        <v>0</v>
      </c>
      <c r="M248" s="736">
        <f>+M249+M250+M251+M252+M253</f>
        <v>0</v>
      </c>
      <c r="N248" s="1860">
        <f t="shared" si="101"/>
        <v>0</v>
      </c>
      <c r="O248" s="736">
        <f t="shared" ref="O248:T248" si="103">+O249+O250+O251+O252+O253</f>
        <v>0</v>
      </c>
      <c r="P248" s="736">
        <f t="shared" si="103"/>
        <v>0</v>
      </c>
      <c r="Q248" s="736">
        <f t="shared" si="103"/>
        <v>0</v>
      </c>
      <c r="R248" s="736">
        <f t="shared" si="103"/>
        <v>0</v>
      </c>
      <c r="S248" s="736">
        <f t="shared" si="103"/>
        <v>0</v>
      </c>
      <c r="T248" s="1860">
        <f t="shared" si="103"/>
        <v>0</v>
      </c>
      <c r="U248" s="737" t="e">
        <f t="shared" si="88"/>
        <v>#DIV/0!</v>
      </c>
      <c r="V248" s="712"/>
      <c r="W248" s="711"/>
      <c r="X248" s="711"/>
      <c r="Y248" s="699" t="s">
        <v>968</v>
      </c>
    </row>
    <row r="249" spans="1:25" ht="22.5" customHeight="1" thickTop="1" thickBot="1">
      <c r="A249" s="27" t="s">
        <v>127</v>
      </c>
      <c r="B249" s="88" t="s">
        <v>134</v>
      </c>
      <c r="C249" s="88" t="s">
        <v>145</v>
      </c>
      <c r="D249" s="88" t="s">
        <v>139</v>
      </c>
      <c r="E249" s="694" t="s">
        <v>129</v>
      </c>
      <c r="F249" s="88"/>
      <c r="G249" s="88"/>
      <c r="H249" s="88"/>
      <c r="I249" s="88"/>
      <c r="J249" s="86" t="s">
        <v>1253</v>
      </c>
      <c r="K249" s="734"/>
      <c r="L249" s="734"/>
      <c r="M249" s="734"/>
      <c r="N249" s="1859">
        <f t="shared" si="101"/>
        <v>0</v>
      </c>
      <c r="O249" s="734"/>
      <c r="P249" s="734"/>
      <c r="Q249" s="734"/>
      <c r="R249" s="734"/>
      <c r="S249" s="734"/>
      <c r="T249" s="1859"/>
      <c r="U249" s="735" t="e">
        <f t="shared" si="88"/>
        <v>#DIV/0!</v>
      </c>
      <c r="V249" s="27"/>
      <c r="W249" s="27"/>
      <c r="X249" s="27"/>
      <c r="Y249" s="110" t="s">
        <v>968</v>
      </c>
    </row>
    <row r="250" spans="1:25" ht="22.5" customHeight="1" thickTop="1" thickBot="1">
      <c r="A250" s="27" t="s">
        <v>127</v>
      </c>
      <c r="B250" s="88" t="s">
        <v>134</v>
      </c>
      <c r="C250" s="88" t="s">
        <v>145</v>
      </c>
      <c r="D250" s="88" t="s">
        <v>139</v>
      </c>
      <c r="E250" s="694" t="s">
        <v>134</v>
      </c>
      <c r="F250" s="88"/>
      <c r="G250" s="88"/>
      <c r="H250" s="88"/>
      <c r="I250" s="88"/>
      <c r="J250" s="86" t="s">
        <v>1254</v>
      </c>
      <c r="K250" s="734"/>
      <c r="L250" s="734"/>
      <c r="M250" s="734"/>
      <c r="N250" s="1859">
        <f t="shared" si="101"/>
        <v>0</v>
      </c>
      <c r="O250" s="734"/>
      <c r="P250" s="734"/>
      <c r="Q250" s="734"/>
      <c r="R250" s="734"/>
      <c r="S250" s="734"/>
      <c r="T250" s="1859"/>
      <c r="U250" s="735" t="e">
        <f t="shared" si="88"/>
        <v>#DIV/0!</v>
      </c>
      <c r="V250" s="27"/>
      <c r="W250" s="27"/>
      <c r="X250" s="27"/>
      <c r="Y250" s="110" t="s">
        <v>968</v>
      </c>
    </row>
    <row r="251" spans="1:25" ht="22.5" customHeight="1" thickTop="1" thickBot="1">
      <c r="A251" s="27" t="s">
        <v>127</v>
      </c>
      <c r="B251" s="88" t="s">
        <v>134</v>
      </c>
      <c r="C251" s="88" t="s">
        <v>145</v>
      </c>
      <c r="D251" s="88" t="s">
        <v>139</v>
      </c>
      <c r="E251" s="694" t="s">
        <v>139</v>
      </c>
      <c r="F251" s="88"/>
      <c r="G251" s="88"/>
      <c r="H251" s="88"/>
      <c r="I251" s="88"/>
      <c r="J251" s="86" t="s">
        <v>1255</v>
      </c>
      <c r="K251" s="734"/>
      <c r="L251" s="734"/>
      <c r="M251" s="734"/>
      <c r="N251" s="1859">
        <f t="shared" si="101"/>
        <v>0</v>
      </c>
      <c r="O251" s="734"/>
      <c r="P251" s="734"/>
      <c r="Q251" s="734"/>
      <c r="R251" s="734"/>
      <c r="S251" s="734"/>
      <c r="T251" s="1859"/>
      <c r="U251" s="735" t="e">
        <f t="shared" si="88"/>
        <v>#DIV/0!</v>
      </c>
      <c r="V251" s="27"/>
      <c r="W251" s="27"/>
      <c r="X251" s="27"/>
      <c r="Y251" s="110" t="s">
        <v>968</v>
      </c>
    </row>
    <row r="252" spans="1:25" ht="22.5" customHeight="1" thickTop="1" thickBot="1">
      <c r="A252" s="27" t="s">
        <v>127</v>
      </c>
      <c r="B252" s="88" t="s">
        <v>134</v>
      </c>
      <c r="C252" s="88" t="s">
        <v>145</v>
      </c>
      <c r="D252" s="88" t="s">
        <v>139</v>
      </c>
      <c r="E252" s="694" t="s">
        <v>140</v>
      </c>
      <c r="F252" s="88"/>
      <c r="G252" s="88"/>
      <c r="H252" s="88"/>
      <c r="I252" s="88"/>
      <c r="J252" s="86" t="s">
        <v>1256</v>
      </c>
      <c r="K252" s="734"/>
      <c r="L252" s="734"/>
      <c r="M252" s="734"/>
      <c r="N252" s="1859">
        <f t="shared" si="101"/>
        <v>0</v>
      </c>
      <c r="O252" s="734"/>
      <c r="P252" s="734"/>
      <c r="Q252" s="734"/>
      <c r="R252" s="734"/>
      <c r="S252" s="734"/>
      <c r="T252" s="1859"/>
      <c r="U252" s="735" t="e">
        <f t="shared" si="88"/>
        <v>#DIV/0!</v>
      </c>
      <c r="V252" s="27"/>
      <c r="W252" s="27"/>
      <c r="X252" s="27"/>
      <c r="Y252" s="110" t="s">
        <v>968</v>
      </c>
    </row>
    <row r="253" spans="1:25" ht="22.5" customHeight="1" thickTop="1" thickBot="1">
      <c r="A253" s="27" t="s">
        <v>127</v>
      </c>
      <c r="B253" s="88" t="s">
        <v>134</v>
      </c>
      <c r="C253" s="88" t="s">
        <v>145</v>
      </c>
      <c r="D253" s="88" t="s">
        <v>139</v>
      </c>
      <c r="E253" s="694" t="s">
        <v>144</v>
      </c>
      <c r="F253" s="88"/>
      <c r="G253" s="88"/>
      <c r="H253" s="88"/>
      <c r="I253" s="88"/>
      <c r="J253" s="86" t="s">
        <v>1257</v>
      </c>
      <c r="K253" s="734"/>
      <c r="L253" s="734"/>
      <c r="M253" s="734"/>
      <c r="N253" s="1859">
        <f t="shared" si="101"/>
        <v>0</v>
      </c>
      <c r="O253" s="734"/>
      <c r="P253" s="734"/>
      <c r="Q253" s="734"/>
      <c r="R253" s="734"/>
      <c r="S253" s="734"/>
      <c r="T253" s="1859"/>
      <c r="U253" s="735" t="e">
        <f t="shared" si="88"/>
        <v>#DIV/0!</v>
      </c>
      <c r="V253" s="27"/>
      <c r="W253" s="27"/>
      <c r="X253" s="27"/>
      <c r="Y253" s="110" t="s">
        <v>968</v>
      </c>
    </row>
    <row r="254" spans="1:25" s="1" customFormat="1" ht="22.5" customHeight="1" thickTop="1" thickBot="1">
      <c r="A254" s="711" t="s">
        <v>127</v>
      </c>
      <c r="B254" s="712" t="s">
        <v>134</v>
      </c>
      <c r="C254" s="712" t="s">
        <v>145</v>
      </c>
      <c r="D254" s="712" t="s">
        <v>140</v>
      </c>
      <c r="E254" s="712"/>
      <c r="F254" s="712"/>
      <c r="G254" s="712"/>
      <c r="H254" s="713"/>
      <c r="I254" s="713"/>
      <c r="J254" s="714" t="s">
        <v>1258</v>
      </c>
      <c r="K254" s="736"/>
      <c r="L254" s="736"/>
      <c r="M254" s="736"/>
      <c r="N254" s="1860">
        <f t="shared" si="101"/>
        <v>0</v>
      </c>
      <c r="O254" s="736"/>
      <c r="P254" s="736"/>
      <c r="Q254" s="736"/>
      <c r="R254" s="736"/>
      <c r="S254" s="736"/>
      <c r="T254" s="1860"/>
      <c r="U254" s="737" t="e">
        <f t="shared" si="88"/>
        <v>#DIV/0!</v>
      </c>
      <c r="V254" s="712"/>
      <c r="W254" s="711"/>
      <c r="X254" s="711"/>
      <c r="Y254" s="699" t="s">
        <v>968</v>
      </c>
    </row>
    <row r="255" spans="1:25" s="1" customFormat="1" ht="22.5" customHeight="1" thickTop="1" thickBot="1">
      <c r="A255" s="711" t="s">
        <v>127</v>
      </c>
      <c r="B255" s="712" t="s">
        <v>134</v>
      </c>
      <c r="C255" s="712" t="s">
        <v>145</v>
      </c>
      <c r="D255" s="712" t="s">
        <v>144</v>
      </c>
      <c r="E255" s="712"/>
      <c r="F255" s="712"/>
      <c r="G255" s="712"/>
      <c r="H255" s="713"/>
      <c r="I255" s="713"/>
      <c r="J255" s="714" t="s">
        <v>1259</v>
      </c>
      <c r="K255" s="736"/>
      <c r="L255" s="736"/>
      <c r="M255" s="736"/>
      <c r="N255" s="1860">
        <f t="shared" si="101"/>
        <v>0</v>
      </c>
      <c r="O255" s="736"/>
      <c r="P255" s="736"/>
      <c r="Q255" s="736"/>
      <c r="R255" s="736"/>
      <c r="S255" s="736"/>
      <c r="T255" s="1860"/>
      <c r="U255" s="737" t="e">
        <f t="shared" si="88"/>
        <v>#DIV/0!</v>
      </c>
      <c r="V255" s="712"/>
      <c r="W255" s="711"/>
      <c r="X255" s="711"/>
      <c r="Y255" s="699" t="s">
        <v>968</v>
      </c>
    </row>
    <row r="256" spans="1:25" s="1" customFormat="1" ht="22.5" customHeight="1" thickTop="1" thickBot="1">
      <c r="A256" s="711">
        <v>1</v>
      </c>
      <c r="B256" s="712" t="s">
        <v>134</v>
      </c>
      <c r="C256" s="712" t="s">
        <v>145</v>
      </c>
      <c r="D256" s="712" t="s">
        <v>145</v>
      </c>
      <c r="E256" s="712"/>
      <c r="F256" s="712"/>
      <c r="G256" s="712"/>
      <c r="H256" s="713"/>
      <c r="I256" s="713"/>
      <c r="J256" s="714" t="s">
        <v>195</v>
      </c>
      <c r="K256" s="736"/>
      <c r="L256" s="736"/>
      <c r="M256" s="736"/>
      <c r="N256" s="1860">
        <f t="shared" si="101"/>
        <v>0</v>
      </c>
      <c r="O256" s="736"/>
      <c r="P256" s="736"/>
      <c r="Q256" s="736"/>
      <c r="R256" s="736"/>
      <c r="S256" s="736"/>
      <c r="T256" s="1860"/>
      <c r="U256" s="737" t="e">
        <f t="shared" si="88"/>
        <v>#DIV/0!</v>
      </c>
      <c r="V256" s="712"/>
      <c r="W256" s="711"/>
      <c r="X256" s="711"/>
      <c r="Y256" s="699"/>
    </row>
    <row r="257" spans="1:16373" s="1" customFormat="1" ht="22.5" customHeight="1" thickTop="1" thickBot="1">
      <c r="A257" s="705" t="s">
        <v>127</v>
      </c>
      <c r="B257" s="706" t="s">
        <v>134</v>
      </c>
      <c r="C257" s="706" t="s">
        <v>146</v>
      </c>
      <c r="D257" s="706"/>
      <c r="E257" s="706"/>
      <c r="F257" s="706"/>
      <c r="G257" s="706"/>
      <c r="H257" s="707"/>
      <c r="I257" s="707"/>
      <c r="J257" s="708" t="s">
        <v>196</v>
      </c>
      <c r="K257" s="729">
        <f>+K258+K270+K282</f>
        <v>0</v>
      </c>
      <c r="L257" s="729">
        <f>+L258+L270+L282</f>
        <v>0</v>
      </c>
      <c r="M257" s="729">
        <f>+M258+M270+M282</f>
        <v>0</v>
      </c>
      <c r="N257" s="1851">
        <f t="shared" si="101"/>
        <v>0</v>
      </c>
      <c r="O257" s="729">
        <f t="shared" ref="O257:T257" si="104">+O258+O270+O282</f>
        <v>0</v>
      </c>
      <c r="P257" s="729">
        <f t="shared" si="104"/>
        <v>0</v>
      </c>
      <c r="Q257" s="729">
        <f t="shared" si="104"/>
        <v>0</v>
      </c>
      <c r="R257" s="729">
        <f t="shared" si="104"/>
        <v>0</v>
      </c>
      <c r="S257" s="729">
        <f t="shared" si="104"/>
        <v>0</v>
      </c>
      <c r="T257" s="1851">
        <f t="shared" si="104"/>
        <v>0</v>
      </c>
      <c r="U257" s="710" t="e">
        <f t="shared" si="88"/>
        <v>#DIV/0!</v>
      </c>
      <c r="V257" s="706"/>
      <c r="W257" s="706" t="s">
        <v>1260</v>
      </c>
      <c r="X257" s="706"/>
      <c r="Y257" s="699" t="s">
        <v>968</v>
      </c>
    </row>
    <row r="258" spans="1:16373" s="1" customFormat="1" ht="22.5" customHeight="1" thickTop="1" thickBot="1">
      <c r="A258" s="711" t="s">
        <v>127</v>
      </c>
      <c r="B258" s="712" t="s">
        <v>134</v>
      </c>
      <c r="C258" s="712" t="s">
        <v>146</v>
      </c>
      <c r="D258" s="712" t="s">
        <v>129</v>
      </c>
      <c r="E258" s="712"/>
      <c r="F258" s="712"/>
      <c r="G258" s="712"/>
      <c r="H258" s="713"/>
      <c r="I258" s="713"/>
      <c r="J258" s="714" t="s">
        <v>1261</v>
      </c>
      <c r="K258" s="724">
        <f>+K259+K261+K262+K268+K269</f>
        <v>0</v>
      </c>
      <c r="L258" s="724">
        <f>+L259+L261+L262+L268+L269</f>
        <v>0</v>
      </c>
      <c r="M258" s="724">
        <f>+M259+M261+M262+M268+M269</f>
        <v>0</v>
      </c>
      <c r="N258" s="1852">
        <f t="shared" si="101"/>
        <v>0</v>
      </c>
      <c r="O258" s="724">
        <f t="shared" ref="O258:T258" si="105">+O259+O261+O262+O268+O269</f>
        <v>0</v>
      </c>
      <c r="P258" s="724">
        <f t="shared" si="105"/>
        <v>0</v>
      </c>
      <c r="Q258" s="724">
        <f t="shared" si="105"/>
        <v>0</v>
      </c>
      <c r="R258" s="724">
        <f t="shared" si="105"/>
        <v>0</v>
      </c>
      <c r="S258" s="724">
        <f t="shared" si="105"/>
        <v>0</v>
      </c>
      <c r="T258" s="1852">
        <f t="shared" si="105"/>
        <v>0</v>
      </c>
      <c r="U258" s="716" t="e">
        <f t="shared" si="88"/>
        <v>#DIV/0!</v>
      </c>
      <c r="V258" s="712"/>
      <c r="W258" s="712"/>
      <c r="X258" s="712"/>
      <c r="Y258" s="699" t="s">
        <v>968</v>
      </c>
    </row>
    <row r="259" spans="1:16373" s="1" customFormat="1" ht="22.5" customHeight="1" thickTop="1" thickBot="1">
      <c r="A259" s="720" t="s">
        <v>127</v>
      </c>
      <c r="B259" s="694" t="s">
        <v>134</v>
      </c>
      <c r="C259" s="694" t="s">
        <v>146</v>
      </c>
      <c r="D259" s="694" t="s">
        <v>129</v>
      </c>
      <c r="E259" s="694" t="s">
        <v>129</v>
      </c>
      <c r="F259" s="694"/>
      <c r="G259" s="694"/>
      <c r="H259" s="88"/>
      <c r="I259" s="88"/>
      <c r="J259" s="717" t="s">
        <v>1262</v>
      </c>
      <c r="K259" s="726">
        <f t="shared" ref="K259:T259" si="106">+K260</f>
        <v>0</v>
      </c>
      <c r="L259" s="726">
        <f>+L260</f>
        <v>0</v>
      </c>
      <c r="M259" s="726">
        <f>+M260</f>
        <v>0</v>
      </c>
      <c r="N259" s="1843">
        <f t="shared" si="101"/>
        <v>0</v>
      </c>
      <c r="O259" s="726">
        <f t="shared" si="106"/>
        <v>0</v>
      </c>
      <c r="P259" s="726">
        <f t="shared" si="106"/>
        <v>0</v>
      </c>
      <c r="Q259" s="726">
        <f t="shared" si="106"/>
        <v>0</v>
      </c>
      <c r="R259" s="726">
        <f t="shared" si="106"/>
        <v>0</v>
      </c>
      <c r="S259" s="726">
        <f t="shared" si="106"/>
        <v>0</v>
      </c>
      <c r="T259" s="1843">
        <f t="shared" si="106"/>
        <v>0</v>
      </c>
      <c r="U259" s="719" t="e">
        <f t="shared" si="88"/>
        <v>#DIV/0!</v>
      </c>
      <c r="V259" s="694"/>
      <c r="W259" s="720"/>
      <c r="X259" s="720"/>
      <c r="Y259" s="699" t="s">
        <v>968</v>
      </c>
    </row>
    <row r="260" spans="1:16373" ht="22.5" customHeight="1" thickTop="1" thickBot="1">
      <c r="A260" s="27" t="s">
        <v>127</v>
      </c>
      <c r="B260" s="88" t="s">
        <v>134</v>
      </c>
      <c r="C260" s="88" t="s">
        <v>146</v>
      </c>
      <c r="D260" s="88" t="s">
        <v>129</v>
      </c>
      <c r="E260" s="88" t="s">
        <v>129</v>
      </c>
      <c r="F260" s="694" t="s">
        <v>129</v>
      </c>
      <c r="G260" s="88"/>
      <c r="H260" s="88"/>
      <c r="I260" s="88"/>
      <c r="J260" s="86" t="s">
        <v>1263</v>
      </c>
      <c r="K260" s="727"/>
      <c r="L260" s="727"/>
      <c r="M260" s="727"/>
      <c r="N260" s="1853">
        <f t="shared" si="101"/>
        <v>0</v>
      </c>
      <c r="O260" s="727"/>
      <c r="P260" s="727"/>
      <c r="Q260" s="727"/>
      <c r="R260" s="727"/>
      <c r="S260" s="727"/>
      <c r="T260" s="1853"/>
      <c r="U260" s="721" t="e">
        <f t="shared" si="88"/>
        <v>#DIV/0!</v>
      </c>
      <c r="V260" s="88"/>
      <c r="W260" s="27"/>
      <c r="X260" s="27"/>
      <c r="Y260" s="699" t="s">
        <v>968</v>
      </c>
    </row>
    <row r="261" spans="1:16373" s="1" customFormat="1" ht="22.5" customHeight="1" thickTop="1" thickBot="1">
      <c r="A261" s="720" t="s">
        <v>127</v>
      </c>
      <c r="B261" s="694" t="s">
        <v>134</v>
      </c>
      <c r="C261" s="694" t="s">
        <v>146</v>
      </c>
      <c r="D261" s="694" t="s">
        <v>129</v>
      </c>
      <c r="E261" s="694" t="s">
        <v>134</v>
      </c>
      <c r="F261" s="694"/>
      <c r="G261" s="694"/>
      <c r="H261" s="88"/>
      <c r="I261" s="88"/>
      <c r="J261" s="717" t="s">
        <v>1264</v>
      </c>
      <c r="K261" s="726"/>
      <c r="L261" s="726"/>
      <c r="M261" s="726"/>
      <c r="N261" s="1843">
        <f t="shared" si="101"/>
        <v>0</v>
      </c>
      <c r="O261" s="726"/>
      <c r="P261" s="726"/>
      <c r="Q261" s="726"/>
      <c r="R261" s="726"/>
      <c r="S261" s="726"/>
      <c r="T261" s="1843"/>
      <c r="U261" s="719" t="e">
        <f t="shared" si="88"/>
        <v>#DIV/0!</v>
      </c>
      <c r="V261" s="694"/>
      <c r="W261" s="694"/>
      <c r="X261" s="694"/>
      <c r="Y261" s="699" t="s">
        <v>968</v>
      </c>
      <c r="Z261" s="699"/>
      <c r="AA261" s="699"/>
      <c r="AB261" s="699"/>
      <c r="AC261" s="699"/>
      <c r="AD261" s="699"/>
      <c r="AE261" s="699"/>
      <c r="AF261" s="699"/>
      <c r="AG261" s="699"/>
      <c r="AH261" s="699"/>
      <c r="AI261" s="699"/>
      <c r="AJ261" s="699"/>
      <c r="AK261" s="699"/>
      <c r="AL261" s="699"/>
      <c r="AM261" s="699"/>
      <c r="AN261" s="745"/>
      <c r="AO261" s="699"/>
      <c r="AP261" s="699"/>
      <c r="AQ261" s="699"/>
      <c r="AR261" s="699"/>
      <c r="AS261" s="699"/>
      <c r="AT261" s="699"/>
      <c r="AU261" s="699"/>
      <c r="AV261" s="699"/>
      <c r="AW261" s="699"/>
      <c r="AX261" s="699"/>
      <c r="AY261" s="699"/>
      <c r="AZ261" s="699"/>
      <c r="BA261" s="699"/>
      <c r="BB261" s="699"/>
      <c r="BC261" s="699"/>
      <c r="BD261" s="699"/>
      <c r="BE261" s="699"/>
      <c r="BF261" s="699"/>
      <c r="BG261" s="699"/>
      <c r="BH261" s="745"/>
      <c r="BI261" s="699"/>
      <c r="BJ261" s="699"/>
      <c r="BK261" s="699"/>
      <c r="BL261" s="699"/>
      <c r="BM261" s="699"/>
      <c r="BN261" s="699"/>
      <c r="BO261" s="699"/>
      <c r="BP261" s="699"/>
      <c r="BQ261" s="699"/>
      <c r="BR261" s="699"/>
      <c r="BS261" s="699"/>
      <c r="BT261" s="699"/>
      <c r="BU261" s="699"/>
      <c r="BV261" s="699"/>
      <c r="BW261" s="699"/>
      <c r="BX261" s="699"/>
      <c r="BY261" s="699"/>
      <c r="BZ261" s="699"/>
      <c r="CA261" s="699"/>
      <c r="CB261" s="745"/>
      <c r="CC261" s="699"/>
      <c r="CD261" s="746"/>
      <c r="CE261" s="694"/>
      <c r="CF261" s="694"/>
      <c r="CG261" s="694"/>
      <c r="CH261" s="694"/>
      <c r="CI261" s="694"/>
      <c r="CJ261" s="694"/>
      <c r="CK261" s="694"/>
      <c r="CL261" s="694"/>
      <c r="CM261" s="694"/>
      <c r="CN261" s="694"/>
      <c r="CO261" s="694"/>
      <c r="CP261" s="694"/>
      <c r="CQ261" s="694"/>
      <c r="CR261" s="694"/>
      <c r="CS261" s="694"/>
      <c r="CT261" s="694"/>
      <c r="CU261" s="694"/>
      <c r="CV261" s="717"/>
      <c r="CW261" s="694"/>
      <c r="CX261" s="694"/>
      <c r="CY261" s="694"/>
      <c r="CZ261" s="694"/>
      <c r="DA261" s="694"/>
      <c r="DB261" s="694"/>
      <c r="DC261" s="694"/>
      <c r="DD261" s="694"/>
      <c r="DE261" s="694"/>
      <c r="DF261" s="694"/>
      <c r="DG261" s="694"/>
      <c r="DH261" s="694"/>
      <c r="DI261" s="694"/>
      <c r="DJ261" s="694"/>
      <c r="DK261" s="694"/>
      <c r="DL261" s="694"/>
      <c r="DM261" s="694"/>
      <c r="DN261" s="694"/>
      <c r="DO261" s="694"/>
      <c r="DP261" s="717"/>
      <c r="DQ261" s="694"/>
      <c r="DR261" s="694"/>
      <c r="DS261" s="694"/>
      <c r="DT261" s="694"/>
      <c r="DU261" s="694"/>
      <c r="DV261" s="694"/>
      <c r="DW261" s="694"/>
      <c r="DX261" s="694"/>
      <c r="DY261" s="694"/>
      <c r="DZ261" s="694"/>
      <c r="EA261" s="694"/>
      <c r="EB261" s="694"/>
      <c r="EC261" s="694"/>
      <c r="ED261" s="694"/>
      <c r="EE261" s="694"/>
      <c r="EF261" s="694"/>
      <c r="EG261" s="694"/>
      <c r="EH261" s="694"/>
      <c r="EI261" s="694"/>
      <c r="EJ261" s="717"/>
      <c r="EK261" s="694"/>
      <c r="EL261" s="694"/>
      <c r="EM261" s="694"/>
      <c r="EN261" s="694"/>
      <c r="EO261" s="694"/>
      <c r="EP261" s="694"/>
      <c r="EQ261" s="694"/>
      <c r="ER261" s="694"/>
      <c r="ES261" s="694"/>
      <c r="ET261" s="694"/>
      <c r="EU261" s="694"/>
      <c r="EV261" s="694"/>
      <c r="EW261" s="694"/>
      <c r="EX261" s="694"/>
      <c r="EY261" s="694"/>
      <c r="EZ261" s="694"/>
      <c r="FA261" s="694"/>
      <c r="FB261" s="694"/>
      <c r="FC261" s="694"/>
      <c r="FD261" s="717"/>
      <c r="FE261" s="694"/>
      <c r="FF261" s="694"/>
      <c r="FG261" s="694"/>
      <c r="FH261" s="694"/>
      <c r="FI261" s="694"/>
      <c r="FJ261" s="694"/>
      <c r="FK261" s="694"/>
      <c r="FL261" s="694"/>
      <c r="FM261" s="694"/>
      <c r="FN261" s="694"/>
      <c r="FO261" s="694"/>
      <c r="FP261" s="694"/>
      <c r="FQ261" s="694"/>
      <c r="FR261" s="694"/>
      <c r="FS261" s="694"/>
      <c r="FT261" s="694"/>
      <c r="FU261" s="694"/>
      <c r="FV261" s="694"/>
      <c r="FW261" s="694"/>
      <c r="FX261" s="717"/>
      <c r="FY261" s="694"/>
      <c r="FZ261" s="694"/>
      <c r="GA261" s="694"/>
      <c r="GB261" s="694"/>
      <c r="GC261" s="694"/>
      <c r="GD261" s="694"/>
      <c r="GE261" s="694"/>
      <c r="GF261" s="694"/>
      <c r="GG261" s="694"/>
      <c r="GH261" s="694"/>
      <c r="GI261" s="694"/>
      <c r="GJ261" s="694"/>
      <c r="GK261" s="694"/>
      <c r="GL261" s="694"/>
      <c r="GM261" s="694"/>
      <c r="GN261" s="694"/>
      <c r="GO261" s="694"/>
      <c r="GP261" s="694"/>
      <c r="GQ261" s="694"/>
      <c r="GR261" s="717"/>
      <c r="GS261" s="694"/>
      <c r="GT261" s="694"/>
      <c r="GU261" s="694"/>
      <c r="GV261" s="694"/>
      <c r="GW261" s="694"/>
      <c r="GX261" s="694"/>
      <c r="GY261" s="694"/>
      <c r="GZ261" s="694"/>
      <c r="HA261" s="694"/>
      <c r="HB261" s="694"/>
      <c r="HC261" s="694"/>
      <c r="HD261" s="694"/>
      <c r="HE261" s="694"/>
      <c r="HF261" s="694"/>
      <c r="HG261" s="694"/>
      <c r="HH261" s="694"/>
      <c r="HI261" s="694"/>
      <c r="HJ261" s="694"/>
      <c r="HK261" s="694"/>
      <c r="HL261" s="717"/>
      <c r="HM261" s="694"/>
      <c r="HN261" s="694"/>
      <c r="HO261" s="694"/>
      <c r="HP261" s="694"/>
      <c r="HQ261" s="694"/>
      <c r="HR261" s="694"/>
      <c r="HS261" s="694"/>
      <c r="HT261" s="694"/>
      <c r="HU261" s="694"/>
      <c r="HV261" s="694"/>
      <c r="HW261" s="694"/>
      <c r="HX261" s="694"/>
      <c r="HY261" s="694"/>
      <c r="HZ261" s="694"/>
      <c r="IA261" s="694"/>
      <c r="IB261" s="694"/>
      <c r="IC261" s="694"/>
      <c r="ID261" s="694"/>
      <c r="IE261" s="694"/>
      <c r="IF261" s="717"/>
      <c r="IG261" s="694"/>
      <c r="IH261" s="694"/>
      <c r="II261" s="694"/>
      <c r="IJ261" s="694"/>
      <c r="IK261" s="694"/>
      <c r="IL261" s="694"/>
      <c r="IM261" s="694"/>
      <c r="IN261" s="694"/>
      <c r="IO261" s="694"/>
      <c r="IP261" s="694"/>
      <c r="IQ261" s="694"/>
      <c r="IR261" s="694"/>
      <c r="IS261" s="694"/>
      <c r="IT261" s="694"/>
      <c r="IU261" s="694"/>
      <c r="IV261" s="694"/>
      <c r="IW261" s="694"/>
      <c r="IX261" s="694"/>
      <c r="IY261" s="694"/>
      <c r="IZ261" s="717"/>
      <c r="JA261" s="694"/>
      <c r="JB261" s="694"/>
      <c r="JC261" s="694"/>
      <c r="JD261" s="694"/>
      <c r="JE261" s="694"/>
      <c r="JF261" s="694"/>
      <c r="JG261" s="694"/>
      <c r="JH261" s="694"/>
      <c r="JI261" s="694"/>
      <c r="JJ261" s="694"/>
      <c r="JK261" s="694"/>
      <c r="JL261" s="694"/>
      <c r="JM261" s="694"/>
      <c r="JN261" s="694"/>
      <c r="JO261" s="694"/>
      <c r="JP261" s="694"/>
      <c r="JQ261" s="694"/>
      <c r="JR261" s="694"/>
      <c r="JS261" s="694"/>
      <c r="JT261" s="717"/>
      <c r="JU261" s="694"/>
      <c r="JV261" s="694"/>
      <c r="JW261" s="694"/>
      <c r="JX261" s="694"/>
      <c r="JY261" s="694"/>
      <c r="JZ261" s="694"/>
      <c r="KA261" s="694"/>
      <c r="KB261" s="694"/>
      <c r="KC261" s="694"/>
      <c r="KD261" s="694"/>
      <c r="KE261" s="694"/>
      <c r="KF261" s="694"/>
      <c r="KG261" s="694"/>
      <c r="KH261" s="694"/>
      <c r="KI261" s="694"/>
      <c r="KJ261" s="694"/>
      <c r="KK261" s="694"/>
      <c r="KL261" s="694"/>
      <c r="KM261" s="694"/>
      <c r="KN261" s="717"/>
      <c r="KO261" s="694"/>
      <c r="KP261" s="694"/>
      <c r="KQ261" s="694"/>
      <c r="KR261" s="694"/>
      <c r="KS261" s="694"/>
      <c r="KT261" s="694"/>
      <c r="KU261" s="694"/>
      <c r="KV261" s="694"/>
      <c r="KW261" s="694"/>
      <c r="KX261" s="694"/>
      <c r="KY261" s="694"/>
      <c r="KZ261" s="694"/>
      <c r="LA261" s="694"/>
      <c r="LB261" s="694"/>
      <c r="LC261" s="694"/>
      <c r="LD261" s="694"/>
      <c r="LE261" s="694"/>
      <c r="LF261" s="694"/>
      <c r="LG261" s="694"/>
      <c r="LH261" s="717"/>
      <c r="LI261" s="694"/>
      <c r="LJ261" s="694"/>
      <c r="LK261" s="694"/>
      <c r="LL261" s="694"/>
      <c r="LM261" s="694"/>
      <c r="LN261" s="694"/>
      <c r="LO261" s="694"/>
      <c r="LP261" s="694"/>
      <c r="LQ261" s="694"/>
      <c r="LR261" s="694"/>
      <c r="LS261" s="694"/>
      <c r="LT261" s="694"/>
      <c r="LU261" s="694"/>
      <c r="LV261" s="694"/>
      <c r="LW261" s="694"/>
      <c r="LX261" s="694"/>
      <c r="LY261" s="694"/>
      <c r="LZ261" s="694"/>
      <c r="MA261" s="694"/>
      <c r="MB261" s="717"/>
      <c r="MC261" s="694"/>
      <c r="MD261" s="694"/>
      <c r="ME261" s="694"/>
      <c r="MF261" s="694"/>
      <c r="MG261" s="694"/>
      <c r="MH261" s="694"/>
      <c r="MI261" s="694"/>
      <c r="MJ261" s="694"/>
      <c r="MK261" s="694"/>
      <c r="ML261" s="694"/>
      <c r="MM261" s="694"/>
      <c r="MN261" s="694"/>
      <c r="MO261" s="694"/>
      <c r="MP261" s="694"/>
      <c r="MQ261" s="694"/>
      <c r="MR261" s="694"/>
      <c r="MS261" s="694"/>
      <c r="MT261" s="694"/>
      <c r="MU261" s="694"/>
      <c r="MV261" s="717"/>
      <c r="MW261" s="694"/>
      <c r="MX261" s="694"/>
      <c r="MY261" s="694"/>
      <c r="MZ261" s="694"/>
      <c r="NA261" s="694"/>
      <c r="NB261" s="694"/>
      <c r="NC261" s="694"/>
      <c r="ND261" s="694"/>
      <c r="NE261" s="694"/>
      <c r="NF261" s="694"/>
      <c r="NG261" s="694"/>
      <c r="NH261" s="694"/>
      <c r="NI261" s="694"/>
      <c r="NJ261" s="694"/>
      <c r="NK261" s="694"/>
      <c r="NL261" s="694"/>
      <c r="NM261" s="694"/>
      <c r="NN261" s="694"/>
      <c r="NO261" s="694"/>
      <c r="NP261" s="717"/>
      <c r="NQ261" s="694"/>
      <c r="NR261" s="694"/>
      <c r="NS261" s="694"/>
      <c r="NT261" s="694"/>
      <c r="NU261" s="694"/>
      <c r="NV261" s="694"/>
      <c r="NW261" s="694"/>
      <c r="NX261" s="694"/>
      <c r="NY261" s="694"/>
      <c r="NZ261" s="694"/>
      <c r="OA261" s="694"/>
      <c r="OB261" s="694"/>
      <c r="OC261" s="694"/>
      <c r="OD261" s="694"/>
      <c r="OE261" s="694"/>
      <c r="OF261" s="694"/>
      <c r="OG261" s="694"/>
      <c r="OH261" s="694"/>
      <c r="OI261" s="694"/>
      <c r="OJ261" s="717"/>
      <c r="OK261" s="694"/>
      <c r="OL261" s="694"/>
      <c r="OM261" s="694"/>
      <c r="ON261" s="694"/>
      <c r="OO261" s="694"/>
      <c r="OP261" s="694"/>
      <c r="OQ261" s="694"/>
      <c r="OR261" s="694"/>
      <c r="OS261" s="694"/>
      <c r="OT261" s="694"/>
      <c r="OU261" s="694"/>
      <c r="OV261" s="694"/>
      <c r="OW261" s="694"/>
      <c r="OX261" s="694"/>
      <c r="OY261" s="694"/>
      <c r="OZ261" s="694"/>
      <c r="PA261" s="694"/>
      <c r="PB261" s="694"/>
      <c r="PC261" s="694"/>
      <c r="PD261" s="717"/>
      <c r="PE261" s="694"/>
      <c r="PF261" s="694"/>
      <c r="PG261" s="694"/>
      <c r="PH261" s="694"/>
      <c r="PI261" s="694"/>
      <c r="PJ261" s="694"/>
      <c r="PK261" s="694"/>
      <c r="PL261" s="694"/>
      <c r="PM261" s="694"/>
      <c r="PN261" s="694"/>
      <c r="PO261" s="694"/>
      <c r="PP261" s="694"/>
      <c r="PQ261" s="694"/>
      <c r="PR261" s="694"/>
      <c r="PS261" s="694"/>
      <c r="PT261" s="694"/>
      <c r="PU261" s="694"/>
      <c r="PV261" s="694"/>
      <c r="PW261" s="694"/>
      <c r="PX261" s="717"/>
      <c r="PY261" s="694"/>
      <c r="PZ261" s="694"/>
      <c r="QA261" s="694"/>
      <c r="QB261" s="694"/>
      <c r="QC261" s="694"/>
      <c r="QD261" s="694"/>
      <c r="QE261" s="694"/>
      <c r="QF261" s="694"/>
      <c r="QG261" s="694"/>
      <c r="QH261" s="694"/>
      <c r="QI261" s="694"/>
      <c r="QJ261" s="694"/>
      <c r="QK261" s="694"/>
      <c r="QL261" s="694"/>
      <c r="QM261" s="694"/>
      <c r="QN261" s="694"/>
      <c r="QO261" s="694"/>
      <c r="QP261" s="694"/>
      <c r="QQ261" s="694"/>
      <c r="QR261" s="717"/>
      <c r="QS261" s="694"/>
      <c r="QT261" s="694"/>
      <c r="QU261" s="694"/>
      <c r="QV261" s="694"/>
      <c r="QW261" s="694"/>
      <c r="QX261" s="694"/>
      <c r="QY261" s="694"/>
      <c r="QZ261" s="694"/>
      <c r="RA261" s="694"/>
      <c r="RB261" s="694"/>
      <c r="RC261" s="694"/>
      <c r="RD261" s="694"/>
      <c r="RE261" s="694"/>
      <c r="RF261" s="694"/>
      <c r="RG261" s="694"/>
      <c r="RH261" s="694"/>
      <c r="RI261" s="694"/>
      <c r="RJ261" s="694"/>
      <c r="RK261" s="694"/>
      <c r="RL261" s="717"/>
      <c r="RM261" s="694"/>
      <c r="RN261" s="694"/>
      <c r="RO261" s="694"/>
      <c r="RP261" s="694"/>
      <c r="RQ261" s="694"/>
      <c r="RR261" s="694"/>
      <c r="RS261" s="694"/>
      <c r="RT261" s="694"/>
      <c r="RU261" s="694"/>
      <c r="RV261" s="694"/>
      <c r="RW261" s="694"/>
      <c r="RX261" s="694"/>
      <c r="RY261" s="694"/>
      <c r="RZ261" s="694"/>
      <c r="SA261" s="694"/>
      <c r="SB261" s="694"/>
      <c r="SC261" s="694"/>
      <c r="SD261" s="694"/>
      <c r="SE261" s="694"/>
      <c r="SF261" s="717"/>
      <c r="SG261" s="694"/>
      <c r="SH261" s="694"/>
      <c r="SI261" s="694"/>
      <c r="SJ261" s="694"/>
      <c r="SK261" s="694"/>
      <c r="SL261" s="694"/>
      <c r="SM261" s="694"/>
      <c r="SN261" s="694"/>
      <c r="SO261" s="694"/>
      <c r="SP261" s="694"/>
      <c r="SQ261" s="694"/>
      <c r="SR261" s="694"/>
      <c r="SS261" s="694"/>
      <c r="ST261" s="694"/>
      <c r="SU261" s="694"/>
      <c r="SV261" s="694"/>
      <c r="SW261" s="694"/>
      <c r="SX261" s="694"/>
      <c r="SY261" s="694"/>
      <c r="SZ261" s="717"/>
      <c r="TA261" s="694"/>
      <c r="TB261" s="694"/>
      <c r="TC261" s="694"/>
      <c r="TD261" s="694"/>
      <c r="TE261" s="694"/>
      <c r="TF261" s="694"/>
      <c r="TG261" s="694"/>
      <c r="TH261" s="694"/>
      <c r="TI261" s="694"/>
      <c r="TJ261" s="694"/>
      <c r="TK261" s="694"/>
      <c r="TL261" s="694"/>
      <c r="TM261" s="694"/>
      <c r="TN261" s="694"/>
      <c r="TO261" s="694"/>
      <c r="TP261" s="694"/>
      <c r="TQ261" s="694"/>
      <c r="TR261" s="694"/>
      <c r="TS261" s="694"/>
      <c r="TT261" s="717"/>
      <c r="TU261" s="694"/>
      <c r="TV261" s="694"/>
      <c r="TW261" s="694"/>
      <c r="TX261" s="694"/>
      <c r="TY261" s="694"/>
      <c r="TZ261" s="694"/>
      <c r="UA261" s="694"/>
      <c r="UB261" s="694"/>
      <c r="UC261" s="694"/>
      <c r="UD261" s="694"/>
      <c r="UE261" s="694"/>
      <c r="UF261" s="694"/>
      <c r="UG261" s="694"/>
      <c r="UH261" s="694"/>
      <c r="UI261" s="694"/>
      <c r="UJ261" s="694"/>
      <c r="UK261" s="694"/>
      <c r="UL261" s="694"/>
      <c r="UM261" s="694"/>
      <c r="UN261" s="717"/>
      <c r="UO261" s="694"/>
      <c r="UP261" s="694"/>
      <c r="UQ261" s="694"/>
      <c r="UR261" s="694"/>
      <c r="US261" s="694"/>
      <c r="UT261" s="694"/>
      <c r="UU261" s="694"/>
      <c r="UV261" s="694"/>
      <c r="UW261" s="694"/>
      <c r="UX261" s="694"/>
      <c r="UY261" s="694"/>
      <c r="UZ261" s="694"/>
      <c r="VA261" s="694"/>
      <c r="VB261" s="694"/>
      <c r="VC261" s="694"/>
      <c r="VD261" s="694"/>
      <c r="VE261" s="694"/>
      <c r="VF261" s="694"/>
      <c r="VG261" s="694"/>
      <c r="VH261" s="717"/>
      <c r="VI261" s="694"/>
      <c r="VJ261" s="694"/>
      <c r="VK261" s="694"/>
      <c r="VL261" s="694"/>
      <c r="VM261" s="694"/>
      <c r="VN261" s="694"/>
      <c r="VO261" s="694"/>
      <c r="VP261" s="694"/>
      <c r="VQ261" s="694"/>
      <c r="VR261" s="694"/>
      <c r="VS261" s="694"/>
      <c r="VT261" s="694"/>
      <c r="VU261" s="694"/>
      <c r="VV261" s="694"/>
      <c r="VW261" s="694"/>
      <c r="VX261" s="694"/>
      <c r="VY261" s="694"/>
      <c r="VZ261" s="694"/>
      <c r="WA261" s="694"/>
      <c r="WB261" s="717"/>
      <c r="WC261" s="694"/>
      <c r="WD261" s="694"/>
      <c r="WE261" s="694"/>
      <c r="WF261" s="694"/>
      <c r="WG261" s="694"/>
      <c r="WH261" s="694"/>
      <c r="WI261" s="694"/>
      <c r="WJ261" s="694"/>
      <c r="WK261" s="694"/>
      <c r="WL261" s="694"/>
      <c r="WM261" s="694"/>
      <c r="WN261" s="694"/>
      <c r="WO261" s="694"/>
      <c r="WP261" s="694"/>
      <c r="WQ261" s="694"/>
      <c r="WR261" s="694"/>
      <c r="WS261" s="694"/>
      <c r="WT261" s="694"/>
      <c r="WU261" s="694"/>
      <c r="WV261" s="717"/>
      <c r="WW261" s="694"/>
      <c r="WX261" s="694"/>
      <c r="WY261" s="694"/>
      <c r="WZ261" s="694"/>
      <c r="XA261" s="694"/>
      <c r="XB261" s="694"/>
      <c r="XC261" s="694"/>
      <c r="XD261" s="694"/>
      <c r="XE261" s="694"/>
      <c r="XF261" s="694"/>
      <c r="XG261" s="694"/>
      <c r="XH261" s="694"/>
      <c r="XI261" s="694"/>
      <c r="XJ261" s="694"/>
      <c r="XK261" s="694"/>
      <c r="XL261" s="694"/>
      <c r="XM261" s="694"/>
      <c r="XN261" s="694"/>
      <c r="XO261" s="694"/>
      <c r="XP261" s="717"/>
      <c r="XQ261" s="694"/>
      <c r="XR261" s="694"/>
      <c r="XS261" s="694"/>
      <c r="XT261" s="694"/>
      <c r="XU261" s="694"/>
      <c r="XV261" s="694"/>
      <c r="XW261" s="694"/>
      <c r="XX261" s="694"/>
      <c r="XY261" s="694"/>
      <c r="XZ261" s="694"/>
      <c r="YA261" s="694"/>
      <c r="YB261" s="694"/>
      <c r="YC261" s="694"/>
      <c r="YD261" s="694"/>
      <c r="YE261" s="694"/>
      <c r="YF261" s="694"/>
      <c r="YG261" s="694"/>
      <c r="YH261" s="694"/>
      <c r="YI261" s="694"/>
      <c r="YJ261" s="717"/>
      <c r="YK261" s="694"/>
      <c r="YL261" s="694"/>
      <c r="YM261" s="694"/>
      <c r="YN261" s="694"/>
      <c r="YO261" s="694"/>
      <c r="YP261" s="694"/>
      <c r="YQ261" s="694"/>
      <c r="YR261" s="694"/>
      <c r="YS261" s="694"/>
      <c r="YT261" s="694"/>
      <c r="YU261" s="694"/>
      <c r="YV261" s="694"/>
      <c r="YW261" s="694"/>
      <c r="YX261" s="694"/>
      <c r="YY261" s="694"/>
      <c r="YZ261" s="694"/>
      <c r="ZA261" s="694"/>
      <c r="ZB261" s="694"/>
      <c r="ZC261" s="694"/>
      <c r="ZD261" s="717"/>
      <c r="ZE261" s="694"/>
      <c r="ZF261" s="694"/>
      <c r="ZG261" s="694"/>
      <c r="ZH261" s="694"/>
      <c r="ZI261" s="694"/>
      <c r="ZJ261" s="694"/>
      <c r="ZK261" s="694"/>
      <c r="ZL261" s="694"/>
      <c r="ZM261" s="694"/>
      <c r="ZN261" s="694"/>
      <c r="ZO261" s="694"/>
      <c r="ZP261" s="694"/>
      <c r="ZQ261" s="694"/>
      <c r="ZR261" s="694"/>
      <c r="ZS261" s="694"/>
      <c r="ZT261" s="694"/>
      <c r="ZU261" s="694"/>
      <c r="ZV261" s="694"/>
      <c r="ZW261" s="694"/>
      <c r="ZX261" s="717"/>
      <c r="ZY261" s="694"/>
      <c r="ZZ261" s="694"/>
      <c r="AAA261" s="694"/>
      <c r="AAB261" s="694"/>
      <c r="AAC261" s="694"/>
      <c r="AAD261" s="694"/>
      <c r="AAE261" s="694"/>
      <c r="AAF261" s="694"/>
      <c r="AAG261" s="694"/>
      <c r="AAH261" s="694"/>
      <c r="AAI261" s="694"/>
      <c r="AAJ261" s="694"/>
      <c r="AAK261" s="694"/>
      <c r="AAL261" s="694"/>
      <c r="AAM261" s="694"/>
      <c r="AAN261" s="694"/>
      <c r="AAO261" s="694"/>
      <c r="AAP261" s="694"/>
      <c r="AAQ261" s="694"/>
      <c r="AAR261" s="717"/>
      <c r="AAS261" s="694"/>
      <c r="AAT261" s="694"/>
      <c r="AAU261" s="694"/>
      <c r="AAV261" s="694"/>
      <c r="AAW261" s="694"/>
      <c r="AAX261" s="694"/>
      <c r="AAY261" s="694"/>
      <c r="AAZ261" s="694"/>
      <c r="ABA261" s="694"/>
      <c r="ABB261" s="694"/>
      <c r="ABC261" s="694"/>
      <c r="ABD261" s="694"/>
      <c r="ABE261" s="694"/>
      <c r="ABF261" s="694"/>
      <c r="ABG261" s="694"/>
      <c r="ABH261" s="694"/>
      <c r="ABI261" s="694"/>
      <c r="ABJ261" s="694"/>
      <c r="ABK261" s="694"/>
      <c r="ABL261" s="717"/>
      <c r="ABM261" s="694"/>
      <c r="ABN261" s="694"/>
      <c r="ABO261" s="694"/>
      <c r="ABP261" s="694"/>
      <c r="ABQ261" s="694"/>
      <c r="ABR261" s="694"/>
      <c r="ABS261" s="694"/>
      <c r="ABT261" s="694"/>
      <c r="ABU261" s="694"/>
      <c r="ABV261" s="694"/>
      <c r="ABW261" s="694"/>
      <c r="ABX261" s="694"/>
      <c r="ABY261" s="694"/>
      <c r="ABZ261" s="694"/>
      <c r="ACA261" s="694"/>
      <c r="ACB261" s="694"/>
      <c r="ACC261" s="694"/>
      <c r="ACD261" s="694"/>
      <c r="ACE261" s="694"/>
      <c r="ACF261" s="717"/>
      <c r="ACG261" s="694"/>
      <c r="ACH261" s="694"/>
      <c r="ACI261" s="694"/>
      <c r="ACJ261" s="694"/>
      <c r="ACK261" s="694"/>
      <c r="ACL261" s="694"/>
      <c r="ACM261" s="694"/>
      <c r="ACN261" s="694"/>
      <c r="ACO261" s="694"/>
      <c r="ACP261" s="694"/>
      <c r="ACQ261" s="694"/>
      <c r="ACR261" s="694"/>
      <c r="ACS261" s="694"/>
      <c r="ACT261" s="694"/>
      <c r="ACU261" s="694"/>
      <c r="ACV261" s="694"/>
      <c r="ACW261" s="694"/>
      <c r="ACX261" s="694"/>
      <c r="ACY261" s="694"/>
      <c r="ACZ261" s="717"/>
      <c r="ADA261" s="694"/>
      <c r="ADB261" s="694"/>
      <c r="ADC261" s="694"/>
      <c r="ADD261" s="694"/>
      <c r="ADE261" s="694"/>
      <c r="ADF261" s="694"/>
      <c r="ADG261" s="694"/>
      <c r="ADH261" s="694"/>
      <c r="ADI261" s="694"/>
      <c r="ADJ261" s="694"/>
      <c r="ADK261" s="694"/>
      <c r="ADL261" s="694"/>
      <c r="ADM261" s="694"/>
      <c r="ADN261" s="694"/>
      <c r="ADO261" s="694"/>
      <c r="ADP261" s="694"/>
      <c r="ADQ261" s="694"/>
      <c r="ADR261" s="694"/>
      <c r="ADS261" s="694"/>
      <c r="ADT261" s="717"/>
      <c r="ADU261" s="694"/>
      <c r="ADV261" s="694"/>
      <c r="ADW261" s="694"/>
      <c r="ADX261" s="694"/>
      <c r="ADY261" s="694"/>
      <c r="ADZ261" s="694"/>
      <c r="AEA261" s="694"/>
      <c r="AEB261" s="694"/>
      <c r="AEC261" s="694"/>
      <c r="AED261" s="694"/>
      <c r="AEE261" s="694"/>
      <c r="AEF261" s="694"/>
      <c r="AEG261" s="694"/>
      <c r="AEH261" s="694"/>
      <c r="AEI261" s="694"/>
      <c r="AEJ261" s="694"/>
      <c r="AEK261" s="694"/>
      <c r="AEL261" s="694"/>
      <c r="AEM261" s="694"/>
      <c r="AEN261" s="717"/>
      <c r="AEO261" s="694"/>
      <c r="AEP261" s="694"/>
      <c r="AEQ261" s="694"/>
      <c r="AER261" s="694"/>
      <c r="AES261" s="694"/>
      <c r="AET261" s="694"/>
      <c r="AEU261" s="694"/>
      <c r="AEV261" s="694"/>
      <c r="AEW261" s="694"/>
      <c r="AEX261" s="694"/>
      <c r="AEY261" s="694"/>
      <c r="AEZ261" s="694"/>
      <c r="AFA261" s="694"/>
      <c r="AFB261" s="694"/>
      <c r="AFC261" s="694"/>
      <c r="AFD261" s="694"/>
      <c r="AFE261" s="694"/>
      <c r="AFF261" s="694"/>
      <c r="AFG261" s="694"/>
      <c r="AFH261" s="717"/>
      <c r="AFI261" s="694"/>
      <c r="AFJ261" s="694"/>
      <c r="AFK261" s="694"/>
      <c r="AFL261" s="694"/>
      <c r="AFM261" s="694"/>
      <c r="AFN261" s="694"/>
      <c r="AFO261" s="694"/>
      <c r="AFP261" s="694"/>
      <c r="AFQ261" s="694"/>
      <c r="AFR261" s="694"/>
      <c r="AFS261" s="694"/>
      <c r="AFT261" s="694"/>
      <c r="AFU261" s="694"/>
      <c r="AFV261" s="694"/>
      <c r="AFW261" s="694"/>
      <c r="AFX261" s="694"/>
      <c r="AFY261" s="694"/>
      <c r="AFZ261" s="694"/>
      <c r="AGA261" s="694"/>
      <c r="AGB261" s="717"/>
      <c r="AGC261" s="694"/>
      <c r="AGD261" s="694"/>
      <c r="AGE261" s="694"/>
      <c r="AGF261" s="694"/>
      <c r="AGG261" s="694"/>
      <c r="AGH261" s="694"/>
      <c r="AGI261" s="694"/>
      <c r="AGJ261" s="694"/>
      <c r="AGK261" s="694"/>
      <c r="AGL261" s="694"/>
      <c r="AGM261" s="694"/>
      <c r="AGN261" s="694"/>
      <c r="AGO261" s="694"/>
      <c r="AGP261" s="694"/>
      <c r="AGQ261" s="694"/>
      <c r="AGR261" s="694"/>
      <c r="AGS261" s="694"/>
      <c r="AGT261" s="694"/>
      <c r="AGU261" s="694"/>
      <c r="AGV261" s="717"/>
      <c r="AGW261" s="694"/>
      <c r="AGX261" s="694"/>
      <c r="AGY261" s="694"/>
      <c r="AGZ261" s="694"/>
      <c r="AHA261" s="694"/>
      <c r="AHB261" s="694"/>
      <c r="AHC261" s="694"/>
      <c r="AHD261" s="694"/>
      <c r="AHE261" s="694"/>
      <c r="AHF261" s="694"/>
      <c r="AHG261" s="694"/>
      <c r="AHH261" s="694"/>
      <c r="AHI261" s="694"/>
      <c r="AHJ261" s="694"/>
      <c r="AHK261" s="694"/>
      <c r="AHL261" s="694"/>
      <c r="AHM261" s="694"/>
      <c r="AHN261" s="694"/>
      <c r="AHO261" s="694"/>
      <c r="AHP261" s="717"/>
      <c r="AHQ261" s="694"/>
      <c r="AHR261" s="694"/>
      <c r="AHS261" s="694"/>
      <c r="AHT261" s="694"/>
      <c r="AHU261" s="694"/>
      <c r="AHV261" s="694"/>
      <c r="AHW261" s="694"/>
      <c r="AHX261" s="694"/>
      <c r="AHY261" s="694"/>
      <c r="AHZ261" s="694"/>
      <c r="AIA261" s="694"/>
      <c r="AIB261" s="694"/>
      <c r="AIC261" s="694"/>
      <c r="AID261" s="694"/>
      <c r="AIE261" s="694"/>
      <c r="AIF261" s="694"/>
      <c r="AIG261" s="694"/>
      <c r="AIH261" s="694"/>
      <c r="AII261" s="694"/>
      <c r="AIJ261" s="717"/>
      <c r="AIK261" s="694"/>
      <c r="AIL261" s="694"/>
      <c r="AIM261" s="694"/>
      <c r="AIN261" s="694"/>
      <c r="AIO261" s="694"/>
      <c r="AIP261" s="694"/>
      <c r="AIQ261" s="694"/>
      <c r="AIR261" s="694"/>
      <c r="AIS261" s="694"/>
      <c r="AIT261" s="694"/>
      <c r="AIU261" s="694"/>
      <c r="AIV261" s="694"/>
      <c r="AIW261" s="694"/>
      <c r="AIX261" s="694"/>
      <c r="AIY261" s="694"/>
      <c r="AIZ261" s="694"/>
      <c r="AJA261" s="694"/>
      <c r="AJB261" s="694"/>
      <c r="AJC261" s="694"/>
      <c r="AJD261" s="717"/>
      <c r="AJE261" s="694"/>
      <c r="AJF261" s="694"/>
      <c r="AJG261" s="694"/>
      <c r="AJH261" s="694"/>
      <c r="AJI261" s="694"/>
      <c r="AJJ261" s="694"/>
      <c r="AJK261" s="694"/>
      <c r="AJL261" s="694"/>
      <c r="AJM261" s="694"/>
      <c r="AJN261" s="694"/>
      <c r="AJO261" s="694"/>
      <c r="AJP261" s="694"/>
      <c r="AJQ261" s="694"/>
      <c r="AJR261" s="694"/>
      <c r="AJS261" s="694"/>
      <c r="AJT261" s="694"/>
      <c r="AJU261" s="694"/>
      <c r="AJV261" s="694"/>
      <c r="AJW261" s="694"/>
      <c r="AJX261" s="717"/>
      <c r="AJY261" s="694"/>
      <c r="AJZ261" s="694"/>
      <c r="AKA261" s="694"/>
      <c r="AKB261" s="694"/>
      <c r="AKC261" s="694"/>
      <c r="AKD261" s="694"/>
      <c r="AKE261" s="694"/>
      <c r="AKF261" s="694"/>
      <c r="AKG261" s="694"/>
      <c r="AKH261" s="694"/>
      <c r="AKI261" s="694"/>
      <c r="AKJ261" s="694"/>
      <c r="AKK261" s="694"/>
      <c r="AKL261" s="694"/>
      <c r="AKM261" s="694"/>
      <c r="AKN261" s="694"/>
      <c r="AKO261" s="694"/>
      <c r="AKP261" s="694"/>
      <c r="AKQ261" s="694"/>
      <c r="AKR261" s="717"/>
      <c r="AKS261" s="694"/>
      <c r="AKT261" s="694"/>
      <c r="AKU261" s="694"/>
      <c r="AKV261" s="694"/>
      <c r="AKW261" s="694"/>
      <c r="AKX261" s="694"/>
      <c r="AKY261" s="694"/>
      <c r="AKZ261" s="694"/>
      <c r="ALA261" s="694"/>
      <c r="ALB261" s="694"/>
      <c r="ALC261" s="694"/>
      <c r="ALD261" s="694"/>
      <c r="ALE261" s="694"/>
      <c r="ALF261" s="694"/>
      <c r="ALG261" s="694"/>
      <c r="ALH261" s="694"/>
      <c r="ALI261" s="694"/>
      <c r="ALJ261" s="694"/>
      <c r="ALK261" s="694"/>
      <c r="ALL261" s="717"/>
      <c r="ALM261" s="694"/>
      <c r="ALN261" s="694"/>
      <c r="ALO261" s="694"/>
      <c r="ALP261" s="694"/>
      <c r="ALQ261" s="694"/>
      <c r="ALR261" s="694"/>
      <c r="ALS261" s="694"/>
      <c r="ALT261" s="694"/>
      <c r="ALU261" s="694"/>
      <c r="ALV261" s="694"/>
      <c r="ALW261" s="694"/>
      <c r="ALX261" s="694"/>
      <c r="ALY261" s="694"/>
      <c r="ALZ261" s="694"/>
      <c r="AMA261" s="694"/>
      <c r="AMB261" s="694"/>
      <c r="AMC261" s="694"/>
      <c r="AMD261" s="694"/>
      <c r="AME261" s="694"/>
      <c r="AMF261" s="717"/>
      <c r="AMG261" s="694"/>
      <c r="AMH261" s="694"/>
      <c r="AMI261" s="694"/>
      <c r="AMJ261" s="694"/>
      <c r="AMK261" s="694"/>
      <c r="AML261" s="694"/>
      <c r="AMM261" s="694"/>
      <c r="AMN261" s="694"/>
      <c r="AMO261" s="694"/>
      <c r="AMP261" s="694"/>
      <c r="AMQ261" s="694"/>
      <c r="AMR261" s="694"/>
      <c r="AMS261" s="694"/>
      <c r="AMT261" s="694"/>
      <c r="AMU261" s="694"/>
      <c r="AMV261" s="694"/>
      <c r="AMW261" s="694"/>
      <c r="AMX261" s="694"/>
      <c r="AMY261" s="694"/>
      <c r="AMZ261" s="717"/>
      <c r="ANA261" s="694"/>
      <c r="ANB261" s="694"/>
      <c r="ANC261" s="694"/>
      <c r="AND261" s="694"/>
      <c r="ANE261" s="694"/>
      <c r="ANF261" s="694"/>
      <c r="ANG261" s="694"/>
      <c r="ANH261" s="694"/>
      <c r="ANI261" s="694"/>
      <c r="ANJ261" s="694"/>
      <c r="ANK261" s="694"/>
      <c r="ANL261" s="694"/>
      <c r="ANM261" s="694"/>
      <c r="ANN261" s="694"/>
      <c r="ANO261" s="694"/>
      <c r="ANP261" s="694"/>
      <c r="ANQ261" s="694"/>
      <c r="ANR261" s="694"/>
      <c r="ANS261" s="694"/>
      <c r="ANT261" s="717"/>
      <c r="ANU261" s="694"/>
      <c r="ANV261" s="694"/>
      <c r="ANW261" s="694"/>
      <c r="ANX261" s="694"/>
      <c r="ANY261" s="694"/>
      <c r="ANZ261" s="694"/>
      <c r="AOA261" s="694"/>
      <c r="AOB261" s="694"/>
      <c r="AOC261" s="694"/>
      <c r="AOD261" s="694"/>
      <c r="AOE261" s="694"/>
      <c r="AOF261" s="694"/>
      <c r="AOG261" s="694"/>
      <c r="AOH261" s="694"/>
      <c r="AOI261" s="694"/>
      <c r="AOJ261" s="694"/>
      <c r="AOK261" s="694"/>
      <c r="AOL261" s="694"/>
      <c r="AOM261" s="694"/>
      <c r="AON261" s="717"/>
      <c r="AOO261" s="694"/>
      <c r="AOP261" s="694"/>
      <c r="AOQ261" s="694"/>
      <c r="AOR261" s="694"/>
      <c r="AOS261" s="694"/>
      <c r="AOT261" s="694"/>
      <c r="AOU261" s="694"/>
      <c r="AOV261" s="694"/>
      <c r="AOW261" s="694"/>
      <c r="AOX261" s="694"/>
      <c r="AOY261" s="694"/>
      <c r="AOZ261" s="694"/>
      <c r="APA261" s="694"/>
      <c r="APB261" s="694"/>
      <c r="APC261" s="694"/>
      <c r="APD261" s="694"/>
      <c r="APE261" s="694"/>
      <c r="APF261" s="694"/>
      <c r="APG261" s="694"/>
      <c r="APH261" s="717"/>
      <c r="API261" s="694"/>
      <c r="APJ261" s="694"/>
      <c r="APK261" s="694"/>
      <c r="APL261" s="694"/>
      <c r="APM261" s="694"/>
      <c r="APN261" s="694"/>
      <c r="APO261" s="694"/>
      <c r="APP261" s="694"/>
      <c r="APQ261" s="694"/>
      <c r="APR261" s="694"/>
      <c r="APS261" s="694"/>
      <c r="APT261" s="694"/>
      <c r="APU261" s="694"/>
      <c r="APV261" s="694"/>
      <c r="APW261" s="694"/>
      <c r="APX261" s="694"/>
      <c r="APY261" s="694"/>
      <c r="APZ261" s="694"/>
      <c r="AQA261" s="694"/>
      <c r="AQB261" s="717"/>
      <c r="AQC261" s="694"/>
      <c r="AQD261" s="694"/>
      <c r="AQE261" s="694"/>
      <c r="AQF261" s="694"/>
      <c r="AQG261" s="694"/>
      <c r="AQH261" s="694"/>
      <c r="AQI261" s="694"/>
      <c r="AQJ261" s="694"/>
      <c r="AQK261" s="694"/>
      <c r="AQL261" s="694"/>
      <c r="AQM261" s="694"/>
      <c r="AQN261" s="694"/>
      <c r="AQO261" s="694"/>
      <c r="AQP261" s="694"/>
      <c r="AQQ261" s="694"/>
      <c r="AQR261" s="694"/>
      <c r="AQS261" s="694"/>
      <c r="AQT261" s="694"/>
      <c r="AQU261" s="694"/>
      <c r="AQV261" s="717"/>
      <c r="AQW261" s="694"/>
      <c r="AQX261" s="694"/>
      <c r="AQY261" s="694"/>
      <c r="AQZ261" s="694"/>
      <c r="ARA261" s="694"/>
      <c r="ARB261" s="694"/>
      <c r="ARC261" s="694"/>
      <c r="ARD261" s="694"/>
      <c r="ARE261" s="694"/>
      <c r="ARF261" s="694"/>
      <c r="ARG261" s="694"/>
      <c r="ARH261" s="694"/>
      <c r="ARI261" s="694"/>
      <c r="ARJ261" s="694"/>
      <c r="ARK261" s="694"/>
      <c r="ARL261" s="694"/>
      <c r="ARM261" s="694"/>
      <c r="ARN261" s="694"/>
      <c r="ARO261" s="694"/>
      <c r="ARP261" s="717"/>
      <c r="ARQ261" s="694"/>
      <c r="ARR261" s="694"/>
      <c r="ARS261" s="694"/>
      <c r="ART261" s="694"/>
      <c r="ARU261" s="694"/>
      <c r="ARV261" s="694"/>
      <c r="ARW261" s="694"/>
      <c r="ARX261" s="694"/>
      <c r="ARY261" s="694"/>
      <c r="ARZ261" s="694"/>
      <c r="ASA261" s="694"/>
      <c r="ASB261" s="694"/>
      <c r="ASC261" s="694"/>
      <c r="ASD261" s="694"/>
      <c r="ASE261" s="694"/>
      <c r="ASF261" s="694"/>
      <c r="ASG261" s="694"/>
      <c r="ASH261" s="694"/>
      <c r="ASI261" s="694"/>
      <c r="ASJ261" s="717"/>
      <c r="ASK261" s="694"/>
      <c r="ASL261" s="694"/>
      <c r="ASM261" s="694"/>
      <c r="ASN261" s="694"/>
      <c r="ASO261" s="694"/>
      <c r="ASP261" s="694"/>
      <c r="ASQ261" s="694"/>
      <c r="ASR261" s="694"/>
      <c r="ASS261" s="694"/>
      <c r="AST261" s="694"/>
      <c r="ASU261" s="694"/>
      <c r="ASV261" s="694"/>
      <c r="ASW261" s="694"/>
      <c r="ASX261" s="694"/>
      <c r="ASY261" s="694"/>
      <c r="ASZ261" s="694"/>
      <c r="ATA261" s="694"/>
      <c r="ATB261" s="694"/>
      <c r="ATC261" s="694"/>
      <c r="ATD261" s="717"/>
      <c r="ATE261" s="694"/>
      <c r="ATF261" s="694"/>
      <c r="ATG261" s="694"/>
      <c r="ATH261" s="694"/>
      <c r="ATI261" s="694"/>
      <c r="ATJ261" s="694"/>
      <c r="ATK261" s="694"/>
      <c r="ATL261" s="694"/>
      <c r="ATM261" s="694"/>
      <c r="ATN261" s="694"/>
      <c r="ATO261" s="694"/>
      <c r="ATP261" s="694"/>
      <c r="ATQ261" s="694"/>
      <c r="ATR261" s="694"/>
      <c r="ATS261" s="694"/>
      <c r="ATT261" s="694"/>
      <c r="ATU261" s="694"/>
      <c r="ATV261" s="694"/>
      <c r="ATW261" s="694"/>
      <c r="ATX261" s="717"/>
      <c r="ATY261" s="694"/>
      <c r="ATZ261" s="694"/>
      <c r="AUA261" s="694"/>
      <c r="AUB261" s="694"/>
      <c r="AUC261" s="694"/>
      <c r="AUD261" s="694"/>
      <c r="AUE261" s="694"/>
      <c r="AUF261" s="694"/>
      <c r="AUG261" s="694"/>
      <c r="AUH261" s="694"/>
      <c r="AUI261" s="694"/>
      <c r="AUJ261" s="694"/>
      <c r="AUK261" s="694"/>
      <c r="AUL261" s="694"/>
      <c r="AUM261" s="694"/>
      <c r="AUN261" s="694"/>
      <c r="AUO261" s="694"/>
      <c r="AUP261" s="694"/>
      <c r="AUQ261" s="694"/>
      <c r="AUR261" s="717"/>
      <c r="AUS261" s="694"/>
      <c r="AUT261" s="694"/>
      <c r="AUU261" s="694"/>
      <c r="AUV261" s="694"/>
      <c r="AUW261" s="694"/>
      <c r="AUX261" s="694"/>
      <c r="AUY261" s="694"/>
      <c r="AUZ261" s="694"/>
      <c r="AVA261" s="694"/>
      <c r="AVB261" s="694"/>
      <c r="AVC261" s="694"/>
      <c r="AVD261" s="694"/>
      <c r="AVE261" s="694"/>
      <c r="AVF261" s="694"/>
      <c r="AVG261" s="694"/>
      <c r="AVH261" s="694"/>
      <c r="AVI261" s="694"/>
      <c r="AVJ261" s="694"/>
      <c r="AVK261" s="694"/>
      <c r="AVL261" s="717"/>
      <c r="AVM261" s="694"/>
      <c r="AVN261" s="694"/>
      <c r="AVO261" s="694"/>
      <c r="AVP261" s="694"/>
      <c r="AVQ261" s="694"/>
      <c r="AVR261" s="694"/>
      <c r="AVS261" s="694"/>
      <c r="AVT261" s="694"/>
      <c r="AVU261" s="694"/>
      <c r="AVV261" s="694"/>
      <c r="AVW261" s="694"/>
      <c r="AVX261" s="694"/>
      <c r="AVY261" s="694"/>
      <c r="AVZ261" s="694"/>
      <c r="AWA261" s="694"/>
      <c r="AWB261" s="694"/>
      <c r="AWC261" s="694"/>
      <c r="AWD261" s="694"/>
      <c r="AWE261" s="694"/>
      <c r="AWF261" s="717"/>
      <c r="AWG261" s="694"/>
      <c r="AWH261" s="694"/>
      <c r="AWI261" s="694"/>
      <c r="AWJ261" s="694"/>
      <c r="AWK261" s="694"/>
      <c r="AWL261" s="694"/>
      <c r="AWM261" s="694"/>
      <c r="AWN261" s="694"/>
      <c r="AWO261" s="694"/>
      <c r="AWP261" s="694"/>
      <c r="AWQ261" s="694"/>
      <c r="AWR261" s="694"/>
      <c r="AWS261" s="694"/>
      <c r="AWT261" s="694"/>
      <c r="AWU261" s="694"/>
      <c r="AWV261" s="694"/>
      <c r="AWW261" s="694"/>
      <c r="AWX261" s="694"/>
      <c r="AWY261" s="694"/>
      <c r="AWZ261" s="717"/>
      <c r="AXA261" s="694"/>
      <c r="AXB261" s="694"/>
      <c r="AXC261" s="694"/>
      <c r="AXD261" s="694"/>
      <c r="AXE261" s="694"/>
      <c r="AXF261" s="694"/>
      <c r="AXG261" s="694"/>
      <c r="AXH261" s="694"/>
      <c r="AXI261" s="694"/>
      <c r="AXJ261" s="694"/>
      <c r="AXK261" s="694"/>
      <c r="AXL261" s="694"/>
      <c r="AXM261" s="694"/>
      <c r="AXN261" s="694"/>
      <c r="AXO261" s="694"/>
      <c r="AXP261" s="694"/>
      <c r="AXQ261" s="694"/>
      <c r="AXR261" s="694"/>
      <c r="AXS261" s="694"/>
      <c r="AXT261" s="717"/>
      <c r="AXU261" s="694"/>
      <c r="AXV261" s="694"/>
      <c r="AXW261" s="694"/>
      <c r="AXX261" s="694"/>
      <c r="AXY261" s="694"/>
      <c r="AXZ261" s="694"/>
      <c r="AYA261" s="694"/>
      <c r="AYB261" s="694"/>
      <c r="AYC261" s="694"/>
      <c r="AYD261" s="694"/>
      <c r="AYE261" s="694"/>
      <c r="AYF261" s="694"/>
      <c r="AYG261" s="694"/>
      <c r="AYH261" s="694"/>
      <c r="AYI261" s="694"/>
      <c r="AYJ261" s="694"/>
      <c r="AYK261" s="694"/>
      <c r="AYL261" s="694"/>
      <c r="AYM261" s="694"/>
      <c r="AYN261" s="717"/>
      <c r="AYO261" s="694"/>
      <c r="AYP261" s="694"/>
      <c r="AYQ261" s="694"/>
      <c r="AYR261" s="694"/>
      <c r="AYS261" s="694"/>
      <c r="AYT261" s="694"/>
      <c r="AYU261" s="694"/>
      <c r="AYV261" s="694"/>
      <c r="AYW261" s="694"/>
      <c r="AYX261" s="694"/>
      <c r="AYY261" s="694"/>
      <c r="AYZ261" s="694"/>
      <c r="AZA261" s="694"/>
      <c r="AZB261" s="694"/>
      <c r="AZC261" s="694"/>
      <c r="AZD261" s="694"/>
      <c r="AZE261" s="694"/>
      <c r="AZF261" s="694"/>
      <c r="AZG261" s="694"/>
      <c r="AZH261" s="717"/>
      <c r="AZI261" s="694"/>
      <c r="AZJ261" s="694"/>
      <c r="AZK261" s="694"/>
      <c r="AZL261" s="694"/>
      <c r="AZM261" s="694"/>
      <c r="AZN261" s="694"/>
      <c r="AZO261" s="694"/>
      <c r="AZP261" s="694"/>
      <c r="AZQ261" s="694"/>
      <c r="AZR261" s="694"/>
      <c r="AZS261" s="694"/>
      <c r="AZT261" s="694"/>
      <c r="AZU261" s="694"/>
      <c r="AZV261" s="694"/>
      <c r="AZW261" s="694"/>
      <c r="AZX261" s="694"/>
      <c r="AZY261" s="694"/>
      <c r="AZZ261" s="694"/>
      <c r="BAA261" s="694"/>
      <c r="BAB261" s="717"/>
      <c r="BAC261" s="694"/>
      <c r="BAD261" s="694"/>
      <c r="BAE261" s="694"/>
      <c r="BAF261" s="694"/>
      <c r="BAG261" s="694"/>
      <c r="BAH261" s="694"/>
      <c r="BAI261" s="694"/>
      <c r="BAJ261" s="694"/>
      <c r="BAK261" s="694"/>
      <c r="BAL261" s="694"/>
      <c r="BAM261" s="694"/>
      <c r="BAN261" s="694"/>
      <c r="BAO261" s="694"/>
      <c r="BAP261" s="694"/>
      <c r="BAQ261" s="694"/>
      <c r="BAR261" s="694"/>
      <c r="BAS261" s="694"/>
      <c r="BAT261" s="694"/>
      <c r="BAU261" s="694"/>
      <c r="BAV261" s="717"/>
      <c r="BAW261" s="694"/>
      <c r="BAX261" s="694"/>
      <c r="BAY261" s="694"/>
      <c r="BAZ261" s="694"/>
      <c r="BBA261" s="694"/>
      <c r="BBB261" s="694"/>
      <c r="BBC261" s="694"/>
      <c r="BBD261" s="694"/>
      <c r="BBE261" s="694"/>
      <c r="BBF261" s="694"/>
      <c r="BBG261" s="694"/>
      <c r="BBH261" s="694"/>
      <c r="BBI261" s="694"/>
      <c r="BBJ261" s="694"/>
      <c r="BBK261" s="694"/>
      <c r="BBL261" s="694"/>
      <c r="BBM261" s="694"/>
      <c r="BBN261" s="694"/>
      <c r="BBO261" s="694"/>
      <c r="BBP261" s="717"/>
      <c r="BBQ261" s="694"/>
      <c r="BBR261" s="694"/>
      <c r="BBS261" s="694"/>
      <c r="BBT261" s="694"/>
      <c r="BBU261" s="694"/>
      <c r="BBV261" s="694"/>
      <c r="BBW261" s="694"/>
      <c r="BBX261" s="694"/>
      <c r="BBY261" s="694"/>
      <c r="BBZ261" s="694"/>
      <c r="BCA261" s="694"/>
      <c r="BCB261" s="694"/>
      <c r="BCC261" s="694"/>
      <c r="BCD261" s="694"/>
      <c r="BCE261" s="694"/>
      <c r="BCF261" s="694"/>
      <c r="BCG261" s="694"/>
      <c r="BCH261" s="694"/>
      <c r="BCI261" s="694"/>
      <c r="BCJ261" s="717"/>
      <c r="BCK261" s="694"/>
      <c r="BCL261" s="694"/>
      <c r="BCM261" s="694"/>
      <c r="BCN261" s="694"/>
      <c r="BCO261" s="694"/>
      <c r="BCP261" s="694"/>
      <c r="BCQ261" s="694"/>
      <c r="BCR261" s="694"/>
      <c r="BCS261" s="694"/>
      <c r="BCT261" s="694"/>
      <c r="BCU261" s="694"/>
      <c r="BCV261" s="694"/>
      <c r="BCW261" s="694"/>
      <c r="BCX261" s="694"/>
      <c r="BCY261" s="694"/>
      <c r="BCZ261" s="694"/>
      <c r="BDA261" s="694"/>
      <c r="BDB261" s="694"/>
      <c r="BDC261" s="694"/>
      <c r="BDD261" s="717"/>
      <c r="BDE261" s="694"/>
      <c r="BDF261" s="694"/>
      <c r="BDG261" s="694"/>
      <c r="BDH261" s="694"/>
      <c r="BDI261" s="694"/>
      <c r="BDJ261" s="694"/>
      <c r="BDK261" s="694"/>
      <c r="BDL261" s="694"/>
      <c r="BDM261" s="694"/>
      <c r="BDN261" s="694"/>
      <c r="BDO261" s="694"/>
      <c r="BDP261" s="694"/>
      <c r="BDQ261" s="694"/>
      <c r="BDR261" s="694"/>
      <c r="BDS261" s="694"/>
      <c r="BDT261" s="694"/>
      <c r="BDU261" s="694"/>
      <c r="BDV261" s="694"/>
      <c r="BDW261" s="694"/>
      <c r="BDX261" s="717"/>
      <c r="BDY261" s="694"/>
      <c r="BDZ261" s="694"/>
      <c r="BEA261" s="694"/>
      <c r="BEB261" s="694"/>
      <c r="BEC261" s="694"/>
      <c r="BED261" s="694"/>
      <c r="BEE261" s="694"/>
      <c r="BEF261" s="694"/>
      <c r="BEG261" s="694"/>
      <c r="BEH261" s="694"/>
      <c r="BEI261" s="694"/>
      <c r="BEJ261" s="694"/>
      <c r="BEK261" s="694"/>
      <c r="BEL261" s="694"/>
      <c r="BEM261" s="694"/>
      <c r="BEN261" s="694"/>
      <c r="BEO261" s="694"/>
      <c r="BEP261" s="694"/>
      <c r="BEQ261" s="694"/>
      <c r="BER261" s="717"/>
      <c r="BES261" s="694"/>
      <c r="BET261" s="694"/>
      <c r="BEU261" s="694"/>
      <c r="BEV261" s="694"/>
      <c r="BEW261" s="694"/>
      <c r="BEX261" s="694"/>
      <c r="BEY261" s="694"/>
      <c r="BEZ261" s="694"/>
      <c r="BFA261" s="694"/>
      <c r="BFB261" s="694"/>
      <c r="BFC261" s="694"/>
      <c r="BFD261" s="694"/>
      <c r="BFE261" s="694"/>
      <c r="BFF261" s="694"/>
      <c r="BFG261" s="694"/>
      <c r="BFH261" s="694"/>
      <c r="BFI261" s="694"/>
      <c r="BFJ261" s="694"/>
      <c r="BFK261" s="694"/>
      <c r="BFL261" s="717"/>
      <c r="BFM261" s="694"/>
      <c r="BFN261" s="694"/>
      <c r="BFO261" s="694"/>
      <c r="BFP261" s="694"/>
      <c r="BFQ261" s="694"/>
      <c r="BFR261" s="694"/>
      <c r="BFS261" s="694"/>
      <c r="BFT261" s="694"/>
      <c r="BFU261" s="694"/>
      <c r="BFV261" s="694"/>
      <c r="BFW261" s="694"/>
      <c r="BFX261" s="694"/>
      <c r="BFY261" s="694"/>
      <c r="BFZ261" s="694"/>
      <c r="BGA261" s="694"/>
      <c r="BGB261" s="694"/>
      <c r="BGC261" s="694"/>
      <c r="BGD261" s="694"/>
      <c r="BGE261" s="694"/>
      <c r="BGF261" s="717"/>
      <c r="BGG261" s="694"/>
      <c r="BGH261" s="694"/>
      <c r="BGI261" s="694"/>
      <c r="BGJ261" s="694"/>
      <c r="BGK261" s="694"/>
      <c r="BGL261" s="694"/>
      <c r="BGM261" s="694"/>
      <c r="BGN261" s="694"/>
      <c r="BGO261" s="694"/>
      <c r="BGP261" s="694"/>
      <c r="BGQ261" s="694"/>
      <c r="BGR261" s="694"/>
      <c r="BGS261" s="694"/>
      <c r="BGT261" s="694"/>
      <c r="BGU261" s="694"/>
      <c r="BGV261" s="694"/>
      <c r="BGW261" s="694"/>
      <c r="BGX261" s="694"/>
      <c r="BGY261" s="694"/>
      <c r="BGZ261" s="717"/>
      <c r="BHA261" s="694"/>
      <c r="BHB261" s="694"/>
      <c r="BHC261" s="694"/>
      <c r="BHD261" s="694"/>
      <c r="BHE261" s="694"/>
      <c r="BHF261" s="694"/>
      <c r="BHG261" s="694"/>
      <c r="BHH261" s="694"/>
      <c r="BHI261" s="694"/>
      <c r="BHJ261" s="694"/>
      <c r="BHK261" s="694"/>
      <c r="BHL261" s="694"/>
      <c r="BHM261" s="694"/>
      <c r="BHN261" s="694"/>
      <c r="BHO261" s="694"/>
      <c r="BHP261" s="694"/>
      <c r="BHQ261" s="694"/>
      <c r="BHR261" s="694"/>
      <c r="BHS261" s="694"/>
      <c r="BHT261" s="717"/>
      <c r="BHU261" s="694"/>
      <c r="BHV261" s="694"/>
      <c r="BHW261" s="694"/>
      <c r="BHX261" s="694"/>
      <c r="BHY261" s="694"/>
      <c r="BHZ261" s="694"/>
      <c r="BIA261" s="694"/>
      <c r="BIB261" s="694"/>
      <c r="BIC261" s="694"/>
      <c r="BID261" s="694"/>
      <c r="BIE261" s="694"/>
      <c r="BIF261" s="694"/>
      <c r="BIG261" s="694"/>
      <c r="BIH261" s="694"/>
      <c r="BII261" s="694"/>
      <c r="BIJ261" s="694"/>
      <c r="BIK261" s="694"/>
      <c r="BIL261" s="694"/>
      <c r="BIM261" s="694"/>
      <c r="BIN261" s="717"/>
      <c r="BIO261" s="694"/>
      <c r="BIP261" s="694"/>
      <c r="BIQ261" s="694"/>
      <c r="BIR261" s="694"/>
      <c r="BIS261" s="694"/>
      <c r="BIT261" s="694"/>
      <c r="BIU261" s="694"/>
      <c r="BIV261" s="694"/>
      <c r="BIW261" s="694"/>
      <c r="BIX261" s="694"/>
      <c r="BIY261" s="694"/>
      <c r="BIZ261" s="694"/>
      <c r="BJA261" s="694"/>
      <c r="BJB261" s="694"/>
      <c r="BJC261" s="694"/>
      <c r="BJD261" s="694"/>
      <c r="BJE261" s="694"/>
      <c r="BJF261" s="694"/>
      <c r="BJG261" s="694"/>
      <c r="BJH261" s="717"/>
      <c r="BJI261" s="694"/>
      <c r="BJJ261" s="694"/>
      <c r="BJK261" s="694"/>
      <c r="BJL261" s="694"/>
      <c r="BJM261" s="694"/>
      <c r="BJN261" s="694"/>
      <c r="BJO261" s="694"/>
      <c r="BJP261" s="694"/>
      <c r="BJQ261" s="694"/>
      <c r="BJR261" s="694"/>
      <c r="BJS261" s="694"/>
      <c r="BJT261" s="694"/>
      <c r="BJU261" s="694"/>
      <c r="BJV261" s="694"/>
      <c r="BJW261" s="694"/>
      <c r="BJX261" s="694"/>
      <c r="BJY261" s="694"/>
      <c r="BJZ261" s="694"/>
      <c r="BKA261" s="694"/>
      <c r="BKB261" s="717"/>
      <c r="BKC261" s="694"/>
      <c r="BKD261" s="694"/>
      <c r="BKE261" s="694"/>
      <c r="BKF261" s="694"/>
      <c r="BKG261" s="694"/>
      <c r="BKH261" s="694"/>
      <c r="BKI261" s="694"/>
      <c r="BKJ261" s="694"/>
      <c r="BKK261" s="694"/>
      <c r="BKL261" s="694"/>
      <c r="BKM261" s="694"/>
      <c r="BKN261" s="694"/>
      <c r="BKO261" s="694"/>
      <c r="BKP261" s="694"/>
      <c r="BKQ261" s="694"/>
      <c r="BKR261" s="694"/>
      <c r="BKS261" s="694"/>
      <c r="BKT261" s="694"/>
      <c r="BKU261" s="694"/>
      <c r="BKV261" s="717"/>
      <c r="BKW261" s="694"/>
      <c r="BKX261" s="694"/>
      <c r="BKY261" s="694"/>
      <c r="BKZ261" s="694"/>
      <c r="BLA261" s="694"/>
      <c r="BLB261" s="694"/>
      <c r="BLC261" s="694"/>
      <c r="BLD261" s="694"/>
      <c r="BLE261" s="694"/>
      <c r="BLF261" s="694"/>
      <c r="BLG261" s="694"/>
      <c r="BLH261" s="694"/>
      <c r="BLI261" s="694"/>
      <c r="BLJ261" s="694"/>
      <c r="BLK261" s="694"/>
      <c r="BLL261" s="694"/>
      <c r="BLM261" s="694"/>
      <c r="BLN261" s="694"/>
      <c r="BLO261" s="694"/>
      <c r="BLP261" s="717"/>
      <c r="BLQ261" s="694"/>
      <c r="BLR261" s="694"/>
      <c r="BLS261" s="694"/>
      <c r="BLT261" s="694"/>
      <c r="BLU261" s="694"/>
      <c r="BLV261" s="694"/>
      <c r="BLW261" s="694"/>
      <c r="BLX261" s="694"/>
      <c r="BLY261" s="694"/>
      <c r="BLZ261" s="694"/>
      <c r="BMA261" s="694"/>
      <c r="BMB261" s="694"/>
      <c r="BMC261" s="694"/>
      <c r="BMD261" s="694"/>
      <c r="BME261" s="694"/>
      <c r="BMF261" s="694"/>
      <c r="BMG261" s="694"/>
      <c r="BMH261" s="694"/>
      <c r="BMI261" s="694"/>
      <c r="BMJ261" s="717"/>
      <c r="BMK261" s="694"/>
      <c r="BML261" s="694"/>
      <c r="BMM261" s="694"/>
      <c r="BMN261" s="694"/>
      <c r="BMO261" s="694"/>
      <c r="BMP261" s="694"/>
      <c r="BMQ261" s="694"/>
      <c r="BMR261" s="694"/>
      <c r="BMS261" s="694"/>
      <c r="BMT261" s="694"/>
      <c r="BMU261" s="694"/>
      <c r="BMV261" s="694"/>
      <c r="BMW261" s="694"/>
      <c r="BMX261" s="694"/>
      <c r="BMY261" s="694"/>
      <c r="BMZ261" s="694"/>
      <c r="BNA261" s="694"/>
      <c r="BNB261" s="694"/>
      <c r="BNC261" s="694"/>
      <c r="BND261" s="717"/>
      <c r="BNE261" s="694"/>
      <c r="BNF261" s="694"/>
      <c r="BNG261" s="694"/>
      <c r="BNH261" s="694"/>
      <c r="BNI261" s="694"/>
      <c r="BNJ261" s="694"/>
      <c r="BNK261" s="694"/>
      <c r="BNL261" s="694"/>
      <c r="BNM261" s="694"/>
      <c r="BNN261" s="694"/>
      <c r="BNO261" s="694"/>
      <c r="BNP261" s="694"/>
      <c r="BNQ261" s="694"/>
      <c r="BNR261" s="694"/>
      <c r="BNS261" s="694"/>
      <c r="BNT261" s="694"/>
      <c r="BNU261" s="694"/>
      <c r="BNV261" s="694"/>
      <c r="BNW261" s="694"/>
      <c r="BNX261" s="717"/>
      <c r="BNY261" s="694"/>
      <c r="BNZ261" s="694"/>
      <c r="BOA261" s="694"/>
      <c r="BOB261" s="694"/>
      <c r="BOC261" s="694"/>
      <c r="BOD261" s="694"/>
      <c r="BOE261" s="694"/>
      <c r="BOF261" s="694"/>
      <c r="BOG261" s="694"/>
      <c r="BOH261" s="694"/>
      <c r="BOI261" s="694"/>
      <c r="BOJ261" s="694"/>
      <c r="BOK261" s="694"/>
      <c r="BOL261" s="694"/>
      <c r="BOM261" s="694"/>
      <c r="BON261" s="694"/>
      <c r="BOO261" s="694"/>
      <c r="BOP261" s="694"/>
      <c r="BOQ261" s="694"/>
      <c r="BOR261" s="717"/>
      <c r="BOS261" s="694"/>
      <c r="BOT261" s="694"/>
      <c r="BOU261" s="694"/>
      <c r="BOV261" s="694"/>
      <c r="BOW261" s="694"/>
      <c r="BOX261" s="694"/>
      <c r="BOY261" s="694"/>
      <c r="BOZ261" s="694"/>
      <c r="BPA261" s="694"/>
      <c r="BPB261" s="694"/>
      <c r="BPC261" s="694"/>
      <c r="BPD261" s="694"/>
      <c r="BPE261" s="694"/>
      <c r="BPF261" s="694"/>
      <c r="BPG261" s="694"/>
      <c r="BPH261" s="694"/>
      <c r="BPI261" s="694"/>
      <c r="BPJ261" s="694"/>
      <c r="BPK261" s="694"/>
      <c r="BPL261" s="717"/>
      <c r="BPM261" s="694"/>
      <c r="BPN261" s="694"/>
      <c r="BPO261" s="694"/>
      <c r="BPP261" s="694"/>
      <c r="BPQ261" s="694"/>
      <c r="BPR261" s="694"/>
      <c r="BPS261" s="694"/>
      <c r="BPT261" s="694"/>
      <c r="BPU261" s="694"/>
      <c r="BPV261" s="694"/>
      <c r="BPW261" s="694"/>
      <c r="BPX261" s="694"/>
      <c r="BPY261" s="694"/>
      <c r="BPZ261" s="694"/>
      <c r="BQA261" s="694"/>
      <c r="BQB261" s="694"/>
      <c r="BQC261" s="694"/>
      <c r="BQD261" s="694"/>
      <c r="BQE261" s="694"/>
      <c r="BQF261" s="717"/>
      <c r="BQG261" s="694"/>
      <c r="BQH261" s="694"/>
      <c r="BQI261" s="694"/>
      <c r="BQJ261" s="694"/>
      <c r="BQK261" s="694"/>
      <c r="BQL261" s="694"/>
      <c r="BQM261" s="694"/>
      <c r="BQN261" s="694"/>
      <c r="BQO261" s="694"/>
      <c r="BQP261" s="694"/>
      <c r="BQQ261" s="694"/>
      <c r="BQR261" s="694"/>
      <c r="BQS261" s="694"/>
      <c r="BQT261" s="694"/>
      <c r="BQU261" s="694"/>
      <c r="BQV261" s="694"/>
      <c r="BQW261" s="694"/>
      <c r="BQX261" s="694"/>
      <c r="BQY261" s="694"/>
      <c r="BQZ261" s="717"/>
      <c r="BRA261" s="694"/>
      <c r="BRB261" s="694"/>
      <c r="BRC261" s="694"/>
      <c r="BRD261" s="694"/>
      <c r="BRE261" s="694"/>
      <c r="BRF261" s="694"/>
      <c r="BRG261" s="694"/>
      <c r="BRH261" s="694"/>
      <c r="BRI261" s="694"/>
      <c r="BRJ261" s="694"/>
      <c r="BRK261" s="694"/>
      <c r="BRL261" s="694"/>
      <c r="BRM261" s="694"/>
      <c r="BRN261" s="694"/>
      <c r="BRO261" s="694"/>
      <c r="BRP261" s="694"/>
      <c r="BRQ261" s="694"/>
      <c r="BRR261" s="694"/>
      <c r="BRS261" s="694"/>
      <c r="BRT261" s="717"/>
      <c r="BRU261" s="694"/>
      <c r="BRV261" s="694"/>
      <c r="BRW261" s="694"/>
      <c r="BRX261" s="694"/>
      <c r="BRY261" s="694"/>
      <c r="BRZ261" s="694"/>
      <c r="BSA261" s="694"/>
      <c r="BSB261" s="694"/>
      <c r="BSC261" s="694"/>
      <c r="BSD261" s="694"/>
      <c r="BSE261" s="694"/>
      <c r="BSF261" s="694"/>
      <c r="BSG261" s="694"/>
      <c r="BSH261" s="694"/>
      <c r="BSI261" s="694"/>
      <c r="BSJ261" s="694"/>
      <c r="BSK261" s="694"/>
      <c r="BSL261" s="694"/>
      <c r="BSM261" s="694"/>
      <c r="BSN261" s="717"/>
      <c r="BSO261" s="694"/>
      <c r="BSP261" s="694"/>
      <c r="BSQ261" s="694"/>
      <c r="BSR261" s="694"/>
      <c r="BSS261" s="694"/>
      <c r="BST261" s="694"/>
      <c r="BSU261" s="694"/>
      <c r="BSV261" s="694"/>
      <c r="BSW261" s="694"/>
      <c r="BSX261" s="694"/>
      <c r="BSY261" s="694"/>
      <c r="BSZ261" s="694"/>
      <c r="BTA261" s="694"/>
      <c r="BTB261" s="694"/>
      <c r="BTC261" s="694"/>
      <c r="BTD261" s="694"/>
      <c r="BTE261" s="694"/>
      <c r="BTF261" s="694"/>
      <c r="BTG261" s="694"/>
      <c r="BTH261" s="717"/>
      <c r="BTI261" s="694"/>
      <c r="BTJ261" s="694"/>
      <c r="BTK261" s="694"/>
      <c r="BTL261" s="694"/>
      <c r="BTM261" s="694"/>
      <c r="BTN261" s="694"/>
      <c r="BTO261" s="694"/>
      <c r="BTP261" s="694"/>
      <c r="BTQ261" s="694"/>
      <c r="BTR261" s="694"/>
      <c r="BTS261" s="694"/>
      <c r="BTT261" s="694"/>
      <c r="BTU261" s="694"/>
      <c r="BTV261" s="694"/>
      <c r="BTW261" s="694"/>
      <c r="BTX261" s="694"/>
      <c r="BTY261" s="694"/>
      <c r="BTZ261" s="694"/>
      <c r="BUA261" s="694"/>
      <c r="BUB261" s="717"/>
      <c r="BUC261" s="694"/>
      <c r="BUD261" s="694"/>
      <c r="BUE261" s="694"/>
      <c r="BUF261" s="694"/>
      <c r="BUG261" s="694"/>
      <c r="BUH261" s="694"/>
      <c r="BUI261" s="694"/>
      <c r="BUJ261" s="694"/>
      <c r="BUK261" s="694"/>
      <c r="BUL261" s="694"/>
      <c r="BUM261" s="694"/>
      <c r="BUN261" s="694"/>
      <c r="BUO261" s="694"/>
      <c r="BUP261" s="694"/>
      <c r="BUQ261" s="694"/>
      <c r="BUR261" s="694"/>
      <c r="BUS261" s="694"/>
      <c r="BUT261" s="694"/>
      <c r="BUU261" s="694"/>
      <c r="BUV261" s="717"/>
      <c r="BUW261" s="694"/>
      <c r="BUX261" s="694"/>
      <c r="BUY261" s="694"/>
      <c r="BUZ261" s="694"/>
      <c r="BVA261" s="694"/>
      <c r="BVB261" s="694"/>
      <c r="BVC261" s="694"/>
      <c r="BVD261" s="694"/>
      <c r="BVE261" s="694"/>
      <c r="BVF261" s="694"/>
      <c r="BVG261" s="694"/>
      <c r="BVH261" s="694"/>
      <c r="BVI261" s="694"/>
      <c r="BVJ261" s="694"/>
      <c r="BVK261" s="694"/>
      <c r="BVL261" s="694"/>
      <c r="BVM261" s="694"/>
      <c r="BVN261" s="694"/>
      <c r="BVO261" s="694"/>
      <c r="BVP261" s="717"/>
      <c r="BVQ261" s="694"/>
      <c r="BVR261" s="694"/>
      <c r="BVS261" s="694"/>
      <c r="BVT261" s="694"/>
      <c r="BVU261" s="694"/>
      <c r="BVV261" s="694"/>
      <c r="BVW261" s="694"/>
      <c r="BVX261" s="694"/>
      <c r="BVY261" s="694"/>
      <c r="BVZ261" s="694"/>
      <c r="BWA261" s="694"/>
      <c r="BWB261" s="694"/>
      <c r="BWC261" s="694"/>
      <c r="BWD261" s="694"/>
      <c r="BWE261" s="694"/>
      <c r="BWF261" s="694"/>
      <c r="BWG261" s="694"/>
      <c r="BWH261" s="694"/>
      <c r="BWI261" s="694"/>
      <c r="BWJ261" s="717"/>
      <c r="BWK261" s="694"/>
      <c r="BWL261" s="694"/>
      <c r="BWM261" s="694"/>
      <c r="BWN261" s="694"/>
      <c r="BWO261" s="694"/>
      <c r="BWP261" s="694"/>
      <c r="BWQ261" s="694"/>
      <c r="BWR261" s="694"/>
      <c r="BWS261" s="694"/>
      <c r="BWT261" s="694"/>
      <c r="BWU261" s="694"/>
      <c r="BWV261" s="694"/>
      <c r="BWW261" s="694"/>
      <c r="BWX261" s="694"/>
      <c r="BWY261" s="694"/>
      <c r="BWZ261" s="694"/>
      <c r="BXA261" s="694"/>
      <c r="BXB261" s="694"/>
      <c r="BXC261" s="694"/>
      <c r="BXD261" s="717"/>
      <c r="BXE261" s="694"/>
      <c r="BXF261" s="694"/>
      <c r="BXG261" s="694"/>
      <c r="BXH261" s="694"/>
      <c r="BXI261" s="694"/>
      <c r="BXJ261" s="694"/>
      <c r="BXK261" s="694"/>
      <c r="BXL261" s="694"/>
      <c r="BXM261" s="694"/>
      <c r="BXN261" s="694"/>
      <c r="BXO261" s="694"/>
      <c r="BXP261" s="694"/>
      <c r="BXQ261" s="694"/>
      <c r="BXR261" s="694"/>
      <c r="BXS261" s="694"/>
      <c r="BXT261" s="694"/>
      <c r="BXU261" s="694"/>
      <c r="BXV261" s="694"/>
      <c r="BXW261" s="694"/>
      <c r="BXX261" s="717"/>
      <c r="BXY261" s="694"/>
      <c r="BXZ261" s="694"/>
      <c r="BYA261" s="694"/>
      <c r="BYB261" s="694"/>
      <c r="BYC261" s="694"/>
      <c r="BYD261" s="694"/>
      <c r="BYE261" s="694"/>
      <c r="BYF261" s="694"/>
      <c r="BYG261" s="694"/>
      <c r="BYH261" s="694"/>
      <c r="BYI261" s="694"/>
      <c r="BYJ261" s="694"/>
      <c r="BYK261" s="694"/>
      <c r="BYL261" s="694"/>
      <c r="BYM261" s="694"/>
      <c r="BYN261" s="694"/>
      <c r="BYO261" s="694"/>
      <c r="BYP261" s="694"/>
      <c r="BYQ261" s="694"/>
      <c r="BYR261" s="717"/>
      <c r="BYS261" s="694"/>
      <c r="BYT261" s="694"/>
      <c r="BYU261" s="694"/>
      <c r="BYV261" s="694"/>
      <c r="BYW261" s="694"/>
      <c r="BYX261" s="694"/>
      <c r="BYY261" s="694"/>
      <c r="BYZ261" s="694"/>
      <c r="BZA261" s="694"/>
      <c r="BZB261" s="694"/>
      <c r="BZC261" s="694"/>
      <c r="BZD261" s="694"/>
      <c r="BZE261" s="694"/>
      <c r="BZF261" s="694"/>
      <c r="BZG261" s="694"/>
      <c r="BZH261" s="694"/>
      <c r="BZI261" s="694"/>
      <c r="BZJ261" s="694"/>
      <c r="BZK261" s="694"/>
      <c r="BZL261" s="717"/>
      <c r="BZM261" s="694"/>
      <c r="BZN261" s="694"/>
      <c r="BZO261" s="694"/>
      <c r="BZP261" s="694"/>
      <c r="BZQ261" s="694"/>
      <c r="BZR261" s="694"/>
      <c r="BZS261" s="694"/>
      <c r="BZT261" s="694"/>
      <c r="BZU261" s="694"/>
      <c r="BZV261" s="694"/>
      <c r="BZW261" s="694"/>
      <c r="BZX261" s="694"/>
      <c r="BZY261" s="694"/>
      <c r="BZZ261" s="694"/>
      <c r="CAA261" s="694"/>
      <c r="CAB261" s="694"/>
      <c r="CAC261" s="694"/>
      <c r="CAD261" s="694"/>
      <c r="CAE261" s="694"/>
      <c r="CAF261" s="717"/>
      <c r="CAG261" s="694"/>
      <c r="CAH261" s="694"/>
      <c r="CAI261" s="694"/>
      <c r="CAJ261" s="694"/>
      <c r="CAK261" s="694"/>
      <c r="CAL261" s="694"/>
      <c r="CAM261" s="694"/>
      <c r="CAN261" s="694"/>
      <c r="CAO261" s="694"/>
      <c r="CAP261" s="694"/>
      <c r="CAQ261" s="694"/>
      <c r="CAR261" s="694"/>
      <c r="CAS261" s="694"/>
      <c r="CAT261" s="694"/>
      <c r="CAU261" s="694"/>
      <c r="CAV261" s="694"/>
      <c r="CAW261" s="694"/>
      <c r="CAX261" s="694"/>
      <c r="CAY261" s="694"/>
      <c r="CAZ261" s="717"/>
      <c r="CBA261" s="694"/>
      <c r="CBB261" s="694"/>
      <c r="CBC261" s="694"/>
      <c r="CBD261" s="694"/>
      <c r="CBE261" s="694"/>
      <c r="CBF261" s="694"/>
      <c r="CBG261" s="694"/>
      <c r="CBH261" s="694"/>
      <c r="CBI261" s="694"/>
      <c r="CBJ261" s="694"/>
      <c r="CBK261" s="694"/>
      <c r="CBL261" s="694"/>
      <c r="CBM261" s="694"/>
      <c r="CBN261" s="694"/>
      <c r="CBO261" s="694"/>
      <c r="CBP261" s="694"/>
      <c r="CBQ261" s="694"/>
      <c r="CBR261" s="694"/>
      <c r="CBS261" s="694"/>
      <c r="CBT261" s="717"/>
      <c r="CBU261" s="694"/>
      <c r="CBV261" s="694"/>
      <c r="CBW261" s="694"/>
      <c r="CBX261" s="694"/>
      <c r="CBY261" s="694"/>
      <c r="CBZ261" s="694"/>
      <c r="CCA261" s="694"/>
      <c r="CCB261" s="694"/>
      <c r="CCC261" s="694"/>
      <c r="CCD261" s="694"/>
      <c r="CCE261" s="694"/>
      <c r="CCF261" s="694"/>
      <c r="CCG261" s="694"/>
      <c r="CCH261" s="694"/>
      <c r="CCI261" s="694"/>
      <c r="CCJ261" s="694"/>
      <c r="CCK261" s="694"/>
      <c r="CCL261" s="694"/>
      <c r="CCM261" s="694"/>
      <c r="CCN261" s="717"/>
      <c r="CCO261" s="694"/>
      <c r="CCP261" s="694"/>
      <c r="CCQ261" s="694"/>
      <c r="CCR261" s="694"/>
      <c r="CCS261" s="694"/>
      <c r="CCT261" s="694"/>
      <c r="CCU261" s="694"/>
      <c r="CCV261" s="694"/>
      <c r="CCW261" s="694"/>
      <c r="CCX261" s="694"/>
      <c r="CCY261" s="694"/>
      <c r="CCZ261" s="694"/>
      <c r="CDA261" s="694"/>
      <c r="CDB261" s="694"/>
      <c r="CDC261" s="694"/>
      <c r="CDD261" s="694"/>
      <c r="CDE261" s="694"/>
      <c r="CDF261" s="694"/>
      <c r="CDG261" s="694"/>
      <c r="CDH261" s="717"/>
      <c r="CDI261" s="694"/>
      <c r="CDJ261" s="694"/>
      <c r="CDK261" s="694"/>
      <c r="CDL261" s="694"/>
      <c r="CDM261" s="694"/>
      <c r="CDN261" s="694"/>
      <c r="CDO261" s="694"/>
      <c r="CDP261" s="694"/>
      <c r="CDQ261" s="694"/>
      <c r="CDR261" s="694"/>
      <c r="CDS261" s="694"/>
      <c r="CDT261" s="694"/>
      <c r="CDU261" s="694"/>
      <c r="CDV261" s="694"/>
      <c r="CDW261" s="694"/>
      <c r="CDX261" s="694"/>
      <c r="CDY261" s="694"/>
      <c r="CDZ261" s="694"/>
      <c r="CEA261" s="694"/>
      <c r="CEB261" s="717"/>
      <c r="CEC261" s="694"/>
      <c r="CED261" s="694"/>
      <c r="CEE261" s="694"/>
      <c r="CEF261" s="694"/>
      <c r="CEG261" s="694"/>
      <c r="CEH261" s="694"/>
      <c r="CEI261" s="694"/>
      <c r="CEJ261" s="694"/>
      <c r="CEK261" s="694"/>
      <c r="CEL261" s="694"/>
      <c r="CEM261" s="694"/>
      <c r="CEN261" s="694"/>
      <c r="CEO261" s="694"/>
      <c r="CEP261" s="694"/>
      <c r="CEQ261" s="694"/>
      <c r="CER261" s="694"/>
      <c r="CES261" s="694"/>
      <c r="CET261" s="694"/>
      <c r="CEU261" s="694"/>
      <c r="CEV261" s="717"/>
      <c r="CEW261" s="694"/>
      <c r="CEX261" s="694"/>
      <c r="CEY261" s="694"/>
      <c r="CEZ261" s="694"/>
      <c r="CFA261" s="694"/>
      <c r="CFB261" s="694"/>
      <c r="CFC261" s="694"/>
      <c r="CFD261" s="694"/>
      <c r="CFE261" s="694"/>
      <c r="CFF261" s="694"/>
      <c r="CFG261" s="694"/>
      <c r="CFH261" s="694"/>
      <c r="CFI261" s="694"/>
      <c r="CFJ261" s="694"/>
      <c r="CFK261" s="694"/>
      <c r="CFL261" s="694"/>
      <c r="CFM261" s="694"/>
      <c r="CFN261" s="694"/>
      <c r="CFO261" s="694"/>
      <c r="CFP261" s="717"/>
      <c r="CFQ261" s="694"/>
      <c r="CFR261" s="694"/>
      <c r="CFS261" s="694"/>
      <c r="CFT261" s="694"/>
      <c r="CFU261" s="694"/>
      <c r="CFV261" s="694"/>
      <c r="CFW261" s="694"/>
      <c r="CFX261" s="694"/>
      <c r="CFY261" s="694"/>
      <c r="CFZ261" s="694"/>
      <c r="CGA261" s="694"/>
      <c r="CGB261" s="694"/>
      <c r="CGC261" s="694"/>
      <c r="CGD261" s="694"/>
      <c r="CGE261" s="694"/>
      <c r="CGF261" s="694"/>
      <c r="CGG261" s="694"/>
      <c r="CGH261" s="694"/>
      <c r="CGI261" s="694"/>
      <c r="CGJ261" s="717"/>
      <c r="CGK261" s="694"/>
      <c r="CGL261" s="694"/>
      <c r="CGM261" s="694"/>
      <c r="CGN261" s="694"/>
      <c r="CGO261" s="694"/>
      <c r="CGP261" s="694"/>
      <c r="CGQ261" s="694"/>
      <c r="CGR261" s="694"/>
      <c r="CGS261" s="694"/>
      <c r="CGT261" s="694"/>
      <c r="CGU261" s="694"/>
      <c r="CGV261" s="694"/>
      <c r="CGW261" s="694"/>
      <c r="CGX261" s="694"/>
      <c r="CGY261" s="694"/>
      <c r="CGZ261" s="694"/>
      <c r="CHA261" s="694"/>
      <c r="CHB261" s="694"/>
      <c r="CHC261" s="694"/>
      <c r="CHD261" s="717"/>
      <c r="CHE261" s="694"/>
      <c r="CHF261" s="694"/>
      <c r="CHG261" s="694"/>
      <c r="CHH261" s="694"/>
      <c r="CHI261" s="694"/>
      <c r="CHJ261" s="694"/>
      <c r="CHK261" s="694"/>
      <c r="CHL261" s="694"/>
      <c r="CHM261" s="694"/>
      <c r="CHN261" s="694"/>
      <c r="CHO261" s="694"/>
      <c r="CHP261" s="694"/>
      <c r="CHQ261" s="694"/>
      <c r="CHR261" s="694"/>
      <c r="CHS261" s="694"/>
      <c r="CHT261" s="694"/>
      <c r="CHU261" s="694"/>
      <c r="CHV261" s="694"/>
      <c r="CHW261" s="694"/>
      <c r="CHX261" s="717"/>
      <c r="CHY261" s="694"/>
      <c r="CHZ261" s="694"/>
      <c r="CIA261" s="694"/>
      <c r="CIB261" s="694"/>
      <c r="CIC261" s="694"/>
      <c r="CID261" s="694"/>
      <c r="CIE261" s="694"/>
      <c r="CIF261" s="694"/>
      <c r="CIG261" s="694"/>
      <c r="CIH261" s="694"/>
      <c r="CII261" s="694"/>
      <c r="CIJ261" s="694"/>
      <c r="CIK261" s="694"/>
      <c r="CIL261" s="694"/>
      <c r="CIM261" s="694"/>
      <c r="CIN261" s="694"/>
      <c r="CIO261" s="694"/>
      <c r="CIP261" s="694"/>
      <c r="CIQ261" s="694"/>
      <c r="CIR261" s="717"/>
      <c r="CIS261" s="694"/>
      <c r="CIT261" s="694"/>
      <c r="CIU261" s="694"/>
      <c r="CIV261" s="694"/>
      <c r="CIW261" s="694"/>
      <c r="CIX261" s="694"/>
      <c r="CIY261" s="694"/>
      <c r="CIZ261" s="694"/>
      <c r="CJA261" s="694"/>
      <c r="CJB261" s="694"/>
      <c r="CJC261" s="694"/>
      <c r="CJD261" s="694"/>
      <c r="CJE261" s="694"/>
      <c r="CJF261" s="694"/>
      <c r="CJG261" s="694"/>
      <c r="CJH261" s="694"/>
      <c r="CJI261" s="694"/>
      <c r="CJJ261" s="694"/>
      <c r="CJK261" s="694"/>
      <c r="CJL261" s="717"/>
      <c r="CJM261" s="694"/>
      <c r="CJN261" s="694"/>
      <c r="CJO261" s="694"/>
      <c r="CJP261" s="694"/>
      <c r="CJQ261" s="694"/>
      <c r="CJR261" s="694"/>
      <c r="CJS261" s="694"/>
      <c r="CJT261" s="694"/>
      <c r="CJU261" s="694"/>
      <c r="CJV261" s="694"/>
      <c r="CJW261" s="694"/>
      <c r="CJX261" s="694"/>
      <c r="CJY261" s="694"/>
      <c r="CJZ261" s="694"/>
      <c r="CKA261" s="694"/>
      <c r="CKB261" s="694"/>
      <c r="CKC261" s="694"/>
      <c r="CKD261" s="694"/>
      <c r="CKE261" s="694"/>
      <c r="CKF261" s="717"/>
      <c r="CKG261" s="694"/>
      <c r="CKH261" s="694"/>
      <c r="CKI261" s="694"/>
      <c r="CKJ261" s="694"/>
      <c r="CKK261" s="694"/>
      <c r="CKL261" s="694"/>
      <c r="CKM261" s="694"/>
      <c r="CKN261" s="694"/>
      <c r="CKO261" s="694"/>
      <c r="CKP261" s="694"/>
      <c r="CKQ261" s="694"/>
      <c r="CKR261" s="694"/>
      <c r="CKS261" s="694"/>
      <c r="CKT261" s="694"/>
      <c r="CKU261" s="694"/>
      <c r="CKV261" s="694"/>
      <c r="CKW261" s="694"/>
      <c r="CKX261" s="694"/>
      <c r="CKY261" s="694"/>
      <c r="CKZ261" s="717"/>
      <c r="CLA261" s="694"/>
      <c r="CLB261" s="694"/>
      <c r="CLC261" s="694"/>
      <c r="CLD261" s="694"/>
      <c r="CLE261" s="694"/>
      <c r="CLF261" s="694"/>
      <c r="CLG261" s="694"/>
      <c r="CLH261" s="694"/>
      <c r="CLI261" s="694"/>
      <c r="CLJ261" s="694"/>
      <c r="CLK261" s="694"/>
      <c r="CLL261" s="694"/>
      <c r="CLM261" s="694"/>
      <c r="CLN261" s="694"/>
      <c r="CLO261" s="694"/>
      <c r="CLP261" s="694"/>
      <c r="CLQ261" s="694"/>
      <c r="CLR261" s="694"/>
      <c r="CLS261" s="694"/>
      <c r="CLT261" s="717"/>
      <c r="CLU261" s="694"/>
      <c r="CLV261" s="694"/>
      <c r="CLW261" s="694"/>
      <c r="CLX261" s="694"/>
      <c r="CLY261" s="694"/>
      <c r="CLZ261" s="694"/>
      <c r="CMA261" s="694"/>
      <c r="CMB261" s="694"/>
      <c r="CMC261" s="694"/>
      <c r="CMD261" s="694"/>
      <c r="CME261" s="694"/>
      <c r="CMF261" s="694"/>
      <c r="CMG261" s="694"/>
      <c r="CMH261" s="694"/>
      <c r="CMI261" s="694"/>
      <c r="CMJ261" s="694"/>
      <c r="CMK261" s="694"/>
      <c r="CML261" s="694"/>
      <c r="CMM261" s="694"/>
      <c r="CMN261" s="717"/>
      <c r="CMO261" s="694"/>
      <c r="CMP261" s="694"/>
      <c r="CMQ261" s="694"/>
      <c r="CMR261" s="694"/>
      <c r="CMS261" s="694"/>
      <c r="CMT261" s="694"/>
      <c r="CMU261" s="694"/>
      <c r="CMV261" s="694"/>
      <c r="CMW261" s="694"/>
      <c r="CMX261" s="694"/>
      <c r="CMY261" s="694"/>
      <c r="CMZ261" s="694"/>
      <c r="CNA261" s="694"/>
      <c r="CNB261" s="694"/>
      <c r="CNC261" s="694"/>
      <c r="CND261" s="694"/>
      <c r="CNE261" s="694"/>
      <c r="CNF261" s="694"/>
      <c r="CNG261" s="694"/>
      <c r="CNH261" s="717"/>
      <c r="CNI261" s="694"/>
      <c r="CNJ261" s="694"/>
      <c r="CNK261" s="694"/>
      <c r="CNL261" s="694"/>
      <c r="CNM261" s="694"/>
      <c r="CNN261" s="694"/>
      <c r="CNO261" s="694"/>
      <c r="CNP261" s="694"/>
      <c r="CNQ261" s="694"/>
      <c r="CNR261" s="694"/>
      <c r="CNS261" s="694"/>
      <c r="CNT261" s="694"/>
      <c r="CNU261" s="694"/>
      <c r="CNV261" s="694"/>
      <c r="CNW261" s="694"/>
      <c r="CNX261" s="694"/>
      <c r="CNY261" s="694"/>
      <c r="CNZ261" s="694"/>
      <c r="COA261" s="694"/>
      <c r="COB261" s="717"/>
      <c r="COC261" s="694"/>
      <c r="COD261" s="694"/>
      <c r="COE261" s="694"/>
      <c r="COF261" s="694"/>
      <c r="COG261" s="694"/>
      <c r="COH261" s="694"/>
      <c r="COI261" s="694"/>
      <c r="COJ261" s="694"/>
      <c r="COK261" s="694"/>
      <c r="COL261" s="694"/>
      <c r="COM261" s="694"/>
      <c r="CON261" s="694"/>
      <c r="COO261" s="694"/>
      <c r="COP261" s="694"/>
      <c r="COQ261" s="694"/>
      <c r="COR261" s="694"/>
      <c r="COS261" s="694"/>
      <c r="COT261" s="694"/>
      <c r="COU261" s="694"/>
      <c r="COV261" s="717"/>
      <c r="COW261" s="694"/>
      <c r="COX261" s="694"/>
      <c r="COY261" s="694"/>
      <c r="COZ261" s="694"/>
      <c r="CPA261" s="694"/>
      <c r="CPB261" s="694"/>
      <c r="CPC261" s="694"/>
      <c r="CPD261" s="694"/>
      <c r="CPE261" s="694"/>
      <c r="CPF261" s="694"/>
      <c r="CPG261" s="694"/>
      <c r="CPH261" s="694"/>
      <c r="CPI261" s="694"/>
      <c r="CPJ261" s="694"/>
      <c r="CPK261" s="694"/>
      <c r="CPL261" s="694"/>
      <c r="CPM261" s="694"/>
      <c r="CPN261" s="694"/>
      <c r="CPO261" s="694"/>
      <c r="CPP261" s="717"/>
      <c r="CPQ261" s="694"/>
      <c r="CPR261" s="694"/>
      <c r="CPS261" s="694"/>
      <c r="CPT261" s="694"/>
      <c r="CPU261" s="694"/>
      <c r="CPV261" s="694"/>
      <c r="CPW261" s="694"/>
      <c r="CPX261" s="694"/>
      <c r="CPY261" s="694"/>
      <c r="CPZ261" s="694"/>
      <c r="CQA261" s="694"/>
      <c r="CQB261" s="694"/>
      <c r="CQC261" s="694"/>
      <c r="CQD261" s="694"/>
      <c r="CQE261" s="694"/>
      <c r="CQF261" s="694"/>
      <c r="CQG261" s="694"/>
      <c r="CQH261" s="694"/>
      <c r="CQI261" s="694"/>
      <c r="CQJ261" s="717"/>
      <c r="CQK261" s="694"/>
      <c r="CQL261" s="694"/>
      <c r="CQM261" s="694"/>
      <c r="CQN261" s="694"/>
      <c r="CQO261" s="694"/>
      <c r="CQP261" s="694"/>
      <c r="CQQ261" s="694"/>
      <c r="CQR261" s="694"/>
      <c r="CQS261" s="694"/>
      <c r="CQT261" s="694"/>
      <c r="CQU261" s="694"/>
      <c r="CQV261" s="694"/>
      <c r="CQW261" s="694"/>
      <c r="CQX261" s="694"/>
      <c r="CQY261" s="694"/>
      <c r="CQZ261" s="694"/>
      <c r="CRA261" s="694"/>
      <c r="CRB261" s="694"/>
      <c r="CRC261" s="694"/>
      <c r="CRD261" s="717"/>
      <c r="CRE261" s="694"/>
      <c r="CRF261" s="694"/>
      <c r="CRG261" s="694"/>
      <c r="CRH261" s="694"/>
      <c r="CRI261" s="694"/>
      <c r="CRJ261" s="694"/>
      <c r="CRK261" s="694"/>
      <c r="CRL261" s="694"/>
      <c r="CRM261" s="694"/>
      <c r="CRN261" s="694"/>
      <c r="CRO261" s="694"/>
      <c r="CRP261" s="694"/>
      <c r="CRQ261" s="694"/>
      <c r="CRR261" s="694"/>
      <c r="CRS261" s="694"/>
      <c r="CRT261" s="694"/>
      <c r="CRU261" s="694"/>
      <c r="CRV261" s="694"/>
      <c r="CRW261" s="694"/>
      <c r="CRX261" s="717"/>
      <c r="CRY261" s="694"/>
      <c r="CRZ261" s="694"/>
      <c r="CSA261" s="694"/>
      <c r="CSB261" s="694"/>
      <c r="CSC261" s="694"/>
      <c r="CSD261" s="694"/>
      <c r="CSE261" s="694"/>
      <c r="CSF261" s="694"/>
      <c r="CSG261" s="694"/>
      <c r="CSH261" s="694"/>
      <c r="CSI261" s="694"/>
      <c r="CSJ261" s="694"/>
      <c r="CSK261" s="694"/>
      <c r="CSL261" s="694"/>
      <c r="CSM261" s="694"/>
      <c r="CSN261" s="694"/>
      <c r="CSO261" s="694"/>
      <c r="CSP261" s="694"/>
      <c r="CSQ261" s="694"/>
      <c r="CSR261" s="717"/>
      <c r="CSS261" s="694"/>
      <c r="CST261" s="694"/>
      <c r="CSU261" s="694"/>
      <c r="CSV261" s="694"/>
      <c r="CSW261" s="694"/>
      <c r="CSX261" s="694"/>
      <c r="CSY261" s="694"/>
      <c r="CSZ261" s="694"/>
      <c r="CTA261" s="694"/>
      <c r="CTB261" s="694"/>
      <c r="CTC261" s="694"/>
      <c r="CTD261" s="694"/>
      <c r="CTE261" s="694"/>
      <c r="CTF261" s="694"/>
      <c r="CTG261" s="694"/>
      <c r="CTH261" s="694"/>
      <c r="CTI261" s="694"/>
      <c r="CTJ261" s="694"/>
      <c r="CTK261" s="694"/>
      <c r="CTL261" s="717"/>
      <c r="CTM261" s="694"/>
      <c r="CTN261" s="694"/>
      <c r="CTO261" s="694"/>
      <c r="CTP261" s="694"/>
      <c r="CTQ261" s="694"/>
      <c r="CTR261" s="694"/>
      <c r="CTS261" s="694"/>
      <c r="CTT261" s="694"/>
      <c r="CTU261" s="694"/>
      <c r="CTV261" s="694"/>
      <c r="CTW261" s="694"/>
      <c r="CTX261" s="694"/>
      <c r="CTY261" s="694"/>
      <c r="CTZ261" s="694"/>
      <c r="CUA261" s="694"/>
      <c r="CUB261" s="694"/>
      <c r="CUC261" s="694"/>
      <c r="CUD261" s="694"/>
      <c r="CUE261" s="694"/>
      <c r="CUF261" s="717"/>
      <c r="CUG261" s="694"/>
      <c r="CUH261" s="694"/>
      <c r="CUI261" s="694"/>
      <c r="CUJ261" s="694"/>
      <c r="CUK261" s="694"/>
      <c r="CUL261" s="694"/>
      <c r="CUM261" s="694"/>
      <c r="CUN261" s="694"/>
      <c r="CUO261" s="694"/>
      <c r="CUP261" s="694"/>
      <c r="CUQ261" s="694"/>
      <c r="CUR261" s="694"/>
      <c r="CUS261" s="694"/>
      <c r="CUT261" s="694"/>
      <c r="CUU261" s="694"/>
      <c r="CUV261" s="694"/>
      <c r="CUW261" s="694"/>
      <c r="CUX261" s="694"/>
      <c r="CUY261" s="694"/>
      <c r="CUZ261" s="717"/>
      <c r="CVA261" s="694"/>
      <c r="CVB261" s="694"/>
      <c r="CVC261" s="694"/>
      <c r="CVD261" s="694"/>
      <c r="CVE261" s="694"/>
      <c r="CVF261" s="694"/>
      <c r="CVG261" s="694"/>
      <c r="CVH261" s="694"/>
      <c r="CVI261" s="694"/>
      <c r="CVJ261" s="694"/>
      <c r="CVK261" s="694"/>
      <c r="CVL261" s="694"/>
      <c r="CVM261" s="694"/>
      <c r="CVN261" s="694"/>
      <c r="CVO261" s="694"/>
      <c r="CVP261" s="694"/>
      <c r="CVQ261" s="694"/>
      <c r="CVR261" s="694"/>
      <c r="CVS261" s="694"/>
      <c r="CVT261" s="717"/>
      <c r="CVU261" s="694"/>
      <c r="CVV261" s="694"/>
      <c r="CVW261" s="694"/>
      <c r="CVX261" s="694"/>
      <c r="CVY261" s="694"/>
      <c r="CVZ261" s="694"/>
      <c r="CWA261" s="694"/>
      <c r="CWB261" s="694"/>
      <c r="CWC261" s="694"/>
      <c r="CWD261" s="694"/>
      <c r="CWE261" s="694"/>
      <c r="CWF261" s="694"/>
      <c r="CWG261" s="694"/>
      <c r="CWH261" s="694"/>
      <c r="CWI261" s="694"/>
      <c r="CWJ261" s="694"/>
      <c r="CWK261" s="694"/>
      <c r="CWL261" s="694"/>
      <c r="CWM261" s="694"/>
      <c r="CWN261" s="717"/>
      <c r="CWO261" s="694"/>
      <c r="CWP261" s="694"/>
      <c r="CWQ261" s="694"/>
      <c r="CWR261" s="694"/>
      <c r="CWS261" s="694"/>
      <c r="CWT261" s="694"/>
      <c r="CWU261" s="694"/>
      <c r="CWV261" s="694"/>
      <c r="CWW261" s="694"/>
      <c r="CWX261" s="694"/>
      <c r="CWY261" s="694"/>
      <c r="CWZ261" s="694"/>
      <c r="CXA261" s="694"/>
      <c r="CXB261" s="694"/>
      <c r="CXC261" s="694"/>
      <c r="CXD261" s="694"/>
      <c r="CXE261" s="694"/>
      <c r="CXF261" s="694"/>
      <c r="CXG261" s="694"/>
      <c r="CXH261" s="717"/>
      <c r="CXI261" s="694"/>
      <c r="CXJ261" s="694"/>
      <c r="CXK261" s="694"/>
      <c r="CXL261" s="694"/>
      <c r="CXM261" s="694"/>
      <c r="CXN261" s="694"/>
      <c r="CXO261" s="694"/>
      <c r="CXP261" s="694"/>
      <c r="CXQ261" s="694"/>
      <c r="CXR261" s="694"/>
      <c r="CXS261" s="694"/>
      <c r="CXT261" s="694"/>
      <c r="CXU261" s="694"/>
      <c r="CXV261" s="694"/>
      <c r="CXW261" s="694"/>
      <c r="CXX261" s="694"/>
      <c r="CXY261" s="694"/>
      <c r="CXZ261" s="694"/>
      <c r="CYA261" s="694"/>
      <c r="CYB261" s="717"/>
      <c r="CYC261" s="694"/>
      <c r="CYD261" s="694"/>
      <c r="CYE261" s="694"/>
      <c r="CYF261" s="694"/>
      <c r="CYG261" s="694"/>
      <c r="CYH261" s="694"/>
      <c r="CYI261" s="694"/>
      <c r="CYJ261" s="694"/>
      <c r="CYK261" s="694"/>
      <c r="CYL261" s="694"/>
      <c r="CYM261" s="694"/>
      <c r="CYN261" s="694"/>
      <c r="CYO261" s="694"/>
      <c r="CYP261" s="694"/>
      <c r="CYQ261" s="694"/>
      <c r="CYR261" s="694"/>
      <c r="CYS261" s="694"/>
      <c r="CYT261" s="694"/>
      <c r="CYU261" s="694"/>
      <c r="CYV261" s="717"/>
      <c r="CYW261" s="694"/>
      <c r="CYX261" s="694"/>
      <c r="CYY261" s="694"/>
      <c r="CYZ261" s="694"/>
      <c r="CZA261" s="694"/>
      <c r="CZB261" s="694"/>
      <c r="CZC261" s="694"/>
      <c r="CZD261" s="694"/>
      <c r="CZE261" s="694"/>
      <c r="CZF261" s="694"/>
      <c r="CZG261" s="694"/>
      <c r="CZH261" s="694"/>
      <c r="CZI261" s="694"/>
      <c r="CZJ261" s="694"/>
      <c r="CZK261" s="694"/>
      <c r="CZL261" s="694"/>
      <c r="CZM261" s="694"/>
      <c r="CZN261" s="694"/>
      <c r="CZO261" s="694"/>
      <c r="CZP261" s="717"/>
      <c r="CZQ261" s="694"/>
      <c r="CZR261" s="694"/>
      <c r="CZS261" s="694"/>
      <c r="CZT261" s="694"/>
      <c r="CZU261" s="694"/>
      <c r="CZV261" s="694"/>
      <c r="CZW261" s="694"/>
      <c r="CZX261" s="694"/>
      <c r="CZY261" s="694"/>
      <c r="CZZ261" s="694"/>
      <c r="DAA261" s="694"/>
      <c r="DAB261" s="694"/>
      <c r="DAC261" s="694"/>
      <c r="DAD261" s="694"/>
      <c r="DAE261" s="694"/>
      <c r="DAF261" s="694"/>
      <c r="DAG261" s="694"/>
      <c r="DAH261" s="694"/>
      <c r="DAI261" s="694"/>
      <c r="DAJ261" s="717"/>
      <c r="DAK261" s="694"/>
      <c r="DAL261" s="694"/>
      <c r="DAM261" s="694"/>
      <c r="DAN261" s="694"/>
      <c r="DAO261" s="694"/>
      <c r="DAP261" s="694"/>
      <c r="DAQ261" s="694"/>
      <c r="DAR261" s="694"/>
      <c r="DAS261" s="694"/>
      <c r="DAT261" s="694"/>
      <c r="DAU261" s="694"/>
      <c r="DAV261" s="694"/>
      <c r="DAW261" s="694"/>
      <c r="DAX261" s="694"/>
      <c r="DAY261" s="694"/>
      <c r="DAZ261" s="694"/>
      <c r="DBA261" s="694"/>
      <c r="DBB261" s="694"/>
      <c r="DBC261" s="694"/>
      <c r="DBD261" s="717"/>
      <c r="DBE261" s="694"/>
      <c r="DBF261" s="694"/>
      <c r="DBG261" s="694"/>
      <c r="DBH261" s="694"/>
      <c r="DBI261" s="694"/>
      <c r="DBJ261" s="694"/>
      <c r="DBK261" s="694"/>
      <c r="DBL261" s="694"/>
      <c r="DBM261" s="694"/>
      <c r="DBN261" s="694"/>
      <c r="DBO261" s="694"/>
      <c r="DBP261" s="694"/>
      <c r="DBQ261" s="694"/>
      <c r="DBR261" s="694"/>
      <c r="DBS261" s="694"/>
      <c r="DBT261" s="694"/>
      <c r="DBU261" s="694"/>
      <c r="DBV261" s="694"/>
      <c r="DBW261" s="694"/>
      <c r="DBX261" s="717"/>
      <c r="DBY261" s="694"/>
      <c r="DBZ261" s="694"/>
      <c r="DCA261" s="694"/>
      <c r="DCB261" s="694"/>
      <c r="DCC261" s="694"/>
      <c r="DCD261" s="694"/>
      <c r="DCE261" s="694"/>
      <c r="DCF261" s="694"/>
      <c r="DCG261" s="694"/>
      <c r="DCH261" s="694"/>
      <c r="DCI261" s="694"/>
      <c r="DCJ261" s="694"/>
      <c r="DCK261" s="694"/>
      <c r="DCL261" s="694"/>
      <c r="DCM261" s="694"/>
      <c r="DCN261" s="694"/>
      <c r="DCO261" s="694"/>
      <c r="DCP261" s="694"/>
      <c r="DCQ261" s="694"/>
      <c r="DCR261" s="717"/>
      <c r="DCS261" s="694"/>
      <c r="DCT261" s="694"/>
      <c r="DCU261" s="694"/>
      <c r="DCV261" s="694"/>
      <c r="DCW261" s="694"/>
      <c r="DCX261" s="694"/>
      <c r="DCY261" s="694"/>
      <c r="DCZ261" s="694"/>
      <c r="DDA261" s="694"/>
      <c r="DDB261" s="694"/>
      <c r="DDC261" s="694"/>
      <c r="DDD261" s="694"/>
      <c r="DDE261" s="694"/>
      <c r="DDF261" s="694"/>
      <c r="DDG261" s="694"/>
      <c r="DDH261" s="694"/>
      <c r="DDI261" s="694"/>
      <c r="DDJ261" s="694"/>
      <c r="DDK261" s="694"/>
      <c r="DDL261" s="717"/>
      <c r="DDM261" s="694"/>
      <c r="DDN261" s="694"/>
      <c r="DDO261" s="694"/>
      <c r="DDP261" s="694"/>
      <c r="DDQ261" s="694"/>
      <c r="DDR261" s="694"/>
      <c r="DDS261" s="694"/>
      <c r="DDT261" s="694"/>
      <c r="DDU261" s="694"/>
      <c r="DDV261" s="694"/>
      <c r="DDW261" s="694"/>
      <c r="DDX261" s="694"/>
      <c r="DDY261" s="694"/>
      <c r="DDZ261" s="694"/>
      <c r="DEA261" s="694"/>
      <c r="DEB261" s="694"/>
      <c r="DEC261" s="694"/>
      <c r="DED261" s="694"/>
      <c r="DEE261" s="694"/>
      <c r="DEF261" s="717"/>
      <c r="DEG261" s="694"/>
      <c r="DEH261" s="694"/>
      <c r="DEI261" s="694"/>
      <c r="DEJ261" s="694"/>
      <c r="DEK261" s="694"/>
      <c r="DEL261" s="694"/>
      <c r="DEM261" s="694"/>
      <c r="DEN261" s="694"/>
      <c r="DEO261" s="694"/>
      <c r="DEP261" s="694"/>
      <c r="DEQ261" s="694"/>
      <c r="DER261" s="694"/>
      <c r="DES261" s="694"/>
      <c r="DET261" s="694"/>
      <c r="DEU261" s="694"/>
      <c r="DEV261" s="694"/>
      <c r="DEW261" s="694"/>
      <c r="DEX261" s="694"/>
      <c r="DEY261" s="694"/>
      <c r="DEZ261" s="717"/>
      <c r="DFA261" s="694"/>
      <c r="DFB261" s="694"/>
      <c r="DFC261" s="694"/>
      <c r="DFD261" s="694"/>
      <c r="DFE261" s="694"/>
      <c r="DFF261" s="694"/>
      <c r="DFG261" s="694"/>
      <c r="DFH261" s="694"/>
      <c r="DFI261" s="694"/>
      <c r="DFJ261" s="694"/>
      <c r="DFK261" s="694"/>
      <c r="DFL261" s="694"/>
      <c r="DFM261" s="694"/>
      <c r="DFN261" s="694"/>
      <c r="DFO261" s="694"/>
      <c r="DFP261" s="694"/>
      <c r="DFQ261" s="694"/>
      <c r="DFR261" s="694"/>
      <c r="DFS261" s="694"/>
      <c r="DFT261" s="717"/>
      <c r="DFU261" s="694"/>
      <c r="DFV261" s="694"/>
      <c r="DFW261" s="694"/>
      <c r="DFX261" s="694"/>
      <c r="DFY261" s="694"/>
      <c r="DFZ261" s="694"/>
      <c r="DGA261" s="694"/>
      <c r="DGB261" s="694"/>
      <c r="DGC261" s="694"/>
      <c r="DGD261" s="694"/>
      <c r="DGE261" s="694"/>
      <c r="DGF261" s="694"/>
      <c r="DGG261" s="694"/>
      <c r="DGH261" s="694"/>
      <c r="DGI261" s="694"/>
      <c r="DGJ261" s="694"/>
      <c r="DGK261" s="694"/>
      <c r="DGL261" s="694"/>
      <c r="DGM261" s="694"/>
      <c r="DGN261" s="717"/>
      <c r="DGO261" s="694"/>
      <c r="DGP261" s="694"/>
      <c r="DGQ261" s="694"/>
      <c r="DGR261" s="694"/>
      <c r="DGS261" s="694"/>
      <c r="DGT261" s="694"/>
      <c r="DGU261" s="694"/>
      <c r="DGV261" s="694"/>
      <c r="DGW261" s="694"/>
      <c r="DGX261" s="694"/>
      <c r="DGY261" s="694"/>
      <c r="DGZ261" s="694"/>
      <c r="DHA261" s="694"/>
      <c r="DHB261" s="694"/>
      <c r="DHC261" s="694"/>
      <c r="DHD261" s="694"/>
      <c r="DHE261" s="694"/>
      <c r="DHF261" s="694"/>
      <c r="DHG261" s="694"/>
      <c r="DHH261" s="717"/>
      <c r="DHI261" s="694"/>
      <c r="DHJ261" s="694"/>
      <c r="DHK261" s="694"/>
      <c r="DHL261" s="694"/>
      <c r="DHM261" s="694"/>
      <c r="DHN261" s="694"/>
      <c r="DHO261" s="694"/>
      <c r="DHP261" s="694"/>
      <c r="DHQ261" s="694"/>
      <c r="DHR261" s="694"/>
      <c r="DHS261" s="694"/>
      <c r="DHT261" s="694"/>
      <c r="DHU261" s="694"/>
      <c r="DHV261" s="694"/>
      <c r="DHW261" s="694"/>
      <c r="DHX261" s="694"/>
      <c r="DHY261" s="694"/>
      <c r="DHZ261" s="694"/>
      <c r="DIA261" s="694"/>
      <c r="DIB261" s="717"/>
      <c r="DIC261" s="694"/>
      <c r="DID261" s="694"/>
      <c r="DIE261" s="694"/>
      <c r="DIF261" s="694"/>
      <c r="DIG261" s="694"/>
      <c r="DIH261" s="694"/>
      <c r="DII261" s="694"/>
      <c r="DIJ261" s="694"/>
      <c r="DIK261" s="694"/>
      <c r="DIL261" s="694"/>
      <c r="DIM261" s="694"/>
      <c r="DIN261" s="694"/>
      <c r="DIO261" s="694"/>
      <c r="DIP261" s="694"/>
      <c r="DIQ261" s="694"/>
      <c r="DIR261" s="694"/>
      <c r="DIS261" s="694"/>
      <c r="DIT261" s="694"/>
      <c r="DIU261" s="694"/>
      <c r="DIV261" s="717"/>
      <c r="DIW261" s="694"/>
      <c r="DIX261" s="694"/>
      <c r="DIY261" s="694"/>
      <c r="DIZ261" s="694"/>
      <c r="DJA261" s="694"/>
      <c r="DJB261" s="694"/>
      <c r="DJC261" s="694"/>
      <c r="DJD261" s="694"/>
      <c r="DJE261" s="694"/>
      <c r="DJF261" s="694"/>
      <c r="DJG261" s="694"/>
      <c r="DJH261" s="694"/>
      <c r="DJI261" s="694"/>
      <c r="DJJ261" s="694"/>
      <c r="DJK261" s="694"/>
      <c r="DJL261" s="694"/>
      <c r="DJM261" s="694"/>
      <c r="DJN261" s="694"/>
      <c r="DJO261" s="694"/>
      <c r="DJP261" s="717"/>
      <c r="DJQ261" s="694"/>
      <c r="DJR261" s="694"/>
      <c r="DJS261" s="694"/>
      <c r="DJT261" s="694"/>
      <c r="DJU261" s="694"/>
      <c r="DJV261" s="694"/>
      <c r="DJW261" s="694"/>
      <c r="DJX261" s="694"/>
      <c r="DJY261" s="694"/>
      <c r="DJZ261" s="694"/>
      <c r="DKA261" s="694"/>
      <c r="DKB261" s="694"/>
      <c r="DKC261" s="694"/>
      <c r="DKD261" s="694"/>
      <c r="DKE261" s="694"/>
      <c r="DKF261" s="694"/>
      <c r="DKG261" s="694"/>
      <c r="DKH261" s="694"/>
      <c r="DKI261" s="694"/>
      <c r="DKJ261" s="717"/>
      <c r="DKK261" s="694"/>
      <c r="DKL261" s="694"/>
      <c r="DKM261" s="694"/>
      <c r="DKN261" s="694"/>
      <c r="DKO261" s="694"/>
      <c r="DKP261" s="694"/>
      <c r="DKQ261" s="694"/>
      <c r="DKR261" s="694"/>
      <c r="DKS261" s="694"/>
      <c r="DKT261" s="694"/>
      <c r="DKU261" s="694"/>
      <c r="DKV261" s="694"/>
      <c r="DKW261" s="694"/>
      <c r="DKX261" s="694"/>
      <c r="DKY261" s="694"/>
      <c r="DKZ261" s="694"/>
      <c r="DLA261" s="694"/>
      <c r="DLB261" s="694"/>
      <c r="DLC261" s="694"/>
      <c r="DLD261" s="717"/>
      <c r="DLE261" s="694"/>
      <c r="DLF261" s="694"/>
      <c r="DLG261" s="694"/>
      <c r="DLH261" s="694"/>
      <c r="DLI261" s="694"/>
      <c r="DLJ261" s="694"/>
      <c r="DLK261" s="694"/>
      <c r="DLL261" s="694"/>
      <c r="DLM261" s="694"/>
      <c r="DLN261" s="694"/>
      <c r="DLO261" s="694"/>
      <c r="DLP261" s="694"/>
      <c r="DLQ261" s="694"/>
      <c r="DLR261" s="694"/>
      <c r="DLS261" s="694"/>
      <c r="DLT261" s="694"/>
      <c r="DLU261" s="694"/>
      <c r="DLV261" s="694"/>
      <c r="DLW261" s="694"/>
      <c r="DLX261" s="717"/>
      <c r="DLY261" s="694"/>
      <c r="DLZ261" s="694"/>
      <c r="DMA261" s="694"/>
      <c r="DMB261" s="694"/>
      <c r="DMC261" s="694"/>
      <c r="DMD261" s="694"/>
      <c r="DME261" s="694"/>
      <c r="DMF261" s="694"/>
      <c r="DMG261" s="694"/>
      <c r="DMH261" s="694"/>
      <c r="DMI261" s="694"/>
      <c r="DMJ261" s="694"/>
      <c r="DMK261" s="694"/>
      <c r="DML261" s="694"/>
      <c r="DMM261" s="694"/>
      <c r="DMN261" s="694"/>
      <c r="DMO261" s="694"/>
      <c r="DMP261" s="694"/>
      <c r="DMQ261" s="694"/>
      <c r="DMR261" s="717"/>
      <c r="DMS261" s="694"/>
      <c r="DMT261" s="694"/>
      <c r="DMU261" s="694"/>
      <c r="DMV261" s="694"/>
      <c r="DMW261" s="694"/>
      <c r="DMX261" s="694"/>
      <c r="DMY261" s="694"/>
      <c r="DMZ261" s="694"/>
      <c r="DNA261" s="694"/>
      <c r="DNB261" s="694"/>
      <c r="DNC261" s="694"/>
      <c r="DND261" s="694"/>
      <c r="DNE261" s="694"/>
      <c r="DNF261" s="694"/>
      <c r="DNG261" s="694"/>
      <c r="DNH261" s="694"/>
      <c r="DNI261" s="694"/>
      <c r="DNJ261" s="694"/>
      <c r="DNK261" s="694"/>
      <c r="DNL261" s="717"/>
      <c r="DNM261" s="694"/>
      <c r="DNN261" s="694"/>
      <c r="DNO261" s="694"/>
      <c r="DNP261" s="694"/>
      <c r="DNQ261" s="694"/>
      <c r="DNR261" s="694"/>
      <c r="DNS261" s="694"/>
      <c r="DNT261" s="694"/>
      <c r="DNU261" s="694"/>
      <c r="DNV261" s="694"/>
      <c r="DNW261" s="694"/>
      <c r="DNX261" s="694"/>
      <c r="DNY261" s="694"/>
      <c r="DNZ261" s="694"/>
      <c r="DOA261" s="694"/>
      <c r="DOB261" s="694"/>
      <c r="DOC261" s="694"/>
      <c r="DOD261" s="694"/>
      <c r="DOE261" s="694"/>
      <c r="DOF261" s="717"/>
      <c r="DOG261" s="694"/>
      <c r="DOH261" s="694"/>
      <c r="DOI261" s="694"/>
      <c r="DOJ261" s="694"/>
      <c r="DOK261" s="694"/>
      <c r="DOL261" s="694"/>
      <c r="DOM261" s="694"/>
      <c r="DON261" s="694"/>
      <c r="DOO261" s="694"/>
      <c r="DOP261" s="694"/>
      <c r="DOQ261" s="694"/>
      <c r="DOR261" s="694"/>
      <c r="DOS261" s="694"/>
      <c r="DOT261" s="694"/>
      <c r="DOU261" s="694"/>
      <c r="DOV261" s="694"/>
      <c r="DOW261" s="694"/>
      <c r="DOX261" s="694"/>
      <c r="DOY261" s="694"/>
      <c r="DOZ261" s="717"/>
      <c r="DPA261" s="694"/>
      <c r="DPB261" s="694"/>
      <c r="DPC261" s="694"/>
      <c r="DPD261" s="694"/>
      <c r="DPE261" s="694"/>
      <c r="DPF261" s="694"/>
      <c r="DPG261" s="694"/>
      <c r="DPH261" s="694"/>
      <c r="DPI261" s="694"/>
      <c r="DPJ261" s="694"/>
      <c r="DPK261" s="694"/>
      <c r="DPL261" s="694"/>
      <c r="DPM261" s="694"/>
      <c r="DPN261" s="694"/>
      <c r="DPO261" s="694"/>
      <c r="DPP261" s="694"/>
      <c r="DPQ261" s="694"/>
      <c r="DPR261" s="694"/>
      <c r="DPS261" s="694"/>
      <c r="DPT261" s="717"/>
      <c r="DPU261" s="694"/>
      <c r="DPV261" s="694"/>
      <c r="DPW261" s="694"/>
      <c r="DPX261" s="694"/>
      <c r="DPY261" s="694"/>
      <c r="DPZ261" s="694"/>
      <c r="DQA261" s="694"/>
      <c r="DQB261" s="694"/>
      <c r="DQC261" s="694"/>
      <c r="DQD261" s="694"/>
      <c r="DQE261" s="694"/>
      <c r="DQF261" s="694"/>
      <c r="DQG261" s="694"/>
      <c r="DQH261" s="694"/>
      <c r="DQI261" s="694"/>
      <c r="DQJ261" s="694"/>
      <c r="DQK261" s="694"/>
      <c r="DQL261" s="694"/>
      <c r="DQM261" s="694"/>
      <c r="DQN261" s="717"/>
      <c r="DQO261" s="694"/>
      <c r="DQP261" s="694"/>
      <c r="DQQ261" s="694"/>
      <c r="DQR261" s="694"/>
      <c r="DQS261" s="694"/>
      <c r="DQT261" s="694"/>
      <c r="DQU261" s="694"/>
      <c r="DQV261" s="694"/>
      <c r="DQW261" s="694"/>
      <c r="DQX261" s="694"/>
      <c r="DQY261" s="694"/>
      <c r="DQZ261" s="694"/>
      <c r="DRA261" s="694"/>
      <c r="DRB261" s="694"/>
      <c r="DRC261" s="694"/>
      <c r="DRD261" s="694"/>
      <c r="DRE261" s="694"/>
      <c r="DRF261" s="694"/>
      <c r="DRG261" s="694"/>
      <c r="DRH261" s="717"/>
      <c r="DRI261" s="694"/>
      <c r="DRJ261" s="694"/>
      <c r="DRK261" s="694"/>
      <c r="DRL261" s="694"/>
      <c r="DRM261" s="694"/>
      <c r="DRN261" s="694"/>
      <c r="DRO261" s="694"/>
      <c r="DRP261" s="694"/>
      <c r="DRQ261" s="694"/>
      <c r="DRR261" s="694"/>
      <c r="DRS261" s="694"/>
      <c r="DRT261" s="694"/>
      <c r="DRU261" s="694"/>
      <c r="DRV261" s="694"/>
      <c r="DRW261" s="694"/>
      <c r="DRX261" s="694"/>
      <c r="DRY261" s="694"/>
      <c r="DRZ261" s="694"/>
      <c r="DSA261" s="694"/>
      <c r="DSB261" s="717"/>
      <c r="DSC261" s="694"/>
      <c r="DSD261" s="694"/>
      <c r="DSE261" s="694"/>
      <c r="DSF261" s="694"/>
      <c r="DSG261" s="694"/>
      <c r="DSH261" s="694"/>
      <c r="DSI261" s="694"/>
      <c r="DSJ261" s="694"/>
      <c r="DSK261" s="694"/>
      <c r="DSL261" s="694"/>
      <c r="DSM261" s="694"/>
      <c r="DSN261" s="694"/>
      <c r="DSO261" s="694"/>
      <c r="DSP261" s="694"/>
      <c r="DSQ261" s="694"/>
      <c r="DSR261" s="694"/>
      <c r="DSS261" s="694"/>
      <c r="DST261" s="694"/>
      <c r="DSU261" s="694"/>
      <c r="DSV261" s="717"/>
      <c r="DSW261" s="694"/>
      <c r="DSX261" s="694"/>
      <c r="DSY261" s="694"/>
      <c r="DSZ261" s="694"/>
      <c r="DTA261" s="694"/>
      <c r="DTB261" s="694"/>
      <c r="DTC261" s="694"/>
      <c r="DTD261" s="694"/>
      <c r="DTE261" s="694"/>
      <c r="DTF261" s="694"/>
      <c r="DTG261" s="694"/>
      <c r="DTH261" s="694"/>
      <c r="DTI261" s="694"/>
      <c r="DTJ261" s="694"/>
      <c r="DTK261" s="694"/>
      <c r="DTL261" s="694"/>
      <c r="DTM261" s="694"/>
      <c r="DTN261" s="694"/>
      <c r="DTO261" s="694"/>
      <c r="DTP261" s="717"/>
      <c r="DTQ261" s="694"/>
      <c r="DTR261" s="694"/>
      <c r="DTS261" s="694"/>
      <c r="DTT261" s="694"/>
      <c r="DTU261" s="694"/>
      <c r="DTV261" s="694"/>
      <c r="DTW261" s="694"/>
      <c r="DTX261" s="694"/>
      <c r="DTY261" s="694"/>
      <c r="DTZ261" s="694"/>
      <c r="DUA261" s="694"/>
      <c r="DUB261" s="694"/>
      <c r="DUC261" s="694"/>
      <c r="DUD261" s="694"/>
      <c r="DUE261" s="694"/>
      <c r="DUF261" s="694"/>
      <c r="DUG261" s="694"/>
      <c r="DUH261" s="694"/>
      <c r="DUI261" s="694"/>
      <c r="DUJ261" s="717"/>
      <c r="DUK261" s="694"/>
      <c r="DUL261" s="694"/>
      <c r="DUM261" s="694"/>
      <c r="DUN261" s="694"/>
      <c r="DUO261" s="694"/>
      <c r="DUP261" s="694"/>
      <c r="DUQ261" s="694"/>
      <c r="DUR261" s="694"/>
      <c r="DUS261" s="694"/>
      <c r="DUT261" s="694"/>
      <c r="DUU261" s="694"/>
      <c r="DUV261" s="694"/>
      <c r="DUW261" s="694"/>
      <c r="DUX261" s="694"/>
      <c r="DUY261" s="694"/>
      <c r="DUZ261" s="694"/>
      <c r="DVA261" s="694"/>
      <c r="DVB261" s="694"/>
      <c r="DVC261" s="694"/>
      <c r="DVD261" s="717"/>
      <c r="DVE261" s="694"/>
      <c r="DVF261" s="694"/>
      <c r="DVG261" s="694"/>
      <c r="DVH261" s="694"/>
      <c r="DVI261" s="694"/>
      <c r="DVJ261" s="694"/>
      <c r="DVK261" s="694"/>
      <c r="DVL261" s="694"/>
      <c r="DVM261" s="694"/>
      <c r="DVN261" s="694"/>
      <c r="DVO261" s="694"/>
      <c r="DVP261" s="694"/>
      <c r="DVQ261" s="694"/>
      <c r="DVR261" s="694"/>
      <c r="DVS261" s="694"/>
      <c r="DVT261" s="694"/>
      <c r="DVU261" s="694"/>
      <c r="DVV261" s="694"/>
      <c r="DVW261" s="694"/>
      <c r="DVX261" s="717"/>
      <c r="DVY261" s="694"/>
      <c r="DVZ261" s="694"/>
      <c r="DWA261" s="694"/>
      <c r="DWB261" s="694"/>
      <c r="DWC261" s="694"/>
      <c r="DWD261" s="694"/>
      <c r="DWE261" s="694"/>
      <c r="DWF261" s="694"/>
      <c r="DWG261" s="694"/>
      <c r="DWH261" s="694"/>
      <c r="DWI261" s="694"/>
      <c r="DWJ261" s="694"/>
      <c r="DWK261" s="694"/>
      <c r="DWL261" s="694"/>
      <c r="DWM261" s="694"/>
      <c r="DWN261" s="694"/>
      <c r="DWO261" s="694"/>
      <c r="DWP261" s="694"/>
      <c r="DWQ261" s="694"/>
      <c r="DWR261" s="717"/>
      <c r="DWS261" s="694"/>
      <c r="DWT261" s="694"/>
      <c r="DWU261" s="694"/>
      <c r="DWV261" s="694"/>
      <c r="DWW261" s="694"/>
      <c r="DWX261" s="694"/>
      <c r="DWY261" s="694"/>
      <c r="DWZ261" s="694"/>
      <c r="DXA261" s="694"/>
      <c r="DXB261" s="694"/>
      <c r="DXC261" s="694"/>
      <c r="DXD261" s="694"/>
      <c r="DXE261" s="694"/>
      <c r="DXF261" s="694"/>
      <c r="DXG261" s="694"/>
      <c r="DXH261" s="694"/>
      <c r="DXI261" s="694"/>
      <c r="DXJ261" s="694"/>
      <c r="DXK261" s="694"/>
      <c r="DXL261" s="717"/>
      <c r="DXM261" s="694"/>
      <c r="DXN261" s="694"/>
      <c r="DXO261" s="694"/>
      <c r="DXP261" s="694"/>
      <c r="DXQ261" s="694"/>
      <c r="DXR261" s="694"/>
      <c r="DXS261" s="694"/>
      <c r="DXT261" s="694"/>
      <c r="DXU261" s="694"/>
      <c r="DXV261" s="694"/>
      <c r="DXW261" s="694"/>
      <c r="DXX261" s="694"/>
      <c r="DXY261" s="694"/>
      <c r="DXZ261" s="694"/>
      <c r="DYA261" s="694"/>
      <c r="DYB261" s="694"/>
      <c r="DYC261" s="694"/>
      <c r="DYD261" s="694"/>
      <c r="DYE261" s="694"/>
      <c r="DYF261" s="717"/>
      <c r="DYG261" s="694"/>
      <c r="DYH261" s="694"/>
      <c r="DYI261" s="694"/>
      <c r="DYJ261" s="694"/>
      <c r="DYK261" s="694"/>
      <c r="DYL261" s="694"/>
      <c r="DYM261" s="694"/>
      <c r="DYN261" s="694"/>
      <c r="DYO261" s="694"/>
      <c r="DYP261" s="694"/>
      <c r="DYQ261" s="694"/>
      <c r="DYR261" s="694"/>
      <c r="DYS261" s="694"/>
      <c r="DYT261" s="694"/>
      <c r="DYU261" s="694"/>
      <c r="DYV261" s="694"/>
      <c r="DYW261" s="694"/>
      <c r="DYX261" s="694"/>
      <c r="DYY261" s="694"/>
      <c r="DYZ261" s="717"/>
      <c r="DZA261" s="694"/>
      <c r="DZB261" s="694"/>
      <c r="DZC261" s="694"/>
      <c r="DZD261" s="694"/>
      <c r="DZE261" s="694"/>
      <c r="DZF261" s="694"/>
      <c r="DZG261" s="694"/>
      <c r="DZH261" s="694"/>
      <c r="DZI261" s="694"/>
      <c r="DZJ261" s="694"/>
      <c r="DZK261" s="694"/>
      <c r="DZL261" s="694"/>
      <c r="DZM261" s="694"/>
      <c r="DZN261" s="694"/>
      <c r="DZO261" s="694"/>
      <c r="DZP261" s="694"/>
      <c r="DZQ261" s="694"/>
      <c r="DZR261" s="694"/>
      <c r="DZS261" s="694"/>
      <c r="DZT261" s="717"/>
      <c r="DZU261" s="694"/>
      <c r="DZV261" s="694"/>
      <c r="DZW261" s="694"/>
      <c r="DZX261" s="694"/>
      <c r="DZY261" s="694"/>
      <c r="DZZ261" s="694"/>
      <c r="EAA261" s="694"/>
      <c r="EAB261" s="694"/>
      <c r="EAC261" s="694"/>
      <c r="EAD261" s="694"/>
      <c r="EAE261" s="694"/>
      <c r="EAF261" s="694"/>
      <c r="EAG261" s="694"/>
      <c r="EAH261" s="694"/>
      <c r="EAI261" s="694"/>
      <c r="EAJ261" s="694"/>
      <c r="EAK261" s="694"/>
      <c r="EAL261" s="694"/>
      <c r="EAM261" s="694"/>
      <c r="EAN261" s="717"/>
      <c r="EAO261" s="694"/>
      <c r="EAP261" s="694"/>
      <c r="EAQ261" s="694"/>
      <c r="EAR261" s="694"/>
      <c r="EAS261" s="694"/>
      <c r="EAT261" s="694"/>
      <c r="EAU261" s="694"/>
      <c r="EAV261" s="694"/>
      <c r="EAW261" s="694"/>
      <c r="EAX261" s="694"/>
      <c r="EAY261" s="694"/>
      <c r="EAZ261" s="694"/>
      <c r="EBA261" s="694"/>
      <c r="EBB261" s="694"/>
      <c r="EBC261" s="694"/>
      <c r="EBD261" s="694"/>
      <c r="EBE261" s="694"/>
      <c r="EBF261" s="694"/>
      <c r="EBG261" s="694"/>
      <c r="EBH261" s="717"/>
      <c r="EBI261" s="694"/>
      <c r="EBJ261" s="694"/>
      <c r="EBK261" s="694"/>
      <c r="EBL261" s="694"/>
      <c r="EBM261" s="694"/>
      <c r="EBN261" s="694"/>
      <c r="EBO261" s="694"/>
      <c r="EBP261" s="694"/>
      <c r="EBQ261" s="694"/>
      <c r="EBR261" s="694"/>
      <c r="EBS261" s="694"/>
      <c r="EBT261" s="694"/>
      <c r="EBU261" s="694"/>
      <c r="EBV261" s="694"/>
      <c r="EBW261" s="694"/>
      <c r="EBX261" s="694"/>
      <c r="EBY261" s="694"/>
      <c r="EBZ261" s="694"/>
      <c r="ECA261" s="694"/>
      <c r="ECB261" s="717"/>
      <c r="ECC261" s="694"/>
      <c r="ECD261" s="694"/>
      <c r="ECE261" s="694"/>
      <c r="ECF261" s="694"/>
      <c r="ECG261" s="694"/>
      <c r="ECH261" s="694"/>
      <c r="ECI261" s="694"/>
      <c r="ECJ261" s="694"/>
      <c r="ECK261" s="694"/>
      <c r="ECL261" s="694"/>
      <c r="ECM261" s="694"/>
      <c r="ECN261" s="694"/>
      <c r="ECO261" s="694"/>
      <c r="ECP261" s="694"/>
      <c r="ECQ261" s="694"/>
      <c r="ECR261" s="694"/>
      <c r="ECS261" s="694"/>
      <c r="ECT261" s="694"/>
      <c r="ECU261" s="694"/>
      <c r="ECV261" s="717"/>
      <c r="ECW261" s="694"/>
      <c r="ECX261" s="694"/>
      <c r="ECY261" s="694"/>
      <c r="ECZ261" s="694"/>
      <c r="EDA261" s="694"/>
      <c r="EDB261" s="694"/>
      <c r="EDC261" s="694"/>
      <c r="EDD261" s="694"/>
      <c r="EDE261" s="694"/>
      <c r="EDF261" s="694"/>
      <c r="EDG261" s="694"/>
      <c r="EDH261" s="694"/>
      <c r="EDI261" s="694"/>
      <c r="EDJ261" s="694"/>
      <c r="EDK261" s="694"/>
      <c r="EDL261" s="694"/>
      <c r="EDM261" s="694"/>
      <c r="EDN261" s="694"/>
      <c r="EDO261" s="694"/>
      <c r="EDP261" s="717"/>
      <c r="EDQ261" s="694"/>
      <c r="EDR261" s="694"/>
      <c r="EDS261" s="694"/>
      <c r="EDT261" s="694"/>
      <c r="EDU261" s="694"/>
      <c r="EDV261" s="694"/>
      <c r="EDW261" s="694"/>
      <c r="EDX261" s="694"/>
      <c r="EDY261" s="694"/>
      <c r="EDZ261" s="694"/>
      <c r="EEA261" s="694"/>
      <c r="EEB261" s="694"/>
      <c r="EEC261" s="694"/>
      <c r="EED261" s="694"/>
      <c r="EEE261" s="694"/>
      <c r="EEF261" s="694"/>
      <c r="EEG261" s="694"/>
      <c r="EEH261" s="694"/>
      <c r="EEI261" s="694"/>
      <c r="EEJ261" s="717"/>
      <c r="EEK261" s="694"/>
      <c r="EEL261" s="694"/>
      <c r="EEM261" s="694"/>
      <c r="EEN261" s="694"/>
      <c r="EEO261" s="694"/>
      <c r="EEP261" s="694"/>
      <c r="EEQ261" s="694"/>
      <c r="EER261" s="694"/>
      <c r="EES261" s="694"/>
      <c r="EET261" s="694"/>
      <c r="EEU261" s="694"/>
      <c r="EEV261" s="694"/>
      <c r="EEW261" s="694"/>
      <c r="EEX261" s="694"/>
      <c r="EEY261" s="694"/>
      <c r="EEZ261" s="694"/>
      <c r="EFA261" s="694"/>
      <c r="EFB261" s="694"/>
      <c r="EFC261" s="694"/>
      <c r="EFD261" s="717"/>
      <c r="EFE261" s="694"/>
      <c r="EFF261" s="694"/>
      <c r="EFG261" s="694"/>
      <c r="EFH261" s="694"/>
      <c r="EFI261" s="694"/>
      <c r="EFJ261" s="694"/>
      <c r="EFK261" s="694"/>
      <c r="EFL261" s="694"/>
      <c r="EFM261" s="694"/>
      <c r="EFN261" s="694"/>
      <c r="EFO261" s="694"/>
      <c r="EFP261" s="694"/>
      <c r="EFQ261" s="694"/>
      <c r="EFR261" s="694"/>
      <c r="EFS261" s="694"/>
      <c r="EFT261" s="694"/>
      <c r="EFU261" s="694"/>
      <c r="EFV261" s="694"/>
      <c r="EFW261" s="694"/>
      <c r="EFX261" s="717"/>
      <c r="EFY261" s="694"/>
      <c r="EFZ261" s="694"/>
      <c r="EGA261" s="694"/>
      <c r="EGB261" s="694"/>
      <c r="EGC261" s="694"/>
      <c r="EGD261" s="694"/>
      <c r="EGE261" s="694"/>
      <c r="EGF261" s="694"/>
      <c r="EGG261" s="694"/>
      <c r="EGH261" s="694"/>
      <c r="EGI261" s="694"/>
      <c r="EGJ261" s="694"/>
      <c r="EGK261" s="694"/>
      <c r="EGL261" s="694"/>
      <c r="EGM261" s="694"/>
      <c r="EGN261" s="694"/>
      <c r="EGO261" s="694"/>
      <c r="EGP261" s="694"/>
      <c r="EGQ261" s="694"/>
      <c r="EGR261" s="717"/>
      <c r="EGS261" s="694"/>
      <c r="EGT261" s="694"/>
      <c r="EGU261" s="694"/>
      <c r="EGV261" s="694"/>
      <c r="EGW261" s="694"/>
      <c r="EGX261" s="694"/>
      <c r="EGY261" s="694"/>
      <c r="EGZ261" s="694"/>
      <c r="EHA261" s="694"/>
      <c r="EHB261" s="694"/>
      <c r="EHC261" s="694"/>
      <c r="EHD261" s="694"/>
      <c r="EHE261" s="694"/>
      <c r="EHF261" s="694"/>
      <c r="EHG261" s="694"/>
      <c r="EHH261" s="694"/>
      <c r="EHI261" s="694"/>
      <c r="EHJ261" s="694"/>
      <c r="EHK261" s="694"/>
      <c r="EHL261" s="717"/>
      <c r="EHM261" s="694"/>
      <c r="EHN261" s="694"/>
      <c r="EHO261" s="694"/>
      <c r="EHP261" s="694"/>
      <c r="EHQ261" s="694"/>
      <c r="EHR261" s="694"/>
      <c r="EHS261" s="694"/>
      <c r="EHT261" s="694"/>
      <c r="EHU261" s="694"/>
      <c r="EHV261" s="694"/>
      <c r="EHW261" s="694"/>
      <c r="EHX261" s="694"/>
      <c r="EHY261" s="694"/>
      <c r="EHZ261" s="694"/>
      <c r="EIA261" s="694"/>
      <c r="EIB261" s="694"/>
      <c r="EIC261" s="694"/>
      <c r="EID261" s="694"/>
      <c r="EIE261" s="694"/>
      <c r="EIF261" s="717"/>
      <c r="EIG261" s="694"/>
      <c r="EIH261" s="694"/>
      <c r="EII261" s="694"/>
      <c r="EIJ261" s="694"/>
      <c r="EIK261" s="694"/>
      <c r="EIL261" s="694"/>
      <c r="EIM261" s="694"/>
      <c r="EIN261" s="694"/>
      <c r="EIO261" s="694"/>
      <c r="EIP261" s="694"/>
      <c r="EIQ261" s="694"/>
      <c r="EIR261" s="694"/>
      <c r="EIS261" s="694"/>
      <c r="EIT261" s="694"/>
      <c r="EIU261" s="694"/>
      <c r="EIV261" s="694"/>
      <c r="EIW261" s="694"/>
      <c r="EIX261" s="694"/>
      <c r="EIY261" s="694"/>
      <c r="EIZ261" s="717"/>
      <c r="EJA261" s="694"/>
      <c r="EJB261" s="694"/>
      <c r="EJC261" s="694"/>
      <c r="EJD261" s="694"/>
      <c r="EJE261" s="694"/>
      <c r="EJF261" s="694"/>
      <c r="EJG261" s="694"/>
      <c r="EJH261" s="694"/>
      <c r="EJI261" s="694"/>
      <c r="EJJ261" s="694"/>
      <c r="EJK261" s="694"/>
      <c r="EJL261" s="694"/>
      <c r="EJM261" s="694"/>
      <c r="EJN261" s="694"/>
      <c r="EJO261" s="694"/>
      <c r="EJP261" s="694"/>
      <c r="EJQ261" s="694"/>
      <c r="EJR261" s="694"/>
      <c r="EJS261" s="694"/>
      <c r="EJT261" s="717"/>
      <c r="EJU261" s="694"/>
      <c r="EJV261" s="694"/>
      <c r="EJW261" s="694"/>
      <c r="EJX261" s="694"/>
      <c r="EJY261" s="694"/>
      <c r="EJZ261" s="694"/>
      <c r="EKA261" s="694"/>
      <c r="EKB261" s="694"/>
      <c r="EKC261" s="694"/>
      <c r="EKD261" s="694"/>
      <c r="EKE261" s="694"/>
      <c r="EKF261" s="694"/>
      <c r="EKG261" s="694"/>
      <c r="EKH261" s="694"/>
      <c r="EKI261" s="694"/>
      <c r="EKJ261" s="694"/>
      <c r="EKK261" s="694"/>
      <c r="EKL261" s="694"/>
      <c r="EKM261" s="694"/>
      <c r="EKN261" s="717"/>
      <c r="EKO261" s="694"/>
      <c r="EKP261" s="694"/>
      <c r="EKQ261" s="694"/>
      <c r="EKR261" s="694"/>
      <c r="EKS261" s="694"/>
      <c r="EKT261" s="694"/>
      <c r="EKU261" s="694"/>
      <c r="EKV261" s="694"/>
      <c r="EKW261" s="694"/>
      <c r="EKX261" s="694"/>
      <c r="EKY261" s="694"/>
      <c r="EKZ261" s="694"/>
      <c r="ELA261" s="694"/>
      <c r="ELB261" s="694"/>
      <c r="ELC261" s="694"/>
      <c r="ELD261" s="694"/>
      <c r="ELE261" s="694"/>
      <c r="ELF261" s="694"/>
      <c r="ELG261" s="694"/>
      <c r="ELH261" s="717"/>
      <c r="ELI261" s="694"/>
      <c r="ELJ261" s="694"/>
      <c r="ELK261" s="694"/>
      <c r="ELL261" s="694"/>
      <c r="ELM261" s="694"/>
      <c r="ELN261" s="694"/>
      <c r="ELO261" s="694"/>
      <c r="ELP261" s="694"/>
      <c r="ELQ261" s="694"/>
      <c r="ELR261" s="694"/>
      <c r="ELS261" s="694"/>
      <c r="ELT261" s="694"/>
      <c r="ELU261" s="694"/>
      <c r="ELV261" s="694"/>
      <c r="ELW261" s="694"/>
      <c r="ELX261" s="694"/>
      <c r="ELY261" s="694"/>
      <c r="ELZ261" s="694"/>
      <c r="EMA261" s="694"/>
      <c r="EMB261" s="717"/>
      <c r="EMC261" s="694"/>
      <c r="EMD261" s="694"/>
      <c r="EME261" s="694"/>
      <c r="EMF261" s="694"/>
      <c r="EMG261" s="694"/>
      <c r="EMH261" s="694"/>
      <c r="EMI261" s="694"/>
      <c r="EMJ261" s="694"/>
      <c r="EMK261" s="694"/>
      <c r="EML261" s="694"/>
      <c r="EMM261" s="694"/>
      <c r="EMN261" s="694"/>
      <c r="EMO261" s="694"/>
      <c r="EMP261" s="694"/>
      <c r="EMQ261" s="694"/>
      <c r="EMR261" s="694"/>
      <c r="EMS261" s="694"/>
      <c r="EMT261" s="694"/>
      <c r="EMU261" s="694"/>
      <c r="EMV261" s="717"/>
      <c r="EMW261" s="694"/>
      <c r="EMX261" s="694"/>
      <c r="EMY261" s="694"/>
      <c r="EMZ261" s="694"/>
      <c r="ENA261" s="694"/>
      <c r="ENB261" s="694"/>
      <c r="ENC261" s="694"/>
      <c r="END261" s="694"/>
      <c r="ENE261" s="694"/>
      <c r="ENF261" s="694"/>
      <c r="ENG261" s="694"/>
      <c r="ENH261" s="694"/>
      <c r="ENI261" s="694"/>
      <c r="ENJ261" s="694"/>
      <c r="ENK261" s="694"/>
      <c r="ENL261" s="694"/>
      <c r="ENM261" s="694"/>
      <c r="ENN261" s="694"/>
      <c r="ENO261" s="694"/>
      <c r="ENP261" s="717"/>
      <c r="ENQ261" s="694"/>
      <c r="ENR261" s="694"/>
      <c r="ENS261" s="694"/>
      <c r="ENT261" s="694"/>
      <c r="ENU261" s="694"/>
      <c r="ENV261" s="694"/>
      <c r="ENW261" s="694"/>
      <c r="ENX261" s="694"/>
      <c r="ENY261" s="694"/>
      <c r="ENZ261" s="694"/>
      <c r="EOA261" s="694"/>
      <c r="EOB261" s="694"/>
      <c r="EOC261" s="694"/>
      <c r="EOD261" s="694"/>
      <c r="EOE261" s="694"/>
      <c r="EOF261" s="694"/>
      <c r="EOG261" s="694"/>
      <c r="EOH261" s="694"/>
      <c r="EOI261" s="694"/>
      <c r="EOJ261" s="717"/>
      <c r="EOK261" s="694"/>
      <c r="EOL261" s="694"/>
      <c r="EOM261" s="694"/>
      <c r="EON261" s="694"/>
      <c r="EOO261" s="694"/>
      <c r="EOP261" s="694"/>
      <c r="EOQ261" s="694"/>
      <c r="EOR261" s="694"/>
      <c r="EOS261" s="694"/>
      <c r="EOT261" s="694"/>
      <c r="EOU261" s="694"/>
      <c r="EOV261" s="694"/>
      <c r="EOW261" s="694"/>
      <c r="EOX261" s="694"/>
      <c r="EOY261" s="694"/>
      <c r="EOZ261" s="694"/>
      <c r="EPA261" s="694"/>
      <c r="EPB261" s="694"/>
      <c r="EPC261" s="694"/>
      <c r="EPD261" s="717"/>
      <c r="EPE261" s="694"/>
      <c r="EPF261" s="694"/>
      <c r="EPG261" s="694"/>
      <c r="EPH261" s="694"/>
      <c r="EPI261" s="694"/>
      <c r="EPJ261" s="694"/>
      <c r="EPK261" s="694"/>
      <c r="EPL261" s="694"/>
      <c r="EPM261" s="694"/>
      <c r="EPN261" s="694"/>
      <c r="EPO261" s="694"/>
      <c r="EPP261" s="694"/>
      <c r="EPQ261" s="694"/>
      <c r="EPR261" s="694"/>
      <c r="EPS261" s="694"/>
      <c r="EPT261" s="694"/>
      <c r="EPU261" s="694"/>
      <c r="EPV261" s="694"/>
      <c r="EPW261" s="694"/>
      <c r="EPX261" s="717"/>
      <c r="EPY261" s="694"/>
      <c r="EPZ261" s="694"/>
      <c r="EQA261" s="694"/>
      <c r="EQB261" s="694"/>
      <c r="EQC261" s="694"/>
      <c r="EQD261" s="694"/>
      <c r="EQE261" s="694"/>
      <c r="EQF261" s="694"/>
      <c r="EQG261" s="694"/>
      <c r="EQH261" s="694"/>
      <c r="EQI261" s="694"/>
      <c r="EQJ261" s="694"/>
      <c r="EQK261" s="694"/>
      <c r="EQL261" s="694"/>
      <c r="EQM261" s="694"/>
      <c r="EQN261" s="694"/>
      <c r="EQO261" s="694"/>
      <c r="EQP261" s="694"/>
      <c r="EQQ261" s="694"/>
      <c r="EQR261" s="717"/>
      <c r="EQS261" s="694"/>
      <c r="EQT261" s="694"/>
      <c r="EQU261" s="694"/>
      <c r="EQV261" s="694"/>
      <c r="EQW261" s="694"/>
      <c r="EQX261" s="694"/>
      <c r="EQY261" s="694"/>
      <c r="EQZ261" s="694"/>
      <c r="ERA261" s="694"/>
      <c r="ERB261" s="694"/>
      <c r="ERC261" s="694"/>
      <c r="ERD261" s="694"/>
      <c r="ERE261" s="694"/>
      <c r="ERF261" s="694"/>
      <c r="ERG261" s="694"/>
      <c r="ERH261" s="694"/>
      <c r="ERI261" s="694"/>
      <c r="ERJ261" s="694"/>
      <c r="ERK261" s="694"/>
      <c r="ERL261" s="717"/>
      <c r="ERM261" s="694"/>
      <c r="ERN261" s="694"/>
      <c r="ERO261" s="694"/>
      <c r="ERP261" s="694"/>
      <c r="ERQ261" s="694"/>
      <c r="ERR261" s="694"/>
      <c r="ERS261" s="694"/>
      <c r="ERT261" s="694"/>
      <c r="ERU261" s="694"/>
      <c r="ERV261" s="694"/>
      <c r="ERW261" s="694"/>
      <c r="ERX261" s="694"/>
      <c r="ERY261" s="694"/>
      <c r="ERZ261" s="694"/>
      <c r="ESA261" s="694"/>
      <c r="ESB261" s="694"/>
      <c r="ESC261" s="694"/>
      <c r="ESD261" s="694"/>
      <c r="ESE261" s="694"/>
      <c r="ESF261" s="717"/>
      <c r="ESG261" s="694"/>
      <c r="ESH261" s="694"/>
      <c r="ESI261" s="694"/>
      <c r="ESJ261" s="694"/>
      <c r="ESK261" s="694"/>
      <c r="ESL261" s="694"/>
      <c r="ESM261" s="694"/>
      <c r="ESN261" s="694"/>
      <c r="ESO261" s="694"/>
      <c r="ESP261" s="694"/>
      <c r="ESQ261" s="694"/>
      <c r="ESR261" s="694"/>
      <c r="ESS261" s="694"/>
      <c r="EST261" s="694"/>
      <c r="ESU261" s="694"/>
      <c r="ESV261" s="694"/>
      <c r="ESW261" s="694"/>
      <c r="ESX261" s="694"/>
      <c r="ESY261" s="694"/>
      <c r="ESZ261" s="717"/>
      <c r="ETA261" s="694"/>
      <c r="ETB261" s="694"/>
      <c r="ETC261" s="694"/>
      <c r="ETD261" s="694"/>
      <c r="ETE261" s="694"/>
      <c r="ETF261" s="694"/>
      <c r="ETG261" s="694"/>
      <c r="ETH261" s="694"/>
      <c r="ETI261" s="694"/>
      <c r="ETJ261" s="694"/>
      <c r="ETK261" s="694"/>
      <c r="ETL261" s="694"/>
      <c r="ETM261" s="694"/>
      <c r="ETN261" s="694"/>
      <c r="ETO261" s="694"/>
      <c r="ETP261" s="694"/>
      <c r="ETQ261" s="694"/>
      <c r="ETR261" s="694"/>
      <c r="ETS261" s="694"/>
      <c r="ETT261" s="717"/>
      <c r="ETU261" s="694"/>
      <c r="ETV261" s="694"/>
      <c r="ETW261" s="694"/>
      <c r="ETX261" s="694"/>
      <c r="ETY261" s="694"/>
      <c r="ETZ261" s="694"/>
      <c r="EUA261" s="694"/>
      <c r="EUB261" s="694"/>
      <c r="EUC261" s="694"/>
      <c r="EUD261" s="694"/>
      <c r="EUE261" s="694"/>
      <c r="EUF261" s="694"/>
      <c r="EUG261" s="694"/>
      <c r="EUH261" s="694"/>
      <c r="EUI261" s="694"/>
      <c r="EUJ261" s="694"/>
      <c r="EUK261" s="694"/>
      <c r="EUL261" s="694"/>
      <c r="EUM261" s="694"/>
      <c r="EUN261" s="717"/>
      <c r="EUO261" s="694"/>
      <c r="EUP261" s="694"/>
      <c r="EUQ261" s="694"/>
      <c r="EUR261" s="694"/>
      <c r="EUS261" s="694"/>
      <c r="EUT261" s="694"/>
      <c r="EUU261" s="694"/>
      <c r="EUV261" s="694"/>
      <c r="EUW261" s="694"/>
      <c r="EUX261" s="694"/>
      <c r="EUY261" s="694"/>
      <c r="EUZ261" s="694"/>
      <c r="EVA261" s="694"/>
      <c r="EVB261" s="694"/>
      <c r="EVC261" s="694"/>
      <c r="EVD261" s="694"/>
      <c r="EVE261" s="694"/>
      <c r="EVF261" s="694"/>
      <c r="EVG261" s="694"/>
      <c r="EVH261" s="717"/>
      <c r="EVI261" s="694"/>
      <c r="EVJ261" s="694"/>
      <c r="EVK261" s="694"/>
      <c r="EVL261" s="694"/>
      <c r="EVM261" s="694"/>
      <c r="EVN261" s="694"/>
      <c r="EVO261" s="694"/>
      <c r="EVP261" s="694"/>
      <c r="EVQ261" s="694"/>
      <c r="EVR261" s="694"/>
      <c r="EVS261" s="694"/>
      <c r="EVT261" s="694"/>
      <c r="EVU261" s="694"/>
      <c r="EVV261" s="694"/>
      <c r="EVW261" s="694"/>
      <c r="EVX261" s="694"/>
      <c r="EVY261" s="694"/>
      <c r="EVZ261" s="694"/>
      <c r="EWA261" s="694"/>
      <c r="EWB261" s="717"/>
      <c r="EWC261" s="694"/>
      <c r="EWD261" s="694"/>
      <c r="EWE261" s="694"/>
      <c r="EWF261" s="694"/>
      <c r="EWG261" s="694"/>
      <c r="EWH261" s="694"/>
      <c r="EWI261" s="694"/>
      <c r="EWJ261" s="694"/>
      <c r="EWK261" s="694"/>
      <c r="EWL261" s="694"/>
      <c r="EWM261" s="694"/>
      <c r="EWN261" s="694"/>
      <c r="EWO261" s="694"/>
      <c r="EWP261" s="694"/>
      <c r="EWQ261" s="694"/>
      <c r="EWR261" s="694"/>
      <c r="EWS261" s="694"/>
      <c r="EWT261" s="694"/>
      <c r="EWU261" s="694"/>
      <c r="EWV261" s="717"/>
      <c r="EWW261" s="694"/>
      <c r="EWX261" s="694"/>
      <c r="EWY261" s="694"/>
      <c r="EWZ261" s="694"/>
      <c r="EXA261" s="694"/>
      <c r="EXB261" s="694"/>
      <c r="EXC261" s="694"/>
      <c r="EXD261" s="694"/>
      <c r="EXE261" s="694"/>
      <c r="EXF261" s="694"/>
      <c r="EXG261" s="694"/>
      <c r="EXH261" s="694"/>
      <c r="EXI261" s="694"/>
      <c r="EXJ261" s="694"/>
      <c r="EXK261" s="694"/>
      <c r="EXL261" s="694"/>
      <c r="EXM261" s="694"/>
      <c r="EXN261" s="694"/>
      <c r="EXO261" s="694"/>
      <c r="EXP261" s="717"/>
      <c r="EXQ261" s="694"/>
      <c r="EXR261" s="694"/>
      <c r="EXS261" s="694"/>
      <c r="EXT261" s="694"/>
      <c r="EXU261" s="694"/>
      <c r="EXV261" s="694"/>
      <c r="EXW261" s="694"/>
      <c r="EXX261" s="694"/>
      <c r="EXY261" s="694"/>
      <c r="EXZ261" s="694"/>
      <c r="EYA261" s="694"/>
      <c r="EYB261" s="694"/>
      <c r="EYC261" s="694"/>
      <c r="EYD261" s="694"/>
      <c r="EYE261" s="694"/>
      <c r="EYF261" s="694"/>
      <c r="EYG261" s="694"/>
      <c r="EYH261" s="694"/>
      <c r="EYI261" s="694"/>
      <c r="EYJ261" s="717"/>
      <c r="EYK261" s="694"/>
      <c r="EYL261" s="694"/>
      <c r="EYM261" s="694"/>
      <c r="EYN261" s="694"/>
      <c r="EYO261" s="694"/>
      <c r="EYP261" s="694"/>
      <c r="EYQ261" s="694"/>
      <c r="EYR261" s="694"/>
      <c r="EYS261" s="694"/>
      <c r="EYT261" s="694"/>
      <c r="EYU261" s="694"/>
      <c r="EYV261" s="694"/>
      <c r="EYW261" s="694"/>
      <c r="EYX261" s="694"/>
      <c r="EYY261" s="694"/>
      <c r="EYZ261" s="694"/>
      <c r="EZA261" s="694"/>
      <c r="EZB261" s="694"/>
      <c r="EZC261" s="694"/>
      <c r="EZD261" s="717"/>
      <c r="EZE261" s="694"/>
      <c r="EZF261" s="694"/>
      <c r="EZG261" s="694"/>
      <c r="EZH261" s="694"/>
      <c r="EZI261" s="694"/>
      <c r="EZJ261" s="694"/>
      <c r="EZK261" s="694"/>
      <c r="EZL261" s="694"/>
      <c r="EZM261" s="694"/>
      <c r="EZN261" s="694"/>
      <c r="EZO261" s="694"/>
      <c r="EZP261" s="694"/>
      <c r="EZQ261" s="694"/>
      <c r="EZR261" s="694"/>
      <c r="EZS261" s="694"/>
      <c r="EZT261" s="694"/>
      <c r="EZU261" s="694"/>
      <c r="EZV261" s="694"/>
      <c r="EZW261" s="694"/>
      <c r="EZX261" s="717"/>
      <c r="EZY261" s="694"/>
      <c r="EZZ261" s="694"/>
      <c r="FAA261" s="694"/>
      <c r="FAB261" s="694"/>
      <c r="FAC261" s="694"/>
      <c r="FAD261" s="694"/>
      <c r="FAE261" s="694"/>
      <c r="FAF261" s="694"/>
      <c r="FAG261" s="694"/>
      <c r="FAH261" s="694"/>
      <c r="FAI261" s="694"/>
      <c r="FAJ261" s="694"/>
      <c r="FAK261" s="694"/>
      <c r="FAL261" s="694"/>
      <c r="FAM261" s="694"/>
      <c r="FAN261" s="694"/>
      <c r="FAO261" s="694"/>
      <c r="FAP261" s="694"/>
      <c r="FAQ261" s="694"/>
      <c r="FAR261" s="717"/>
      <c r="FAS261" s="694"/>
      <c r="FAT261" s="694"/>
      <c r="FAU261" s="694"/>
      <c r="FAV261" s="694"/>
      <c r="FAW261" s="694"/>
      <c r="FAX261" s="694"/>
      <c r="FAY261" s="694"/>
      <c r="FAZ261" s="694"/>
      <c r="FBA261" s="694"/>
      <c r="FBB261" s="694"/>
      <c r="FBC261" s="694"/>
      <c r="FBD261" s="694"/>
      <c r="FBE261" s="694"/>
      <c r="FBF261" s="694"/>
      <c r="FBG261" s="694"/>
      <c r="FBH261" s="694"/>
      <c r="FBI261" s="694"/>
      <c r="FBJ261" s="694"/>
      <c r="FBK261" s="694"/>
      <c r="FBL261" s="717"/>
      <c r="FBM261" s="694"/>
      <c r="FBN261" s="694"/>
      <c r="FBO261" s="694"/>
      <c r="FBP261" s="694"/>
      <c r="FBQ261" s="694"/>
      <c r="FBR261" s="694"/>
      <c r="FBS261" s="694"/>
      <c r="FBT261" s="694"/>
      <c r="FBU261" s="694"/>
      <c r="FBV261" s="694"/>
      <c r="FBW261" s="694"/>
      <c r="FBX261" s="694"/>
      <c r="FBY261" s="694"/>
      <c r="FBZ261" s="694"/>
      <c r="FCA261" s="694"/>
      <c r="FCB261" s="694"/>
      <c r="FCC261" s="694"/>
      <c r="FCD261" s="694"/>
      <c r="FCE261" s="694"/>
      <c r="FCF261" s="717"/>
      <c r="FCG261" s="694"/>
      <c r="FCH261" s="694"/>
      <c r="FCI261" s="694"/>
      <c r="FCJ261" s="694"/>
      <c r="FCK261" s="694"/>
      <c r="FCL261" s="694"/>
      <c r="FCM261" s="694"/>
      <c r="FCN261" s="694"/>
      <c r="FCO261" s="694"/>
      <c r="FCP261" s="694"/>
      <c r="FCQ261" s="694"/>
      <c r="FCR261" s="694"/>
      <c r="FCS261" s="694"/>
      <c r="FCT261" s="694"/>
      <c r="FCU261" s="694"/>
      <c r="FCV261" s="694"/>
      <c r="FCW261" s="694"/>
      <c r="FCX261" s="694"/>
      <c r="FCY261" s="694"/>
      <c r="FCZ261" s="717"/>
      <c r="FDA261" s="694"/>
      <c r="FDB261" s="694"/>
      <c r="FDC261" s="694"/>
      <c r="FDD261" s="694"/>
      <c r="FDE261" s="694"/>
      <c r="FDF261" s="694"/>
      <c r="FDG261" s="694"/>
      <c r="FDH261" s="694"/>
      <c r="FDI261" s="694"/>
      <c r="FDJ261" s="694"/>
      <c r="FDK261" s="694"/>
      <c r="FDL261" s="694"/>
      <c r="FDM261" s="694"/>
      <c r="FDN261" s="694"/>
      <c r="FDO261" s="694"/>
      <c r="FDP261" s="694"/>
      <c r="FDQ261" s="694"/>
      <c r="FDR261" s="694"/>
      <c r="FDS261" s="694"/>
      <c r="FDT261" s="717"/>
      <c r="FDU261" s="694"/>
      <c r="FDV261" s="694"/>
      <c r="FDW261" s="694"/>
      <c r="FDX261" s="694"/>
      <c r="FDY261" s="694"/>
      <c r="FDZ261" s="694"/>
      <c r="FEA261" s="694"/>
      <c r="FEB261" s="694"/>
      <c r="FEC261" s="694"/>
      <c r="FED261" s="694"/>
      <c r="FEE261" s="694"/>
      <c r="FEF261" s="694"/>
      <c r="FEG261" s="694"/>
      <c r="FEH261" s="694"/>
      <c r="FEI261" s="694"/>
      <c r="FEJ261" s="694"/>
      <c r="FEK261" s="694"/>
      <c r="FEL261" s="694"/>
      <c r="FEM261" s="694"/>
      <c r="FEN261" s="717"/>
      <c r="FEO261" s="694"/>
      <c r="FEP261" s="694"/>
      <c r="FEQ261" s="694"/>
      <c r="FER261" s="694"/>
      <c r="FES261" s="694"/>
      <c r="FET261" s="694"/>
      <c r="FEU261" s="694"/>
      <c r="FEV261" s="694"/>
      <c r="FEW261" s="694"/>
      <c r="FEX261" s="694"/>
      <c r="FEY261" s="694"/>
      <c r="FEZ261" s="694"/>
      <c r="FFA261" s="694"/>
      <c r="FFB261" s="694"/>
      <c r="FFC261" s="694"/>
      <c r="FFD261" s="694"/>
      <c r="FFE261" s="694"/>
      <c r="FFF261" s="694"/>
      <c r="FFG261" s="694"/>
      <c r="FFH261" s="717"/>
      <c r="FFI261" s="694"/>
      <c r="FFJ261" s="694"/>
      <c r="FFK261" s="694"/>
      <c r="FFL261" s="694"/>
      <c r="FFM261" s="694"/>
      <c r="FFN261" s="694"/>
      <c r="FFO261" s="694"/>
      <c r="FFP261" s="694"/>
      <c r="FFQ261" s="694"/>
      <c r="FFR261" s="694"/>
      <c r="FFS261" s="694"/>
      <c r="FFT261" s="694"/>
      <c r="FFU261" s="694"/>
      <c r="FFV261" s="694"/>
      <c r="FFW261" s="694"/>
      <c r="FFX261" s="694"/>
      <c r="FFY261" s="694"/>
      <c r="FFZ261" s="694"/>
      <c r="FGA261" s="694"/>
      <c r="FGB261" s="717"/>
      <c r="FGC261" s="694"/>
      <c r="FGD261" s="694"/>
      <c r="FGE261" s="694"/>
      <c r="FGF261" s="694"/>
      <c r="FGG261" s="694"/>
      <c r="FGH261" s="694"/>
      <c r="FGI261" s="694"/>
      <c r="FGJ261" s="694"/>
      <c r="FGK261" s="694"/>
      <c r="FGL261" s="694"/>
      <c r="FGM261" s="694"/>
      <c r="FGN261" s="694"/>
      <c r="FGO261" s="694"/>
      <c r="FGP261" s="694"/>
      <c r="FGQ261" s="694"/>
      <c r="FGR261" s="694"/>
      <c r="FGS261" s="694"/>
      <c r="FGT261" s="694"/>
      <c r="FGU261" s="694"/>
      <c r="FGV261" s="717"/>
      <c r="FGW261" s="694"/>
      <c r="FGX261" s="694"/>
      <c r="FGY261" s="694"/>
      <c r="FGZ261" s="694"/>
      <c r="FHA261" s="694"/>
      <c r="FHB261" s="694"/>
      <c r="FHC261" s="694"/>
      <c r="FHD261" s="694"/>
      <c r="FHE261" s="694"/>
      <c r="FHF261" s="694"/>
      <c r="FHG261" s="694"/>
      <c r="FHH261" s="694"/>
      <c r="FHI261" s="694"/>
      <c r="FHJ261" s="694"/>
      <c r="FHK261" s="694"/>
      <c r="FHL261" s="694"/>
      <c r="FHM261" s="694"/>
      <c r="FHN261" s="694"/>
      <c r="FHO261" s="694"/>
      <c r="FHP261" s="717"/>
      <c r="FHQ261" s="694"/>
      <c r="FHR261" s="694"/>
      <c r="FHS261" s="694"/>
      <c r="FHT261" s="694"/>
      <c r="FHU261" s="694"/>
      <c r="FHV261" s="694"/>
      <c r="FHW261" s="694"/>
      <c r="FHX261" s="694"/>
      <c r="FHY261" s="694"/>
      <c r="FHZ261" s="694"/>
      <c r="FIA261" s="694"/>
      <c r="FIB261" s="694"/>
      <c r="FIC261" s="694"/>
      <c r="FID261" s="694"/>
      <c r="FIE261" s="694"/>
      <c r="FIF261" s="694"/>
      <c r="FIG261" s="694"/>
      <c r="FIH261" s="694"/>
      <c r="FII261" s="694"/>
      <c r="FIJ261" s="717"/>
      <c r="FIK261" s="694"/>
      <c r="FIL261" s="694"/>
      <c r="FIM261" s="694"/>
      <c r="FIN261" s="694"/>
      <c r="FIO261" s="694"/>
      <c r="FIP261" s="694"/>
      <c r="FIQ261" s="694"/>
      <c r="FIR261" s="694"/>
      <c r="FIS261" s="694"/>
      <c r="FIT261" s="694"/>
      <c r="FIU261" s="694"/>
      <c r="FIV261" s="694"/>
      <c r="FIW261" s="694"/>
      <c r="FIX261" s="694"/>
      <c r="FIY261" s="694"/>
      <c r="FIZ261" s="694"/>
      <c r="FJA261" s="694"/>
      <c r="FJB261" s="694"/>
      <c r="FJC261" s="694"/>
      <c r="FJD261" s="717"/>
      <c r="FJE261" s="694"/>
      <c r="FJF261" s="694"/>
      <c r="FJG261" s="694"/>
      <c r="FJH261" s="694"/>
      <c r="FJI261" s="694"/>
      <c r="FJJ261" s="694"/>
      <c r="FJK261" s="694"/>
      <c r="FJL261" s="694"/>
      <c r="FJM261" s="694"/>
      <c r="FJN261" s="694"/>
      <c r="FJO261" s="694"/>
      <c r="FJP261" s="694"/>
      <c r="FJQ261" s="694"/>
      <c r="FJR261" s="694"/>
      <c r="FJS261" s="694"/>
      <c r="FJT261" s="694"/>
      <c r="FJU261" s="694"/>
      <c r="FJV261" s="694"/>
      <c r="FJW261" s="694"/>
      <c r="FJX261" s="717"/>
      <c r="FJY261" s="694"/>
      <c r="FJZ261" s="694"/>
      <c r="FKA261" s="694"/>
      <c r="FKB261" s="694"/>
      <c r="FKC261" s="694"/>
      <c r="FKD261" s="694"/>
      <c r="FKE261" s="694"/>
      <c r="FKF261" s="694"/>
      <c r="FKG261" s="694"/>
      <c r="FKH261" s="694"/>
      <c r="FKI261" s="694"/>
      <c r="FKJ261" s="694"/>
      <c r="FKK261" s="694"/>
      <c r="FKL261" s="694"/>
      <c r="FKM261" s="694"/>
      <c r="FKN261" s="694"/>
      <c r="FKO261" s="694"/>
      <c r="FKP261" s="694"/>
      <c r="FKQ261" s="694"/>
      <c r="FKR261" s="717"/>
      <c r="FKS261" s="694"/>
      <c r="FKT261" s="694"/>
      <c r="FKU261" s="694"/>
      <c r="FKV261" s="694"/>
      <c r="FKW261" s="694"/>
      <c r="FKX261" s="694"/>
      <c r="FKY261" s="694"/>
      <c r="FKZ261" s="694"/>
      <c r="FLA261" s="694"/>
      <c r="FLB261" s="694"/>
      <c r="FLC261" s="694"/>
      <c r="FLD261" s="694"/>
      <c r="FLE261" s="694"/>
      <c r="FLF261" s="694"/>
      <c r="FLG261" s="694"/>
      <c r="FLH261" s="694"/>
      <c r="FLI261" s="694"/>
      <c r="FLJ261" s="694"/>
      <c r="FLK261" s="694"/>
      <c r="FLL261" s="717"/>
      <c r="FLM261" s="694"/>
      <c r="FLN261" s="694"/>
      <c r="FLO261" s="694"/>
      <c r="FLP261" s="694"/>
      <c r="FLQ261" s="694"/>
      <c r="FLR261" s="694"/>
      <c r="FLS261" s="694"/>
      <c r="FLT261" s="694"/>
      <c r="FLU261" s="694"/>
      <c r="FLV261" s="694"/>
      <c r="FLW261" s="694"/>
      <c r="FLX261" s="694"/>
      <c r="FLY261" s="694"/>
      <c r="FLZ261" s="694"/>
      <c r="FMA261" s="694"/>
      <c r="FMB261" s="694"/>
      <c r="FMC261" s="694"/>
      <c r="FMD261" s="694"/>
      <c r="FME261" s="694"/>
      <c r="FMF261" s="717"/>
      <c r="FMG261" s="694"/>
      <c r="FMH261" s="694"/>
      <c r="FMI261" s="694"/>
      <c r="FMJ261" s="694"/>
      <c r="FMK261" s="694"/>
      <c r="FML261" s="694"/>
      <c r="FMM261" s="694"/>
      <c r="FMN261" s="694"/>
      <c r="FMO261" s="694"/>
      <c r="FMP261" s="694"/>
      <c r="FMQ261" s="694"/>
      <c r="FMR261" s="694"/>
      <c r="FMS261" s="694"/>
      <c r="FMT261" s="694"/>
      <c r="FMU261" s="694"/>
      <c r="FMV261" s="694"/>
      <c r="FMW261" s="694"/>
      <c r="FMX261" s="694"/>
      <c r="FMY261" s="694"/>
      <c r="FMZ261" s="717"/>
      <c r="FNA261" s="694"/>
      <c r="FNB261" s="694"/>
      <c r="FNC261" s="694"/>
      <c r="FND261" s="694"/>
      <c r="FNE261" s="694"/>
      <c r="FNF261" s="694"/>
      <c r="FNG261" s="694"/>
      <c r="FNH261" s="694"/>
      <c r="FNI261" s="694"/>
      <c r="FNJ261" s="694"/>
      <c r="FNK261" s="694"/>
      <c r="FNL261" s="694"/>
      <c r="FNM261" s="694"/>
      <c r="FNN261" s="694"/>
      <c r="FNO261" s="694"/>
      <c r="FNP261" s="694"/>
      <c r="FNQ261" s="694"/>
      <c r="FNR261" s="694"/>
      <c r="FNS261" s="694"/>
      <c r="FNT261" s="717"/>
      <c r="FNU261" s="694"/>
      <c r="FNV261" s="694"/>
      <c r="FNW261" s="694"/>
      <c r="FNX261" s="694"/>
      <c r="FNY261" s="694"/>
      <c r="FNZ261" s="694"/>
      <c r="FOA261" s="694"/>
      <c r="FOB261" s="694"/>
      <c r="FOC261" s="694"/>
      <c r="FOD261" s="694"/>
      <c r="FOE261" s="694"/>
      <c r="FOF261" s="694"/>
      <c r="FOG261" s="694"/>
      <c r="FOH261" s="694"/>
      <c r="FOI261" s="694"/>
      <c r="FOJ261" s="694"/>
      <c r="FOK261" s="694"/>
      <c r="FOL261" s="694"/>
      <c r="FOM261" s="694"/>
      <c r="FON261" s="717"/>
      <c r="FOO261" s="694"/>
      <c r="FOP261" s="694"/>
      <c r="FOQ261" s="694"/>
      <c r="FOR261" s="694"/>
      <c r="FOS261" s="694"/>
      <c r="FOT261" s="694"/>
      <c r="FOU261" s="694"/>
      <c r="FOV261" s="694"/>
      <c r="FOW261" s="694"/>
      <c r="FOX261" s="694"/>
      <c r="FOY261" s="694"/>
      <c r="FOZ261" s="694"/>
      <c r="FPA261" s="694"/>
      <c r="FPB261" s="694"/>
      <c r="FPC261" s="694"/>
      <c r="FPD261" s="694"/>
      <c r="FPE261" s="694"/>
      <c r="FPF261" s="694"/>
      <c r="FPG261" s="694"/>
      <c r="FPH261" s="717"/>
      <c r="FPI261" s="694"/>
      <c r="FPJ261" s="694"/>
      <c r="FPK261" s="694"/>
      <c r="FPL261" s="694"/>
      <c r="FPM261" s="694"/>
      <c r="FPN261" s="694"/>
      <c r="FPO261" s="694"/>
      <c r="FPP261" s="694"/>
      <c r="FPQ261" s="694"/>
      <c r="FPR261" s="694"/>
      <c r="FPS261" s="694"/>
      <c r="FPT261" s="694"/>
      <c r="FPU261" s="694"/>
      <c r="FPV261" s="694"/>
      <c r="FPW261" s="694"/>
      <c r="FPX261" s="694"/>
      <c r="FPY261" s="694"/>
      <c r="FPZ261" s="694"/>
      <c r="FQA261" s="694"/>
      <c r="FQB261" s="717"/>
      <c r="FQC261" s="694"/>
      <c r="FQD261" s="694"/>
      <c r="FQE261" s="694"/>
      <c r="FQF261" s="694"/>
      <c r="FQG261" s="694"/>
      <c r="FQH261" s="694"/>
      <c r="FQI261" s="694"/>
      <c r="FQJ261" s="694"/>
      <c r="FQK261" s="694"/>
      <c r="FQL261" s="694"/>
      <c r="FQM261" s="694"/>
      <c r="FQN261" s="694"/>
      <c r="FQO261" s="694"/>
      <c r="FQP261" s="694"/>
      <c r="FQQ261" s="694"/>
      <c r="FQR261" s="694"/>
      <c r="FQS261" s="694"/>
      <c r="FQT261" s="694"/>
      <c r="FQU261" s="694"/>
      <c r="FQV261" s="717"/>
      <c r="FQW261" s="694"/>
      <c r="FQX261" s="694"/>
      <c r="FQY261" s="694"/>
      <c r="FQZ261" s="694"/>
      <c r="FRA261" s="694"/>
      <c r="FRB261" s="694"/>
      <c r="FRC261" s="694"/>
      <c r="FRD261" s="694"/>
      <c r="FRE261" s="694"/>
      <c r="FRF261" s="694"/>
      <c r="FRG261" s="694"/>
      <c r="FRH261" s="694"/>
      <c r="FRI261" s="694"/>
      <c r="FRJ261" s="694"/>
      <c r="FRK261" s="694"/>
      <c r="FRL261" s="694"/>
      <c r="FRM261" s="694"/>
      <c r="FRN261" s="694"/>
      <c r="FRO261" s="694"/>
      <c r="FRP261" s="717"/>
      <c r="FRQ261" s="694"/>
      <c r="FRR261" s="694"/>
      <c r="FRS261" s="694"/>
      <c r="FRT261" s="694"/>
      <c r="FRU261" s="694"/>
      <c r="FRV261" s="694"/>
      <c r="FRW261" s="694"/>
      <c r="FRX261" s="694"/>
      <c r="FRY261" s="694"/>
      <c r="FRZ261" s="694"/>
      <c r="FSA261" s="694"/>
      <c r="FSB261" s="694"/>
      <c r="FSC261" s="694"/>
      <c r="FSD261" s="694"/>
      <c r="FSE261" s="694"/>
      <c r="FSF261" s="694"/>
      <c r="FSG261" s="694"/>
      <c r="FSH261" s="694"/>
      <c r="FSI261" s="694"/>
      <c r="FSJ261" s="717"/>
      <c r="FSK261" s="694"/>
      <c r="FSL261" s="694"/>
      <c r="FSM261" s="694"/>
      <c r="FSN261" s="694"/>
      <c r="FSO261" s="694"/>
      <c r="FSP261" s="694"/>
      <c r="FSQ261" s="694"/>
      <c r="FSR261" s="694"/>
      <c r="FSS261" s="694"/>
      <c r="FST261" s="694"/>
      <c r="FSU261" s="694"/>
      <c r="FSV261" s="694"/>
      <c r="FSW261" s="694"/>
      <c r="FSX261" s="694"/>
      <c r="FSY261" s="694"/>
      <c r="FSZ261" s="694"/>
      <c r="FTA261" s="694"/>
      <c r="FTB261" s="694"/>
      <c r="FTC261" s="694"/>
      <c r="FTD261" s="717"/>
      <c r="FTE261" s="694"/>
      <c r="FTF261" s="694"/>
      <c r="FTG261" s="694"/>
      <c r="FTH261" s="694"/>
      <c r="FTI261" s="694"/>
      <c r="FTJ261" s="694"/>
      <c r="FTK261" s="694"/>
      <c r="FTL261" s="694"/>
      <c r="FTM261" s="694"/>
      <c r="FTN261" s="694"/>
      <c r="FTO261" s="694"/>
      <c r="FTP261" s="694"/>
      <c r="FTQ261" s="694"/>
      <c r="FTR261" s="694"/>
      <c r="FTS261" s="694"/>
      <c r="FTT261" s="694"/>
      <c r="FTU261" s="694"/>
      <c r="FTV261" s="694"/>
      <c r="FTW261" s="694"/>
      <c r="FTX261" s="717"/>
      <c r="FTY261" s="694"/>
      <c r="FTZ261" s="694"/>
      <c r="FUA261" s="694"/>
      <c r="FUB261" s="694"/>
      <c r="FUC261" s="694"/>
      <c r="FUD261" s="694"/>
      <c r="FUE261" s="694"/>
      <c r="FUF261" s="694"/>
      <c r="FUG261" s="694"/>
      <c r="FUH261" s="694"/>
      <c r="FUI261" s="694"/>
      <c r="FUJ261" s="694"/>
      <c r="FUK261" s="694"/>
      <c r="FUL261" s="694"/>
      <c r="FUM261" s="694"/>
      <c r="FUN261" s="694"/>
      <c r="FUO261" s="694"/>
      <c r="FUP261" s="694"/>
      <c r="FUQ261" s="694"/>
      <c r="FUR261" s="717"/>
      <c r="FUS261" s="694"/>
      <c r="FUT261" s="694"/>
      <c r="FUU261" s="694"/>
      <c r="FUV261" s="694"/>
      <c r="FUW261" s="694"/>
      <c r="FUX261" s="694"/>
      <c r="FUY261" s="694"/>
      <c r="FUZ261" s="694"/>
      <c r="FVA261" s="694"/>
      <c r="FVB261" s="694"/>
      <c r="FVC261" s="694"/>
      <c r="FVD261" s="694"/>
      <c r="FVE261" s="694"/>
      <c r="FVF261" s="694"/>
      <c r="FVG261" s="694"/>
      <c r="FVH261" s="694"/>
      <c r="FVI261" s="694"/>
      <c r="FVJ261" s="694"/>
      <c r="FVK261" s="694"/>
      <c r="FVL261" s="717"/>
      <c r="FVM261" s="694"/>
      <c r="FVN261" s="694"/>
      <c r="FVO261" s="694"/>
      <c r="FVP261" s="694"/>
      <c r="FVQ261" s="694"/>
      <c r="FVR261" s="694"/>
      <c r="FVS261" s="694"/>
      <c r="FVT261" s="694"/>
      <c r="FVU261" s="694"/>
      <c r="FVV261" s="694"/>
      <c r="FVW261" s="694"/>
      <c r="FVX261" s="694"/>
      <c r="FVY261" s="694"/>
      <c r="FVZ261" s="694"/>
      <c r="FWA261" s="694"/>
      <c r="FWB261" s="694"/>
      <c r="FWC261" s="694"/>
      <c r="FWD261" s="694"/>
      <c r="FWE261" s="694"/>
      <c r="FWF261" s="717"/>
      <c r="FWG261" s="694"/>
      <c r="FWH261" s="694"/>
      <c r="FWI261" s="694"/>
      <c r="FWJ261" s="694"/>
      <c r="FWK261" s="694"/>
      <c r="FWL261" s="694"/>
      <c r="FWM261" s="694"/>
      <c r="FWN261" s="694"/>
      <c r="FWO261" s="694"/>
      <c r="FWP261" s="694"/>
      <c r="FWQ261" s="694"/>
      <c r="FWR261" s="694"/>
      <c r="FWS261" s="694"/>
      <c r="FWT261" s="694"/>
      <c r="FWU261" s="694"/>
      <c r="FWV261" s="694"/>
      <c r="FWW261" s="694"/>
      <c r="FWX261" s="694"/>
      <c r="FWY261" s="694"/>
      <c r="FWZ261" s="717"/>
      <c r="FXA261" s="694"/>
      <c r="FXB261" s="694"/>
      <c r="FXC261" s="694"/>
      <c r="FXD261" s="694"/>
      <c r="FXE261" s="694"/>
      <c r="FXF261" s="694"/>
      <c r="FXG261" s="694"/>
      <c r="FXH261" s="694"/>
      <c r="FXI261" s="694"/>
      <c r="FXJ261" s="694"/>
      <c r="FXK261" s="694"/>
      <c r="FXL261" s="694"/>
      <c r="FXM261" s="694"/>
      <c r="FXN261" s="694"/>
      <c r="FXO261" s="694"/>
      <c r="FXP261" s="694"/>
      <c r="FXQ261" s="694"/>
      <c r="FXR261" s="694"/>
      <c r="FXS261" s="694"/>
      <c r="FXT261" s="717"/>
      <c r="FXU261" s="694"/>
      <c r="FXV261" s="694"/>
      <c r="FXW261" s="694"/>
      <c r="FXX261" s="694"/>
      <c r="FXY261" s="694"/>
      <c r="FXZ261" s="694"/>
      <c r="FYA261" s="694"/>
      <c r="FYB261" s="694"/>
      <c r="FYC261" s="694"/>
      <c r="FYD261" s="694"/>
      <c r="FYE261" s="694"/>
      <c r="FYF261" s="694"/>
      <c r="FYG261" s="694"/>
      <c r="FYH261" s="694"/>
      <c r="FYI261" s="694"/>
      <c r="FYJ261" s="694"/>
      <c r="FYK261" s="694"/>
      <c r="FYL261" s="694"/>
      <c r="FYM261" s="694"/>
      <c r="FYN261" s="717"/>
      <c r="FYO261" s="694"/>
      <c r="FYP261" s="694"/>
      <c r="FYQ261" s="694"/>
      <c r="FYR261" s="694"/>
      <c r="FYS261" s="694"/>
      <c r="FYT261" s="694"/>
      <c r="FYU261" s="694"/>
      <c r="FYV261" s="694"/>
      <c r="FYW261" s="694"/>
      <c r="FYX261" s="694"/>
      <c r="FYY261" s="694"/>
      <c r="FYZ261" s="694"/>
      <c r="FZA261" s="694"/>
      <c r="FZB261" s="694"/>
      <c r="FZC261" s="694"/>
      <c r="FZD261" s="694"/>
      <c r="FZE261" s="694"/>
      <c r="FZF261" s="694"/>
      <c r="FZG261" s="694"/>
      <c r="FZH261" s="717"/>
      <c r="FZI261" s="694"/>
      <c r="FZJ261" s="694"/>
      <c r="FZK261" s="694"/>
      <c r="FZL261" s="694"/>
      <c r="FZM261" s="694"/>
      <c r="FZN261" s="694"/>
      <c r="FZO261" s="694"/>
      <c r="FZP261" s="694"/>
      <c r="FZQ261" s="694"/>
      <c r="FZR261" s="694"/>
      <c r="FZS261" s="694"/>
      <c r="FZT261" s="694"/>
      <c r="FZU261" s="694"/>
      <c r="FZV261" s="694"/>
      <c r="FZW261" s="694"/>
      <c r="FZX261" s="694"/>
      <c r="FZY261" s="694"/>
      <c r="FZZ261" s="694"/>
      <c r="GAA261" s="694"/>
      <c r="GAB261" s="717"/>
      <c r="GAC261" s="694"/>
      <c r="GAD261" s="694"/>
      <c r="GAE261" s="694"/>
      <c r="GAF261" s="694"/>
      <c r="GAG261" s="694"/>
      <c r="GAH261" s="694"/>
      <c r="GAI261" s="694"/>
      <c r="GAJ261" s="694"/>
      <c r="GAK261" s="694"/>
      <c r="GAL261" s="694"/>
      <c r="GAM261" s="694"/>
      <c r="GAN261" s="694"/>
      <c r="GAO261" s="694"/>
      <c r="GAP261" s="694"/>
      <c r="GAQ261" s="694"/>
      <c r="GAR261" s="694"/>
      <c r="GAS261" s="694"/>
      <c r="GAT261" s="694"/>
      <c r="GAU261" s="694"/>
      <c r="GAV261" s="717"/>
      <c r="GAW261" s="694"/>
      <c r="GAX261" s="694"/>
      <c r="GAY261" s="694"/>
      <c r="GAZ261" s="694"/>
      <c r="GBA261" s="694"/>
      <c r="GBB261" s="694"/>
      <c r="GBC261" s="694"/>
      <c r="GBD261" s="694"/>
      <c r="GBE261" s="694"/>
      <c r="GBF261" s="694"/>
      <c r="GBG261" s="694"/>
      <c r="GBH261" s="694"/>
      <c r="GBI261" s="694"/>
      <c r="GBJ261" s="694"/>
      <c r="GBK261" s="694"/>
      <c r="GBL261" s="694"/>
      <c r="GBM261" s="694"/>
      <c r="GBN261" s="694"/>
      <c r="GBO261" s="694"/>
      <c r="GBP261" s="717"/>
      <c r="GBQ261" s="694"/>
      <c r="GBR261" s="694"/>
      <c r="GBS261" s="694"/>
      <c r="GBT261" s="694"/>
      <c r="GBU261" s="694"/>
      <c r="GBV261" s="694"/>
      <c r="GBW261" s="694"/>
      <c r="GBX261" s="694"/>
      <c r="GBY261" s="694"/>
      <c r="GBZ261" s="694"/>
      <c r="GCA261" s="694"/>
      <c r="GCB261" s="694"/>
      <c r="GCC261" s="694"/>
      <c r="GCD261" s="694"/>
      <c r="GCE261" s="694"/>
      <c r="GCF261" s="694"/>
      <c r="GCG261" s="694"/>
      <c r="GCH261" s="694"/>
      <c r="GCI261" s="694"/>
      <c r="GCJ261" s="717"/>
      <c r="GCK261" s="694"/>
      <c r="GCL261" s="694"/>
      <c r="GCM261" s="694"/>
      <c r="GCN261" s="694"/>
      <c r="GCO261" s="694"/>
      <c r="GCP261" s="694"/>
      <c r="GCQ261" s="694"/>
      <c r="GCR261" s="694"/>
      <c r="GCS261" s="694"/>
      <c r="GCT261" s="694"/>
      <c r="GCU261" s="694"/>
      <c r="GCV261" s="694"/>
      <c r="GCW261" s="694"/>
      <c r="GCX261" s="694"/>
      <c r="GCY261" s="694"/>
      <c r="GCZ261" s="694"/>
      <c r="GDA261" s="694"/>
      <c r="GDB261" s="694"/>
      <c r="GDC261" s="694"/>
      <c r="GDD261" s="717"/>
      <c r="GDE261" s="694"/>
      <c r="GDF261" s="694"/>
      <c r="GDG261" s="694"/>
      <c r="GDH261" s="694"/>
      <c r="GDI261" s="694"/>
      <c r="GDJ261" s="694"/>
      <c r="GDK261" s="694"/>
      <c r="GDL261" s="694"/>
      <c r="GDM261" s="694"/>
      <c r="GDN261" s="694"/>
      <c r="GDO261" s="694"/>
      <c r="GDP261" s="694"/>
      <c r="GDQ261" s="694"/>
      <c r="GDR261" s="694"/>
      <c r="GDS261" s="694"/>
      <c r="GDT261" s="694"/>
      <c r="GDU261" s="694"/>
      <c r="GDV261" s="694"/>
      <c r="GDW261" s="694"/>
      <c r="GDX261" s="717"/>
      <c r="GDY261" s="694"/>
      <c r="GDZ261" s="694"/>
      <c r="GEA261" s="694"/>
      <c r="GEB261" s="694"/>
      <c r="GEC261" s="694"/>
      <c r="GED261" s="694"/>
      <c r="GEE261" s="694"/>
      <c r="GEF261" s="694"/>
      <c r="GEG261" s="694"/>
      <c r="GEH261" s="694"/>
      <c r="GEI261" s="694"/>
      <c r="GEJ261" s="694"/>
      <c r="GEK261" s="694"/>
      <c r="GEL261" s="694"/>
      <c r="GEM261" s="694"/>
      <c r="GEN261" s="694"/>
      <c r="GEO261" s="694"/>
      <c r="GEP261" s="694"/>
      <c r="GEQ261" s="694"/>
      <c r="GER261" s="717"/>
      <c r="GES261" s="694"/>
      <c r="GET261" s="694"/>
      <c r="GEU261" s="694"/>
      <c r="GEV261" s="694"/>
      <c r="GEW261" s="694"/>
      <c r="GEX261" s="694"/>
      <c r="GEY261" s="694"/>
      <c r="GEZ261" s="694"/>
      <c r="GFA261" s="694"/>
      <c r="GFB261" s="694"/>
      <c r="GFC261" s="694"/>
      <c r="GFD261" s="694"/>
      <c r="GFE261" s="694"/>
      <c r="GFF261" s="694"/>
      <c r="GFG261" s="694"/>
      <c r="GFH261" s="694"/>
      <c r="GFI261" s="694"/>
      <c r="GFJ261" s="694"/>
      <c r="GFK261" s="694"/>
      <c r="GFL261" s="717"/>
      <c r="GFM261" s="694"/>
      <c r="GFN261" s="694"/>
      <c r="GFO261" s="694"/>
      <c r="GFP261" s="694"/>
      <c r="GFQ261" s="694"/>
      <c r="GFR261" s="694"/>
      <c r="GFS261" s="694"/>
      <c r="GFT261" s="694"/>
      <c r="GFU261" s="694"/>
      <c r="GFV261" s="694"/>
      <c r="GFW261" s="694"/>
      <c r="GFX261" s="694"/>
      <c r="GFY261" s="694"/>
      <c r="GFZ261" s="694"/>
      <c r="GGA261" s="694"/>
      <c r="GGB261" s="694"/>
      <c r="GGC261" s="694"/>
      <c r="GGD261" s="694"/>
      <c r="GGE261" s="694"/>
      <c r="GGF261" s="717"/>
      <c r="GGG261" s="694"/>
      <c r="GGH261" s="694"/>
      <c r="GGI261" s="694"/>
      <c r="GGJ261" s="694"/>
      <c r="GGK261" s="694"/>
      <c r="GGL261" s="694"/>
      <c r="GGM261" s="694"/>
      <c r="GGN261" s="694"/>
      <c r="GGO261" s="694"/>
      <c r="GGP261" s="694"/>
      <c r="GGQ261" s="694"/>
      <c r="GGR261" s="694"/>
      <c r="GGS261" s="694"/>
      <c r="GGT261" s="694"/>
      <c r="GGU261" s="694"/>
      <c r="GGV261" s="694"/>
      <c r="GGW261" s="694"/>
      <c r="GGX261" s="694"/>
      <c r="GGY261" s="694"/>
      <c r="GGZ261" s="717"/>
      <c r="GHA261" s="694"/>
      <c r="GHB261" s="694"/>
      <c r="GHC261" s="694"/>
      <c r="GHD261" s="694"/>
      <c r="GHE261" s="694"/>
      <c r="GHF261" s="694"/>
      <c r="GHG261" s="694"/>
      <c r="GHH261" s="694"/>
      <c r="GHI261" s="694"/>
      <c r="GHJ261" s="694"/>
      <c r="GHK261" s="694"/>
      <c r="GHL261" s="694"/>
      <c r="GHM261" s="694"/>
      <c r="GHN261" s="694"/>
      <c r="GHO261" s="694"/>
      <c r="GHP261" s="694"/>
      <c r="GHQ261" s="694"/>
      <c r="GHR261" s="694"/>
      <c r="GHS261" s="694"/>
      <c r="GHT261" s="717"/>
      <c r="GHU261" s="694"/>
      <c r="GHV261" s="694"/>
      <c r="GHW261" s="694"/>
      <c r="GHX261" s="694"/>
      <c r="GHY261" s="694"/>
      <c r="GHZ261" s="694"/>
      <c r="GIA261" s="694"/>
      <c r="GIB261" s="694"/>
      <c r="GIC261" s="694"/>
      <c r="GID261" s="694"/>
      <c r="GIE261" s="694"/>
      <c r="GIF261" s="694"/>
      <c r="GIG261" s="694"/>
      <c r="GIH261" s="694"/>
      <c r="GII261" s="694"/>
      <c r="GIJ261" s="694"/>
      <c r="GIK261" s="694"/>
      <c r="GIL261" s="694"/>
      <c r="GIM261" s="694"/>
      <c r="GIN261" s="717"/>
      <c r="GIO261" s="694"/>
      <c r="GIP261" s="694"/>
      <c r="GIQ261" s="694"/>
      <c r="GIR261" s="694"/>
      <c r="GIS261" s="694"/>
      <c r="GIT261" s="694"/>
      <c r="GIU261" s="694"/>
      <c r="GIV261" s="694"/>
      <c r="GIW261" s="694"/>
      <c r="GIX261" s="694"/>
      <c r="GIY261" s="694"/>
      <c r="GIZ261" s="694"/>
      <c r="GJA261" s="694"/>
      <c r="GJB261" s="694"/>
      <c r="GJC261" s="694"/>
      <c r="GJD261" s="694"/>
      <c r="GJE261" s="694"/>
      <c r="GJF261" s="694"/>
      <c r="GJG261" s="694"/>
      <c r="GJH261" s="717"/>
      <c r="GJI261" s="694"/>
      <c r="GJJ261" s="694"/>
      <c r="GJK261" s="694"/>
      <c r="GJL261" s="694"/>
      <c r="GJM261" s="694"/>
      <c r="GJN261" s="694"/>
      <c r="GJO261" s="694"/>
      <c r="GJP261" s="694"/>
      <c r="GJQ261" s="694"/>
      <c r="GJR261" s="694"/>
      <c r="GJS261" s="694"/>
      <c r="GJT261" s="694"/>
      <c r="GJU261" s="694"/>
      <c r="GJV261" s="694"/>
      <c r="GJW261" s="694"/>
      <c r="GJX261" s="694"/>
      <c r="GJY261" s="694"/>
      <c r="GJZ261" s="694"/>
      <c r="GKA261" s="694"/>
      <c r="GKB261" s="717"/>
      <c r="GKC261" s="694"/>
      <c r="GKD261" s="694"/>
      <c r="GKE261" s="694"/>
      <c r="GKF261" s="694"/>
      <c r="GKG261" s="694"/>
      <c r="GKH261" s="694"/>
      <c r="GKI261" s="694"/>
      <c r="GKJ261" s="694"/>
      <c r="GKK261" s="694"/>
      <c r="GKL261" s="694"/>
      <c r="GKM261" s="694"/>
      <c r="GKN261" s="694"/>
      <c r="GKO261" s="694"/>
      <c r="GKP261" s="694"/>
      <c r="GKQ261" s="694"/>
      <c r="GKR261" s="694"/>
      <c r="GKS261" s="694"/>
      <c r="GKT261" s="694"/>
      <c r="GKU261" s="694"/>
      <c r="GKV261" s="717"/>
      <c r="GKW261" s="694"/>
      <c r="GKX261" s="694"/>
      <c r="GKY261" s="694"/>
      <c r="GKZ261" s="694"/>
      <c r="GLA261" s="694"/>
      <c r="GLB261" s="694"/>
      <c r="GLC261" s="694"/>
      <c r="GLD261" s="694"/>
      <c r="GLE261" s="694"/>
      <c r="GLF261" s="694"/>
      <c r="GLG261" s="694"/>
      <c r="GLH261" s="694"/>
      <c r="GLI261" s="694"/>
      <c r="GLJ261" s="694"/>
      <c r="GLK261" s="694"/>
      <c r="GLL261" s="694"/>
      <c r="GLM261" s="694"/>
      <c r="GLN261" s="694"/>
      <c r="GLO261" s="694"/>
      <c r="GLP261" s="717"/>
      <c r="GLQ261" s="694"/>
      <c r="GLR261" s="694"/>
      <c r="GLS261" s="694"/>
      <c r="GLT261" s="694"/>
      <c r="GLU261" s="694"/>
      <c r="GLV261" s="694"/>
      <c r="GLW261" s="694"/>
      <c r="GLX261" s="694"/>
      <c r="GLY261" s="694"/>
      <c r="GLZ261" s="694"/>
      <c r="GMA261" s="694"/>
      <c r="GMB261" s="694"/>
      <c r="GMC261" s="694"/>
      <c r="GMD261" s="694"/>
      <c r="GME261" s="694"/>
      <c r="GMF261" s="694"/>
      <c r="GMG261" s="694"/>
      <c r="GMH261" s="694"/>
      <c r="GMI261" s="694"/>
      <c r="GMJ261" s="717"/>
      <c r="GMK261" s="694"/>
      <c r="GML261" s="694"/>
      <c r="GMM261" s="694"/>
      <c r="GMN261" s="694"/>
      <c r="GMO261" s="694"/>
      <c r="GMP261" s="694"/>
      <c r="GMQ261" s="694"/>
      <c r="GMR261" s="694"/>
      <c r="GMS261" s="694"/>
      <c r="GMT261" s="694"/>
      <c r="GMU261" s="694"/>
      <c r="GMV261" s="694"/>
      <c r="GMW261" s="694"/>
      <c r="GMX261" s="694"/>
      <c r="GMY261" s="694"/>
      <c r="GMZ261" s="694"/>
      <c r="GNA261" s="694"/>
      <c r="GNB261" s="694"/>
      <c r="GNC261" s="694"/>
      <c r="GND261" s="717"/>
      <c r="GNE261" s="694"/>
      <c r="GNF261" s="694"/>
      <c r="GNG261" s="694"/>
      <c r="GNH261" s="694"/>
      <c r="GNI261" s="694"/>
      <c r="GNJ261" s="694"/>
      <c r="GNK261" s="694"/>
      <c r="GNL261" s="694"/>
      <c r="GNM261" s="694"/>
      <c r="GNN261" s="694"/>
      <c r="GNO261" s="694"/>
      <c r="GNP261" s="694"/>
      <c r="GNQ261" s="694"/>
      <c r="GNR261" s="694"/>
      <c r="GNS261" s="694"/>
      <c r="GNT261" s="694"/>
      <c r="GNU261" s="694"/>
      <c r="GNV261" s="694"/>
      <c r="GNW261" s="694"/>
      <c r="GNX261" s="717"/>
      <c r="GNY261" s="694"/>
      <c r="GNZ261" s="694"/>
      <c r="GOA261" s="694"/>
      <c r="GOB261" s="694"/>
      <c r="GOC261" s="694"/>
      <c r="GOD261" s="694"/>
      <c r="GOE261" s="694"/>
      <c r="GOF261" s="694"/>
      <c r="GOG261" s="694"/>
      <c r="GOH261" s="694"/>
      <c r="GOI261" s="694"/>
      <c r="GOJ261" s="694"/>
      <c r="GOK261" s="694"/>
      <c r="GOL261" s="694"/>
      <c r="GOM261" s="694"/>
      <c r="GON261" s="694"/>
      <c r="GOO261" s="694"/>
      <c r="GOP261" s="694"/>
      <c r="GOQ261" s="694"/>
      <c r="GOR261" s="717"/>
      <c r="GOS261" s="694"/>
      <c r="GOT261" s="694"/>
      <c r="GOU261" s="694"/>
      <c r="GOV261" s="694"/>
      <c r="GOW261" s="694"/>
      <c r="GOX261" s="694"/>
      <c r="GOY261" s="694"/>
      <c r="GOZ261" s="694"/>
      <c r="GPA261" s="694"/>
      <c r="GPB261" s="694"/>
      <c r="GPC261" s="694"/>
      <c r="GPD261" s="694"/>
      <c r="GPE261" s="694"/>
      <c r="GPF261" s="694"/>
      <c r="GPG261" s="694"/>
      <c r="GPH261" s="694"/>
      <c r="GPI261" s="694"/>
      <c r="GPJ261" s="694"/>
      <c r="GPK261" s="694"/>
      <c r="GPL261" s="717"/>
      <c r="GPM261" s="694"/>
      <c r="GPN261" s="694"/>
      <c r="GPO261" s="694"/>
      <c r="GPP261" s="694"/>
      <c r="GPQ261" s="694"/>
      <c r="GPR261" s="694"/>
      <c r="GPS261" s="694"/>
      <c r="GPT261" s="694"/>
      <c r="GPU261" s="694"/>
      <c r="GPV261" s="694"/>
      <c r="GPW261" s="694"/>
      <c r="GPX261" s="694"/>
      <c r="GPY261" s="694"/>
      <c r="GPZ261" s="694"/>
      <c r="GQA261" s="694"/>
      <c r="GQB261" s="694"/>
      <c r="GQC261" s="694"/>
      <c r="GQD261" s="694"/>
      <c r="GQE261" s="694"/>
      <c r="GQF261" s="717"/>
      <c r="GQG261" s="694"/>
      <c r="GQH261" s="694"/>
      <c r="GQI261" s="694"/>
      <c r="GQJ261" s="694"/>
      <c r="GQK261" s="694"/>
      <c r="GQL261" s="694"/>
      <c r="GQM261" s="694"/>
      <c r="GQN261" s="694"/>
      <c r="GQO261" s="694"/>
      <c r="GQP261" s="694"/>
      <c r="GQQ261" s="694"/>
      <c r="GQR261" s="694"/>
      <c r="GQS261" s="694"/>
      <c r="GQT261" s="694"/>
      <c r="GQU261" s="694"/>
      <c r="GQV261" s="694"/>
      <c r="GQW261" s="694"/>
      <c r="GQX261" s="694"/>
      <c r="GQY261" s="694"/>
      <c r="GQZ261" s="717"/>
      <c r="GRA261" s="694"/>
      <c r="GRB261" s="694"/>
      <c r="GRC261" s="694"/>
      <c r="GRD261" s="694"/>
      <c r="GRE261" s="694"/>
      <c r="GRF261" s="694"/>
      <c r="GRG261" s="694"/>
      <c r="GRH261" s="694"/>
      <c r="GRI261" s="694"/>
      <c r="GRJ261" s="694"/>
      <c r="GRK261" s="694"/>
      <c r="GRL261" s="694"/>
      <c r="GRM261" s="694"/>
      <c r="GRN261" s="694"/>
      <c r="GRO261" s="694"/>
      <c r="GRP261" s="694"/>
      <c r="GRQ261" s="694"/>
      <c r="GRR261" s="694"/>
      <c r="GRS261" s="694"/>
      <c r="GRT261" s="717"/>
      <c r="GRU261" s="694"/>
      <c r="GRV261" s="694"/>
      <c r="GRW261" s="694"/>
      <c r="GRX261" s="694"/>
      <c r="GRY261" s="694"/>
      <c r="GRZ261" s="694"/>
      <c r="GSA261" s="694"/>
      <c r="GSB261" s="694"/>
      <c r="GSC261" s="694"/>
      <c r="GSD261" s="694"/>
      <c r="GSE261" s="694"/>
      <c r="GSF261" s="694"/>
      <c r="GSG261" s="694"/>
      <c r="GSH261" s="694"/>
      <c r="GSI261" s="694"/>
      <c r="GSJ261" s="694"/>
      <c r="GSK261" s="694"/>
      <c r="GSL261" s="694"/>
      <c r="GSM261" s="694"/>
      <c r="GSN261" s="717"/>
      <c r="GSO261" s="694"/>
      <c r="GSP261" s="694"/>
      <c r="GSQ261" s="694"/>
      <c r="GSR261" s="694"/>
      <c r="GSS261" s="694"/>
      <c r="GST261" s="694"/>
      <c r="GSU261" s="694"/>
      <c r="GSV261" s="694"/>
      <c r="GSW261" s="694"/>
      <c r="GSX261" s="694"/>
      <c r="GSY261" s="694"/>
      <c r="GSZ261" s="694"/>
      <c r="GTA261" s="694"/>
      <c r="GTB261" s="694"/>
      <c r="GTC261" s="694"/>
      <c r="GTD261" s="694"/>
      <c r="GTE261" s="694"/>
      <c r="GTF261" s="694"/>
      <c r="GTG261" s="694"/>
      <c r="GTH261" s="717"/>
      <c r="GTI261" s="694"/>
      <c r="GTJ261" s="694"/>
      <c r="GTK261" s="694"/>
      <c r="GTL261" s="694"/>
      <c r="GTM261" s="694"/>
      <c r="GTN261" s="694"/>
      <c r="GTO261" s="694"/>
      <c r="GTP261" s="694"/>
      <c r="GTQ261" s="694"/>
      <c r="GTR261" s="694"/>
      <c r="GTS261" s="694"/>
      <c r="GTT261" s="694"/>
      <c r="GTU261" s="694"/>
      <c r="GTV261" s="694"/>
      <c r="GTW261" s="694"/>
      <c r="GTX261" s="694"/>
      <c r="GTY261" s="694"/>
      <c r="GTZ261" s="694"/>
      <c r="GUA261" s="694"/>
      <c r="GUB261" s="717"/>
      <c r="GUC261" s="694"/>
      <c r="GUD261" s="694"/>
      <c r="GUE261" s="694"/>
      <c r="GUF261" s="694"/>
      <c r="GUG261" s="694"/>
      <c r="GUH261" s="694"/>
      <c r="GUI261" s="694"/>
      <c r="GUJ261" s="694"/>
      <c r="GUK261" s="694"/>
      <c r="GUL261" s="694"/>
      <c r="GUM261" s="694"/>
      <c r="GUN261" s="694"/>
      <c r="GUO261" s="694"/>
      <c r="GUP261" s="694"/>
      <c r="GUQ261" s="694"/>
      <c r="GUR261" s="694"/>
      <c r="GUS261" s="694"/>
      <c r="GUT261" s="694"/>
      <c r="GUU261" s="694"/>
      <c r="GUV261" s="717"/>
      <c r="GUW261" s="694"/>
      <c r="GUX261" s="694"/>
      <c r="GUY261" s="694"/>
      <c r="GUZ261" s="694"/>
      <c r="GVA261" s="694"/>
      <c r="GVB261" s="694"/>
      <c r="GVC261" s="694"/>
      <c r="GVD261" s="694"/>
      <c r="GVE261" s="694"/>
      <c r="GVF261" s="694"/>
      <c r="GVG261" s="694"/>
      <c r="GVH261" s="694"/>
      <c r="GVI261" s="694"/>
      <c r="GVJ261" s="694"/>
      <c r="GVK261" s="694"/>
      <c r="GVL261" s="694"/>
      <c r="GVM261" s="694"/>
      <c r="GVN261" s="694"/>
      <c r="GVO261" s="694"/>
      <c r="GVP261" s="717"/>
      <c r="GVQ261" s="694"/>
      <c r="GVR261" s="694"/>
      <c r="GVS261" s="694"/>
      <c r="GVT261" s="694"/>
      <c r="GVU261" s="694"/>
      <c r="GVV261" s="694"/>
      <c r="GVW261" s="694"/>
      <c r="GVX261" s="694"/>
      <c r="GVY261" s="694"/>
      <c r="GVZ261" s="694"/>
      <c r="GWA261" s="694"/>
      <c r="GWB261" s="694"/>
      <c r="GWC261" s="694"/>
      <c r="GWD261" s="694"/>
      <c r="GWE261" s="694"/>
      <c r="GWF261" s="694"/>
      <c r="GWG261" s="694"/>
      <c r="GWH261" s="694"/>
      <c r="GWI261" s="694"/>
      <c r="GWJ261" s="717"/>
      <c r="GWK261" s="694"/>
      <c r="GWL261" s="694"/>
      <c r="GWM261" s="694"/>
      <c r="GWN261" s="694"/>
      <c r="GWO261" s="694"/>
      <c r="GWP261" s="694"/>
      <c r="GWQ261" s="694"/>
      <c r="GWR261" s="694"/>
      <c r="GWS261" s="694"/>
      <c r="GWT261" s="694"/>
      <c r="GWU261" s="694"/>
      <c r="GWV261" s="694"/>
      <c r="GWW261" s="694"/>
      <c r="GWX261" s="694"/>
      <c r="GWY261" s="694"/>
      <c r="GWZ261" s="694"/>
      <c r="GXA261" s="694"/>
      <c r="GXB261" s="694"/>
      <c r="GXC261" s="694"/>
      <c r="GXD261" s="717"/>
      <c r="GXE261" s="694"/>
      <c r="GXF261" s="694"/>
      <c r="GXG261" s="694"/>
      <c r="GXH261" s="694"/>
      <c r="GXI261" s="694"/>
      <c r="GXJ261" s="694"/>
      <c r="GXK261" s="694"/>
      <c r="GXL261" s="694"/>
      <c r="GXM261" s="694"/>
      <c r="GXN261" s="694"/>
      <c r="GXO261" s="694"/>
      <c r="GXP261" s="694"/>
      <c r="GXQ261" s="694"/>
      <c r="GXR261" s="694"/>
      <c r="GXS261" s="694"/>
      <c r="GXT261" s="694"/>
      <c r="GXU261" s="694"/>
      <c r="GXV261" s="694"/>
      <c r="GXW261" s="694"/>
      <c r="GXX261" s="717"/>
      <c r="GXY261" s="694"/>
      <c r="GXZ261" s="694"/>
      <c r="GYA261" s="694"/>
      <c r="GYB261" s="694"/>
      <c r="GYC261" s="694"/>
      <c r="GYD261" s="694"/>
      <c r="GYE261" s="694"/>
      <c r="GYF261" s="694"/>
      <c r="GYG261" s="694"/>
      <c r="GYH261" s="694"/>
      <c r="GYI261" s="694"/>
      <c r="GYJ261" s="694"/>
      <c r="GYK261" s="694"/>
      <c r="GYL261" s="694"/>
      <c r="GYM261" s="694"/>
      <c r="GYN261" s="694"/>
      <c r="GYO261" s="694"/>
      <c r="GYP261" s="694"/>
      <c r="GYQ261" s="694"/>
      <c r="GYR261" s="717"/>
      <c r="GYS261" s="694"/>
      <c r="GYT261" s="694"/>
      <c r="GYU261" s="694"/>
      <c r="GYV261" s="694"/>
      <c r="GYW261" s="694"/>
      <c r="GYX261" s="694"/>
      <c r="GYY261" s="694"/>
      <c r="GYZ261" s="694"/>
      <c r="GZA261" s="694"/>
      <c r="GZB261" s="694"/>
      <c r="GZC261" s="694"/>
      <c r="GZD261" s="694"/>
      <c r="GZE261" s="694"/>
      <c r="GZF261" s="694"/>
      <c r="GZG261" s="694"/>
      <c r="GZH261" s="694"/>
      <c r="GZI261" s="694"/>
      <c r="GZJ261" s="694"/>
      <c r="GZK261" s="694"/>
      <c r="GZL261" s="717"/>
      <c r="GZM261" s="694"/>
      <c r="GZN261" s="694"/>
      <c r="GZO261" s="694"/>
      <c r="GZP261" s="694"/>
      <c r="GZQ261" s="694"/>
      <c r="GZR261" s="694"/>
      <c r="GZS261" s="694"/>
      <c r="GZT261" s="694"/>
      <c r="GZU261" s="694"/>
      <c r="GZV261" s="694"/>
      <c r="GZW261" s="694"/>
      <c r="GZX261" s="694"/>
      <c r="GZY261" s="694"/>
      <c r="GZZ261" s="694"/>
      <c r="HAA261" s="694"/>
      <c r="HAB261" s="694"/>
      <c r="HAC261" s="694"/>
      <c r="HAD261" s="694"/>
      <c r="HAE261" s="694"/>
      <c r="HAF261" s="717"/>
      <c r="HAG261" s="694"/>
      <c r="HAH261" s="694"/>
      <c r="HAI261" s="694"/>
      <c r="HAJ261" s="694"/>
      <c r="HAK261" s="694"/>
      <c r="HAL261" s="694"/>
      <c r="HAM261" s="694"/>
      <c r="HAN261" s="694"/>
      <c r="HAO261" s="694"/>
      <c r="HAP261" s="694"/>
      <c r="HAQ261" s="694"/>
      <c r="HAR261" s="694"/>
      <c r="HAS261" s="694"/>
      <c r="HAT261" s="694"/>
      <c r="HAU261" s="694"/>
      <c r="HAV261" s="694"/>
      <c r="HAW261" s="694"/>
      <c r="HAX261" s="694"/>
      <c r="HAY261" s="694"/>
      <c r="HAZ261" s="717"/>
      <c r="HBA261" s="694"/>
      <c r="HBB261" s="694"/>
      <c r="HBC261" s="694"/>
      <c r="HBD261" s="694"/>
      <c r="HBE261" s="694"/>
      <c r="HBF261" s="694"/>
      <c r="HBG261" s="694"/>
      <c r="HBH261" s="694"/>
      <c r="HBI261" s="694"/>
      <c r="HBJ261" s="694"/>
      <c r="HBK261" s="694"/>
      <c r="HBL261" s="694"/>
      <c r="HBM261" s="694"/>
      <c r="HBN261" s="694"/>
      <c r="HBO261" s="694"/>
      <c r="HBP261" s="694"/>
      <c r="HBQ261" s="694"/>
      <c r="HBR261" s="694"/>
      <c r="HBS261" s="694"/>
      <c r="HBT261" s="717"/>
      <c r="HBU261" s="694"/>
      <c r="HBV261" s="694"/>
      <c r="HBW261" s="694"/>
      <c r="HBX261" s="694"/>
      <c r="HBY261" s="694"/>
      <c r="HBZ261" s="694"/>
      <c r="HCA261" s="694"/>
      <c r="HCB261" s="694"/>
      <c r="HCC261" s="694"/>
      <c r="HCD261" s="694"/>
      <c r="HCE261" s="694"/>
      <c r="HCF261" s="694"/>
      <c r="HCG261" s="694"/>
      <c r="HCH261" s="694"/>
      <c r="HCI261" s="694"/>
      <c r="HCJ261" s="694"/>
      <c r="HCK261" s="694"/>
      <c r="HCL261" s="694"/>
      <c r="HCM261" s="694"/>
      <c r="HCN261" s="717"/>
      <c r="HCO261" s="694"/>
      <c r="HCP261" s="694"/>
      <c r="HCQ261" s="694"/>
      <c r="HCR261" s="694"/>
      <c r="HCS261" s="694"/>
      <c r="HCT261" s="694"/>
      <c r="HCU261" s="694"/>
      <c r="HCV261" s="694"/>
      <c r="HCW261" s="694"/>
      <c r="HCX261" s="694"/>
      <c r="HCY261" s="694"/>
      <c r="HCZ261" s="694"/>
      <c r="HDA261" s="694"/>
      <c r="HDB261" s="694"/>
      <c r="HDC261" s="694"/>
      <c r="HDD261" s="694"/>
      <c r="HDE261" s="694"/>
      <c r="HDF261" s="694"/>
      <c r="HDG261" s="694"/>
      <c r="HDH261" s="717"/>
      <c r="HDI261" s="694"/>
      <c r="HDJ261" s="694"/>
      <c r="HDK261" s="694"/>
      <c r="HDL261" s="694"/>
      <c r="HDM261" s="694"/>
      <c r="HDN261" s="694"/>
      <c r="HDO261" s="694"/>
      <c r="HDP261" s="694"/>
      <c r="HDQ261" s="694"/>
      <c r="HDR261" s="694"/>
      <c r="HDS261" s="694"/>
      <c r="HDT261" s="694"/>
      <c r="HDU261" s="694"/>
      <c r="HDV261" s="694"/>
      <c r="HDW261" s="694"/>
      <c r="HDX261" s="694"/>
      <c r="HDY261" s="694"/>
      <c r="HDZ261" s="694"/>
      <c r="HEA261" s="694"/>
      <c r="HEB261" s="717"/>
      <c r="HEC261" s="694"/>
      <c r="HED261" s="694"/>
      <c r="HEE261" s="694"/>
      <c r="HEF261" s="694"/>
      <c r="HEG261" s="694"/>
      <c r="HEH261" s="694"/>
      <c r="HEI261" s="694"/>
      <c r="HEJ261" s="694"/>
      <c r="HEK261" s="694"/>
      <c r="HEL261" s="694"/>
      <c r="HEM261" s="694"/>
      <c r="HEN261" s="694"/>
      <c r="HEO261" s="694"/>
      <c r="HEP261" s="694"/>
      <c r="HEQ261" s="694"/>
      <c r="HER261" s="694"/>
      <c r="HES261" s="694"/>
      <c r="HET261" s="694"/>
      <c r="HEU261" s="694"/>
      <c r="HEV261" s="717"/>
      <c r="HEW261" s="694"/>
      <c r="HEX261" s="694"/>
      <c r="HEY261" s="694"/>
      <c r="HEZ261" s="694"/>
      <c r="HFA261" s="694"/>
      <c r="HFB261" s="694"/>
      <c r="HFC261" s="694"/>
      <c r="HFD261" s="694"/>
      <c r="HFE261" s="694"/>
      <c r="HFF261" s="694"/>
      <c r="HFG261" s="694"/>
      <c r="HFH261" s="694"/>
      <c r="HFI261" s="694"/>
      <c r="HFJ261" s="694"/>
      <c r="HFK261" s="694"/>
      <c r="HFL261" s="694"/>
      <c r="HFM261" s="694"/>
      <c r="HFN261" s="694"/>
      <c r="HFO261" s="694"/>
      <c r="HFP261" s="717"/>
      <c r="HFQ261" s="694"/>
      <c r="HFR261" s="694"/>
      <c r="HFS261" s="694"/>
      <c r="HFT261" s="694"/>
      <c r="HFU261" s="694"/>
      <c r="HFV261" s="694"/>
      <c r="HFW261" s="694"/>
      <c r="HFX261" s="694"/>
      <c r="HFY261" s="694"/>
      <c r="HFZ261" s="694"/>
      <c r="HGA261" s="694"/>
      <c r="HGB261" s="694"/>
      <c r="HGC261" s="694"/>
      <c r="HGD261" s="694"/>
      <c r="HGE261" s="694"/>
      <c r="HGF261" s="694"/>
      <c r="HGG261" s="694"/>
      <c r="HGH261" s="694"/>
      <c r="HGI261" s="694"/>
      <c r="HGJ261" s="717"/>
      <c r="HGK261" s="694"/>
      <c r="HGL261" s="694"/>
      <c r="HGM261" s="694"/>
      <c r="HGN261" s="694"/>
      <c r="HGO261" s="694"/>
      <c r="HGP261" s="694"/>
      <c r="HGQ261" s="694"/>
      <c r="HGR261" s="694"/>
      <c r="HGS261" s="694"/>
      <c r="HGT261" s="694"/>
      <c r="HGU261" s="694"/>
      <c r="HGV261" s="694"/>
      <c r="HGW261" s="694"/>
      <c r="HGX261" s="694"/>
      <c r="HGY261" s="694"/>
      <c r="HGZ261" s="694"/>
      <c r="HHA261" s="694"/>
      <c r="HHB261" s="694"/>
      <c r="HHC261" s="694"/>
      <c r="HHD261" s="717"/>
      <c r="HHE261" s="694"/>
      <c r="HHF261" s="694"/>
      <c r="HHG261" s="694"/>
      <c r="HHH261" s="694"/>
      <c r="HHI261" s="694"/>
      <c r="HHJ261" s="694"/>
      <c r="HHK261" s="694"/>
      <c r="HHL261" s="694"/>
      <c r="HHM261" s="694"/>
      <c r="HHN261" s="694"/>
      <c r="HHO261" s="694"/>
      <c r="HHP261" s="694"/>
      <c r="HHQ261" s="694"/>
      <c r="HHR261" s="694"/>
      <c r="HHS261" s="694"/>
      <c r="HHT261" s="694"/>
      <c r="HHU261" s="694"/>
      <c r="HHV261" s="694"/>
      <c r="HHW261" s="694"/>
      <c r="HHX261" s="717"/>
      <c r="HHY261" s="694"/>
      <c r="HHZ261" s="694"/>
      <c r="HIA261" s="694"/>
      <c r="HIB261" s="694"/>
      <c r="HIC261" s="694"/>
      <c r="HID261" s="694"/>
      <c r="HIE261" s="694"/>
      <c r="HIF261" s="694"/>
      <c r="HIG261" s="694"/>
      <c r="HIH261" s="694"/>
      <c r="HII261" s="694"/>
      <c r="HIJ261" s="694"/>
      <c r="HIK261" s="694"/>
      <c r="HIL261" s="694"/>
      <c r="HIM261" s="694"/>
      <c r="HIN261" s="694"/>
      <c r="HIO261" s="694"/>
      <c r="HIP261" s="694"/>
      <c r="HIQ261" s="694"/>
      <c r="HIR261" s="717"/>
      <c r="HIS261" s="694"/>
      <c r="HIT261" s="694"/>
      <c r="HIU261" s="694"/>
      <c r="HIV261" s="694"/>
      <c r="HIW261" s="694"/>
      <c r="HIX261" s="694"/>
      <c r="HIY261" s="694"/>
      <c r="HIZ261" s="694"/>
      <c r="HJA261" s="694"/>
      <c r="HJB261" s="694"/>
      <c r="HJC261" s="694"/>
      <c r="HJD261" s="694"/>
      <c r="HJE261" s="694"/>
      <c r="HJF261" s="694"/>
      <c r="HJG261" s="694"/>
      <c r="HJH261" s="694"/>
      <c r="HJI261" s="694"/>
      <c r="HJJ261" s="694"/>
      <c r="HJK261" s="694"/>
      <c r="HJL261" s="717"/>
      <c r="HJM261" s="694"/>
      <c r="HJN261" s="694"/>
      <c r="HJO261" s="694"/>
      <c r="HJP261" s="694"/>
      <c r="HJQ261" s="694"/>
      <c r="HJR261" s="694"/>
      <c r="HJS261" s="694"/>
      <c r="HJT261" s="694"/>
      <c r="HJU261" s="694"/>
      <c r="HJV261" s="694"/>
      <c r="HJW261" s="694"/>
      <c r="HJX261" s="694"/>
      <c r="HJY261" s="694"/>
      <c r="HJZ261" s="694"/>
      <c r="HKA261" s="694"/>
      <c r="HKB261" s="694"/>
      <c r="HKC261" s="694"/>
      <c r="HKD261" s="694"/>
      <c r="HKE261" s="694"/>
      <c r="HKF261" s="717"/>
      <c r="HKG261" s="694"/>
      <c r="HKH261" s="694"/>
      <c r="HKI261" s="694"/>
      <c r="HKJ261" s="694"/>
      <c r="HKK261" s="694"/>
      <c r="HKL261" s="694"/>
      <c r="HKM261" s="694"/>
      <c r="HKN261" s="694"/>
      <c r="HKO261" s="694"/>
      <c r="HKP261" s="694"/>
      <c r="HKQ261" s="694"/>
      <c r="HKR261" s="694"/>
      <c r="HKS261" s="694"/>
      <c r="HKT261" s="694"/>
      <c r="HKU261" s="694"/>
      <c r="HKV261" s="694"/>
      <c r="HKW261" s="694"/>
      <c r="HKX261" s="694"/>
      <c r="HKY261" s="694"/>
      <c r="HKZ261" s="717"/>
      <c r="HLA261" s="694"/>
      <c r="HLB261" s="694"/>
      <c r="HLC261" s="694"/>
      <c r="HLD261" s="694"/>
      <c r="HLE261" s="694"/>
      <c r="HLF261" s="694"/>
      <c r="HLG261" s="694"/>
      <c r="HLH261" s="694"/>
      <c r="HLI261" s="694"/>
      <c r="HLJ261" s="694"/>
      <c r="HLK261" s="694"/>
      <c r="HLL261" s="694"/>
      <c r="HLM261" s="694"/>
      <c r="HLN261" s="694"/>
      <c r="HLO261" s="694"/>
      <c r="HLP261" s="694"/>
      <c r="HLQ261" s="694"/>
      <c r="HLR261" s="694"/>
      <c r="HLS261" s="694"/>
      <c r="HLT261" s="717"/>
      <c r="HLU261" s="694"/>
      <c r="HLV261" s="694"/>
      <c r="HLW261" s="694"/>
      <c r="HLX261" s="694"/>
      <c r="HLY261" s="694"/>
      <c r="HLZ261" s="694"/>
      <c r="HMA261" s="694"/>
      <c r="HMB261" s="694"/>
      <c r="HMC261" s="694"/>
      <c r="HMD261" s="694"/>
      <c r="HME261" s="694"/>
      <c r="HMF261" s="694"/>
      <c r="HMG261" s="694"/>
      <c r="HMH261" s="694"/>
      <c r="HMI261" s="694"/>
      <c r="HMJ261" s="694"/>
      <c r="HMK261" s="694"/>
      <c r="HML261" s="694"/>
      <c r="HMM261" s="694"/>
      <c r="HMN261" s="717"/>
      <c r="HMO261" s="694"/>
      <c r="HMP261" s="694"/>
      <c r="HMQ261" s="694"/>
      <c r="HMR261" s="694"/>
      <c r="HMS261" s="694"/>
      <c r="HMT261" s="694"/>
      <c r="HMU261" s="694"/>
      <c r="HMV261" s="694"/>
      <c r="HMW261" s="694"/>
      <c r="HMX261" s="694"/>
      <c r="HMY261" s="694"/>
      <c r="HMZ261" s="694"/>
      <c r="HNA261" s="694"/>
      <c r="HNB261" s="694"/>
      <c r="HNC261" s="694"/>
      <c r="HND261" s="694"/>
      <c r="HNE261" s="694"/>
      <c r="HNF261" s="694"/>
      <c r="HNG261" s="694"/>
      <c r="HNH261" s="717"/>
      <c r="HNI261" s="694"/>
      <c r="HNJ261" s="694"/>
      <c r="HNK261" s="694"/>
      <c r="HNL261" s="694"/>
      <c r="HNM261" s="694"/>
      <c r="HNN261" s="694"/>
      <c r="HNO261" s="694"/>
      <c r="HNP261" s="694"/>
      <c r="HNQ261" s="694"/>
      <c r="HNR261" s="694"/>
      <c r="HNS261" s="694"/>
      <c r="HNT261" s="694"/>
      <c r="HNU261" s="694"/>
      <c r="HNV261" s="694"/>
      <c r="HNW261" s="694"/>
      <c r="HNX261" s="694"/>
      <c r="HNY261" s="694"/>
      <c r="HNZ261" s="694"/>
      <c r="HOA261" s="694"/>
      <c r="HOB261" s="717"/>
      <c r="HOC261" s="694"/>
      <c r="HOD261" s="694"/>
      <c r="HOE261" s="694"/>
      <c r="HOF261" s="694"/>
      <c r="HOG261" s="694"/>
      <c r="HOH261" s="694"/>
      <c r="HOI261" s="694"/>
      <c r="HOJ261" s="694"/>
      <c r="HOK261" s="694"/>
      <c r="HOL261" s="694"/>
      <c r="HOM261" s="694"/>
      <c r="HON261" s="694"/>
      <c r="HOO261" s="694"/>
      <c r="HOP261" s="694"/>
      <c r="HOQ261" s="694"/>
      <c r="HOR261" s="694"/>
      <c r="HOS261" s="694"/>
      <c r="HOT261" s="694"/>
      <c r="HOU261" s="694"/>
      <c r="HOV261" s="717"/>
      <c r="HOW261" s="694"/>
      <c r="HOX261" s="694"/>
      <c r="HOY261" s="694"/>
      <c r="HOZ261" s="694"/>
      <c r="HPA261" s="694"/>
      <c r="HPB261" s="694"/>
      <c r="HPC261" s="694"/>
      <c r="HPD261" s="694"/>
      <c r="HPE261" s="694"/>
      <c r="HPF261" s="694"/>
      <c r="HPG261" s="694"/>
      <c r="HPH261" s="694"/>
      <c r="HPI261" s="694"/>
      <c r="HPJ261" s="694"/>
      <c r="HPK261" s="694"/>
      <c r="HPL261" s="694"/>
      <c r="HPM261" s="694"/>
      <c r="HPN261" s="694"/>
      <c r="HPO261" s="694"/>
      <c r="HPP261" s="717"/>
      <c r="HPQ261" s="694"/>
      <c r="HPR261" s="694"/>
      <c r="HPS261" s="694"/>
      <c r="HPT261" s="694"/>
      <c r="HPU261" s="694"/>
      <c r="HPV261" s="694"/>
      <c r="HPW261" s="694"/>
      <c r="HPX261" s="694"/>
      <c r="HPY261" s="694"/>
      <c r="HPZ261" s="694"/>
      <c r="HQA261" s="694"/>
      <c r="HQB261" s="694"/>
      <c r="HQC261" s="694"/>
      <c r="HQD261" s="694"/>
      <c r="HQE261" s="694"/>
      <c r="HQF261" s="694"/>
      <c r="HQG261" s="694"/>
      <c r="HQH261" s="694"/>
      <c r="HQI261" s="694"/>
      <c r="HQJ261" s="717"/>
      <c r="HQK261" s="694"/>
      <c r="HQL261" s="694"/>
      <c r="HQM261" s="694"/>
      <c r="HQN261" s="694"/>
      <c r="HQO261" s="694"/>
      <c r="HQP261" s="694"/>
      <c r="HQQ261" s="694"/>
      <c r="HQR261" s="694"/>
      <c r="HQS261" s="694"/>
      <c r="HQT261" s="694"/>
      <c r="HQU261" s="694"/>
      <c r="HQV261" s="694"/>
      <c r="HQW261" s="694"/>
      <c r="HQX261" s="694"/>
      <c r="HQY261" s="694"/>
      <c r="HQZ261" s="694"/>
      <c r="HRA261" s="694"/>
      <c r="HRB261" s="694"/>
      <c r="HRC261" s="694"/>
      <c r="HRD261" s="717"/>
      <c r="HRE261" s="694"/>
      <c r="HRF261" s="694"/>
      <c r="HRG261" s="694"/>
      <c r="HRH261" s="694"/>
      <c r="HRI261" s="694"/>
      <c r="HRJ261" s="694"/>
      <c r="HRK261" s="694"/>
      <c r="HRL261" s="694"/>
      <c r="HRM261" s="694"/>
      <c r="HRN261" s="694"/>
      <c r="HRO261" s="694"/>
      <c r="HRP261" s="694"/>
      <c r="HRQ261" s="694"/>
      <c r="HRR261" s="694"/>
      <c r="HRS261" s="694"/>
      <c r="HRT261" s="694"/>
      <c r="HRU261" s="694"/>
      <c r="HRV261" s="694"/>
      <c r="HRW261" s="694"/>
      <c r="HRX261" s="717"/>
      <c r="HRY261" s="694"/>
      <c r="HRZ261" s="694"/>
      <c r="HSA261" s="694"/>
      <c r="HSB261" s="694"/>
      <c r="HSC261" s="694"/>
      <c r="HSD261" s="694"/>
      <c r="HSE261" s="694"/>
      <c r="HSF261" s="694"/>
      <c r="HSG261" s="694"/>
      <c r="HSH261" s="694"/>
      <c r="HSI261" s="694"/>
      <c r="HSJ261" s="694"/>
      <c r="HSK261" s="694"/>
      <c r="HSL261" s="694"/>
      <c r="HSM261" s="694"/>
      <c r="HSN261" s="694"/>
      <c r="HSO261" s="694"/>
      <c r="HSP261" s="694"/>
      <c r="HSQ261" s="694"/>
      <c r="HSR261" s="717"/>
      <c r="HSS261" s="694"/>
      <c r="HST261" s="694"/>
      <c r="HSU261" s="694"/>
      <c r="HSV261" s="694"/>
      <c r="HSW261" s="694"/>
      <c r="HSX261" s="694"/>
      <c r="HSY261" s="694"/>
      <c r="HSZ261" s="694"/>
      <c r="HTA261" s="694"/>
      <c r="HTB261" s="694"/>
      <c r="HTC261" s="694"/>
      <c r="HTD261" s="694"/>
      <c r="HTE261" s="694"/>
      <c r="HTF261" s="694"/>
      <c r="HTG261" s="694"/>
      <c r="HTH261" s="694"/>
      <c r="HTI261" s="694"/>
      <c r="HTJ261" s="694"/>
      <c r="HTK261" s="694"/>
      <c r="HTL261" s="717"/>
      <c r="HTM261" s="694"/>
      <c r="HTN261" s="694"/>
      <c r="HTO261" s="694"/>
      <c r="HTP261" s="694"/>
      <c r="HTQ261" s="694"/>
      <c r="HTR261" s="694"/>
      <c r="HTS261" s="694"/>
      <c r="HTT261" s="694"/>
      <c r="HTU261" s="694"/>
      <c r="HTV261" s="694"/>
      <c r="HTW261" s="694"/>
      <c r="HTX261" s="694"/>
      <c r="HTY261" s="694"/>
      <c r="HTZ261" s="694"/>
      <c r="HUA261" s="694"/>
      <c r="HUB261" s="694"/>
      <c r="HUC261" s="694"/>
      <c r="HUD261" s="694"/>
      <c r="HUE261" s="694"/>
      <c r="HUF261" s="717"/>
      <c r="HUG261" s="694"/>
      <c r="HUH261" s="694"/>
      <c r="HUI261" s="694"/>
      <c r="HUJ261" s="694"/>
      <c r="HUK261" s="694"/>
      <c r="HUL261" s="694"/>
      <c r="HUM261" s="694"/>
      <c r="HUN261" s="694"/>
      <c r="HUO261" s="694"/>
      <c r="HUP261" s="694"/>
      <c r="HUQ261" s="694"/>
      <c r="HUR261" s="694"/>
      <c r="HUS261" s="694"/>
      <c r="HUT261" s="694"/>
      <c r="HUU261" s="694"/>
      <c r="HUV261" s="694"/>
      <c r="HUW261" s="694"/>
      <c r="HUX261" s="694"/>
      <c r="HUY261" s="694"/>
      <c r="HUZ261" s="717"/>
      <c r="HVA261" s="694"/>
      <c r="HVB261" s="694"/>
      <c r="HVC261" s="694"/>
      <c r="HVD261" s="694"/>
      <c r="HVE261" s="694"/>
      <c r="HVF261" s="694"/>
      <c r="HVG261" s="694"/>
      <c r="HVH261" s="694"/>
      <c r="HVI261" s="694"/>
      <c r="HVJ261" s="694"/>
      <c r="HVK261" s="694"/>
      <c r="HVL261" s="694"/>
      <c r="HVM261" s="694"/>
      <c r="HVN261" s="694"/>
      <c r="HVO261" s="694"/>
      <c r="HVP261" s="694"/>
      <c r="HVQ261" s="694"/>
      <c r="HVR261" s="694"/>
      <c r="HVS261" s="694"/>
      <c r="HVT261" s="717"/>
      <c r="HVU261" s="694"/>
      <c r="HVV261" s="694"/>
      <c r="HVW261" s="694"/>
      <c r="HVX261" s="694"/>
      <c r="HVY261" s="694"/>
      <c r="HVZ261" s="694"/>
      <c r="HWA261" s="694"/>
      <c r="HWB261" s="694"/>
      <c r="HWC261" s="694"/>
      <c r="HWD261" s="694"/>
      <c r="HWE261" s="694"/>
      <c r="HWF261" s="694"/>
      <c r="HWG261" s="694"/>
      <c r="HWH261" s="694"/>
      <c r="HWI261" s="694"/>
      <c r="HWJ261" s="694"/>
      <c r="HWK261" s="694"/>
      <c r="HWL261" s="694"/>
      <c r="HWM261" s="694"/>
      <c r="HWN261" s="717"/>
      <c r="HWO261" s="694"/>
      <c r="HWP261" s="694"/>
      <c r="HWQ261" s="694"/>
      <c r="HWR261" s="694"/>
      <c r="HWS261" s="694"/>
      <c r="HWT261" s="694"/>
      <c r="HWU261" s="694"/>
      <c r="HWV261" s="694"/>
      <c r="HWW261" s="694"/>
      <c r="HWX261" s="694"/>
      <c r="HWY261" s="694"/>
      <c r="HWZ261" s="694"/>
      <c r="HXA261" s="694"/>
      <c r="HXB261" s="694"/>
      <c r="HXC261" s="694"/>
      <c r="HXD261" s="694"/>
      <c r="HXE261" s="694"/>
      <c r="HXF261" s="694"/>
      <c r="HXG261" s="694"/>
      <c r="HXH261" s="717"/>
      <c r="HXI261" s="694"/>
      <c r="HXJ261" s="694"/>
      <c r="HXK261" s="694"/>
      <c r="HXL261" s="694"/>
      <c r="HXM261" s="694"/>
      <c r="HXN261" s="694"/>
      <c r="HXO261" s="694"/>
      <c r="HXP261" s="694"/>
      <c r="HXQ261" s="694"/>
      <c r="HXR261" s="694"/>
      <c r="HXS261" s="694"/>
      <c r="HXT261" s="694"/>
      <c r="HXU261" s="694"/>
      <c r="HXV261" s="694"/>
      <c r="HXW261" s="694"/>
      <c r="HXX261" s="694"/>
      <c r="HXY261" s="694"/>
      <c r="HXZ261" s="694"/>
      <c r="HYA261" s="694"/>
      <c r="HYB261" s="717"/>
      <c r="HYC261" s="694"/>
      <c r="HYD261" s="694"/>
      <c r="HYE261" s="694"/>
      <c r="HYF261" s="694"/>
      <c r="HYG261" s="694"/>
      <c r="HYH261" s="694"/>
      <c r="HYI261" s="694"/>
      <c r="HYJ261" s="694"/>
      <c r="HYK261" s="694"/>
      <c r="HYL261" s="694"/>
      <c r="HYM261" s="694"/>
      <c r="HYN261" s="694"/>
      <c r="HYO261" s="694"/>
      <c r="HYP261" s="694"/>
      <c r="HYQ261" s="694"/>
      <c r="HYR261" s="694"/>
      <c r="HYS261" s="694"/>
      <c r="HYT261" s="694"/>
      <c r="HYU261" s="694"/>
      <c r="HYV261" s="717"/>
      <c r="HYW261" s="694"/>
      <c r="HYX261" s="694"/>
      <c r="HYY261" s="694"/>
      <c r="HYZ261" s="694"/>
      <c r="HZA261" s="694"/>
      <c r="HZB261" s="694"/>
      <c r="HZC261" s="694"/>
      <c r="HZD261" s="694"/>
      <c r="HZE261" s="694"/>
      <c r="HZF261" s="694"/>
      <c r="HZG261" s="694"/>
      <c r="HZH261" s="694"/>
      <c r="HZI261" s="694"/>
      <c r="HZJ261" s="694"/>
      <c r="HZK261" s="694"/>
      <c r="HZL261" s="694"/>
      <c r="HZM261" s="694"/>
      <c r="HZN261" s="694"/>
      <c r="HZO261" s="694"/>
      <c r="HZP261" s="717"/>
      <c r="HZQ261" s="694"/>
      <c r="HZR261" s="694"/>
      <c r="HZS261" s="694"/>
      <c r="HZT261" s="694"/>
      <c r="HZU261" s="694"/>
      <c r="HZV261" s="694"/>
      <c r="HZW261" s="694"/>
      <c r="HZX261" s="694"/>
      <c r="HZY261" s="694"/>
      <c r="HZZ261" s="694"/>
      <c r="IAA261" s="694"/>
      <c r="IAB261" s="694"/>
      <c r="IAC261" s="694"/>
      <c r="IAD261" s="694"/>
      <c r="IAE261" s="694"/>
      <c r="IAF261" s="694"/>
      <c r="IAG261" s="694"/>
      <c r="IAH261" s="694"/>
      <c r="IAI261" s="694"/>
      <c r="IAJ261" s="717"/>
      <c r="IAK261" s="694"/>
      <c r="IAL261" s="694"/>
      <c r="IAM261" s="694"/>
      <c r="IAN261" s="694"/>
      <c r="IAO261" s="694"/>
      <c r="IAP261" s="694"/>
      <c r="IAQ261" s="694"/>
      <c r="IAR261" s="694"/>
      <c r="IAS261" s="694"/>
      <c r="IAT261" s="694"/>
      <c r="IAU261" s="694"/>
      <c r="IAV261" s="694"/>
      <c r="IAW261" s="694"/>
      <c r="IAX261" s="694"/>
      <c r="IAY261" s="694"/>
      <c r="IAZ261" s="694"/>
      <c r="IBA261" s="694"/>
      <c r="IBB261" s="694"/>
      <c r="IBC261" s="694"/>
      <c r="IBD261" s="717"/>
      <c r="IBE261" s="694"/>
      <c r="IBF261" s="694"/>
      <c r="IBG261" s="694"/>
      <c r="IBH261" s="694"/>
      <c r="IBI261" s="694"/>
      <c r="IBJ261" s="694"/>
      <c r="IBK261" s="694"/>
      <c r="IBL261" s="694"/>
      <c r="IBM261" s="694"/>
      <c r="IBN261" s="694"/>
      <c r="IBO261" s="694"/>
      <c r="IBP261" s="694"/>
      <c r="IBQ261" s="694"/>
      <c r="IBR261" s="694"/>
      <c r="IBS261" s="694"/>
      <c r="IBT261" s="694"/>
      <c r="IBU261" s="694"/>
      <c r="IBV261" s="694"/>
      <c r="IBW261" s="694"/>
      <c r="IBX261" s="717"/>
      <c r="IBY261" s="694"/>
      <c r="IBZ261" s="694"/>
      <c r="ICA261" s="694"/>
      <c r="ICB261" s="694"/>
      <c r="ICC261" s="694"/>
      <c r="ICD261" s="694"/>
      <c r="ICE261" s="694"/>
      <c r="ICF261" s="694"/>
      <c r="ICG261" s="694"/>
      <c r="ICH261" s="694"/>
      <c r="ICI261" s="694"/>
      <c r="ICJ261" s="694"/>
      <c r="ICK261" s="694"/>
      <c r="ICL261" s="694"/>
      <c r="ICM261" s="694"/>
      <c r="ICN261" s="694"/>
      <c r="ICO261" s="694"/>
      <c r="ICP261" s="694"/>
      <c r="ICQ261" s="694"/>
      <c r="ICR261" s="717"/>
      <c r="ICS261" s="694"/>
      <c r="ICT261" s="694"/>
      <c r="ICU261" s="694"/>
      <c r="ICV261" s="694"/>
      <c r="ICW261" s="694"/>
      <c r="ICX261" s="694"/>
      <c r="ICY261" s="694"/>
      <c r="ICZ261" s="694"/>
      <c r="IDA261" s="694"/>
      <c r="IDB261" s="694"/>
      <c r="IDC261" s="694"/>
      <c r="IDD261" s="694"/>
      <c r="IDE261" s="694"/>
      <c r="IDF261" s="694"/>
      <c r="IDG261" s="694"/>
      <c r="IDH261" s="694"/>
      <c r="IDI261" s="694"/>
      <c r="IDJ261" s="694"/>
      <c r="IDK261" s="694"/>
      <c r="IDL261" s="717"/>
      <c r="IDM261" s="694"/>
      <c r="IDN261" s="694"/>
      <c r="IDO261" s="694"/>
      <c r="IDP261" s="694"/>
      <c r="IDQ261" s="694"/>
      <c r="IDR261" s="694"/>
      <c r="IDS261" s="694"/>
      <c r="IDT261" s="694"/>
      <c r="IDU261" s="694"/>
      <c r="IDV261" s="694"/>
      <c r="IDW261" s="694"/>
      <c r="IDX261" s="694"/>
      <c r="IDY261" s="694"/>
      <c r="IDZ261" s="694"/>
      <c r="IEA261" s="694"/>
      <c r="IEB261" s="694"/>
      <c r="IEC261" s="694"/>
      <c r="IED261" s="694"/>
      <c r="IEE261" s="694"/>
      <c r="IEF261" s="717"/>
      <c r="IEG261" s="694"/>
      <c r="IEH261" s="694"/>
      <c r="IEI261" s="694"/>
      <c r="IEJ261" s="694"/>
      <c r="IEK261" s="694"/>
      <c r="IEL261" s="694"/>
      <c r="IEM261" s="694"/>
      <c r="IEN261" s="694"/>
      <c r="IEO261" s="694"/>
      <c r="IEP261" s="694"/>
      <c r="IEQ261" s="694"/>
      <c r="IER261" s="694"/>
      <c r="IES261" s="694"/>
      <c r="IET261" s="694"/>
      <c r="IEU261" s="694"/>
      <c r="IEV261" s="694"/>
      <c r="IEW261" s="694"/>
      <c r="IEX261" s="694"/>
      <c r="IEY261" s="694"/>
      <c r="IEZ261" s="717"/>
      <c r="IFA261" s="694"/>
      <c r="IFB261" s="694"/>
      <c r="IFC261" s="694"/>
      <c r="IFD261" s="694"/>
      <c r="IFE261" s="694"/>
      <c r="IFF261" s="694"/>
      <c r="IFG261" s="694"/>
      <c r="IFH261" s="694"/>
      <c r="IFI261" s="694"/>
      <c r="IFJ261" s="694"/>
      <c r="IFK261" s="694"/>
      <c r="IFL261" s="694"/>
      <c r="IFM261" s="694"/>
      <c r="IFN261" s="694"/>
      <c r="IFO261" s="694"/>
      <c r="IFP261" s="694"/>
      <c r="IFQ261" s="694"/>
      <c r="IFR261" s="694"/>
      <c r="IFS261" s="694"/>
      <c r="IFT261" s="717"/>
      <c r="IFU261" s="694"/>
      <c r="IFV261" s="694"/>
      <c r="IFW261" s="694"/>
      <c r="IFX261" s="694"/>
      <c r="IFY261" s="694"/>
      <c r="IFZ261" s="694"/>
      <c r="IGA261" s="694"/>
      <c r="IGB261" s="694"/>
      <c r="IGC261" s="694"/>
      <c r="IGD261" s="694"/>
      <c r="IGE261" s="694"/>
      <c r="IGF261" s="694"/>
      <c r="IGG261" s="694"/>
      <c r="IGH261" s="694"/>
      <c r="IGI261" s="694"/>
      <c r="IGJ261" s="694"/>
      <c r="IGK261" s="694"/>
      <c r="IGL261" s="694"/>
      <c r="IGM261" s="694"/>
      <c r="IGN261" s="717"/>
      <c r="IGO261" s="694"/>
      <c r="IGP261" s="694"/>
      <c r="IGQ261" s="694"/>
      <c r="IGR261" s="694"/>
      <c r="IGS261" s="694"/>
      <c r="IGT261" s="694"/>
      <c r="IGU261" s="694"/>
      <c r="IGV261" s="694"/>
      <c r="IGW261" s="694"/>
      <c r="IGX261" s="694"/>
      <c r="IGY261" s="694"/>
      <c r="IGZ261" s="694"/>
      <c r="IHA261" s="694"/>
      <c r="IHB261" s="694"/>
      <c r="IHC261" s="694"/>
      <c r="IHD261" s="694"/>
      <c r="IHE261" s="694"/>
      <c r="IHF261" s="694"/>
      <c r="IHG261" s="694"/>
      <c r="IHH261" s="717"/>
      <c r="IHI261" s="694"/>
      <c r="IHJ261" s="694"/>
      <c r="IHK261" s="694"/>
      <c r="IHL261" s="694"/>
      <c r="IHM261" s="694"/>
      <c r="IHN261" s="694"/>
      <c r="IHO261" s="694"/>
      <c r="IHP261" s="694"/>
      <c r="IHQ261" s="694"/>
      <c r="IHR261" s="694"/>
      <c r="IHS261" s="694"/>
      <c r="IHT261" s="694"/>
      <c r="IHU261" s="694"/>
      <c r="IHV261" s="694"/>
      <c r="IHW261" s="694"/>
      <c r="IHX261" s="694"/>
      <c r="IHY261" s="694"/>
      <c r="IHZ261" s="694"/>
      <c r="IIA261" s="694"/>
      <c r="IIB261" s="717"/>
      <c r="IIC261" s="694"/>
      <c r="IID261" s="694"/>
      <c r="IIE261" s="694"/>
      <c r="IIF261" s="694"/>
      <c r="IIG261" s="694"/>
      <c r="IIH261" s="694"/>
      <c r="III261" s="694"/>
      <c r="IIJ261" s="694"/>
      <c r="IIK261" s="694"/>
      <c r="IIL261" s="694"/>
      <c r="IIM261" s="694"/>
      <c r="IIN261" s="694"/>
      <c r="IIO261" s="694"/>
      <c r="IIP261" s="694"/>
      <c r="IIQ261" s="694"/>
      <c r="IIR261" s="694"/>
      <c r="IIS261" s="694"/>
      <c r="IIT261" s="694"/>
      <c r="IIU261" s="694"/>
      <c r="IIV261" s="717"/>
      <c r="IIW261" s="694"/>
      <c r="IIX261" s="694"/>
      <c r="IIY261" s="694"/>
      <c r="IIZ261" s="694"/>
      <c r="IJA261" s="694"/>
      <c r="IJB261" s="694"/>
      <c r="IJC261" s="694"/>
      <c r="IJD261" s="694"/>
      <c r="IJE261" s="694"/>
      <c r="IJF261" s="694"/>
      <c r="IJG261" s="694"/>
      <c r="IJH261" s="694"/>
      <c r="IJI261" s="694"/>
      <c r="IJJ261" s="694"/>
      <c r="IJK261" s="694"/>
      <c r="IJL261" s="694"/>
      <c r="IJM261" s="694"/>
      <c r="IJN261" s="694"/>
      <c r="IJO261" s="694"/>
      <c r="IJP261" s="717"/>
      <c r="IJQ261" s="694"/>
      <c r="IJR261" s="694"/>
      <c r="IJS261" s="694"/>
      <c r="IJT261" s="694"/>
      <c r="IJU261" s="694"/>
      <c r="IJV261" s="694"/>
      <c r="IJW261" s="694"/>
      <c r="IJX261" s="694"/>
      <c r="IJY261" s="694"/>
      <c r="IJZ261" s="694"/>
      <c r="IKA261" s="694"/>
      <c r="IKB261" s="694"/>
      <c r="IKC261" s="694"/>
      <c r="IKD261" s="694"/>
      <c r="IKE261" s="694"/>
      <c r="IKF261" s="694"/>
      <c r="IKG261" s="694"/>
      <c r="IKH261" s="694"/>
      <c r="IKI261" s="694"/>
      <c r="IKJ261" s="717"/>
      <c r="IKK261" s="694"/>
      <c r="IKL261" s="694"/>
      <c r="IKM261" s="694"/>
      <c r="IKN261" s="694"/>
      <c r="IKO261" s="694"/>
      <c r="IKP261" s="694"/>
      <c r="IKQ261" s="694"/>
      <c r="IKR261" s="694"/>
      <c r="IKS261" s="694"/>
      <c r="IKT261" s="694"/>
      <c r="IKU261" s="694"/>
      <c r="IKV261" s="694"/>
      <c r="IKW261" s="694"/>
      <c r="IKX261" s="694"/>
      <c r="IKY261" s="694"/>
      <c r="IKZ261" s="694"/>
      <c r="ILA261" s="694"/>
      <c r="ILB261" s="694"/>
      <c r="ILC261" s="694"/>
      <c r="ILD261" s="717"/>
      <c r="ILE261" s="694"/>
      <c r="ILF261" s="694"/>
      <c r="ILG261" s="694"/>
      <c r="ILH261" s="694"/>
      <c r="ILI261" s="694"/>
      <c r="ILJ261" s="694"/>
      <c r="ILK261" s="694"/>
      <c r="ILL261" s="694"/>
      <c r="ILM261" s="694"/>
      <c r="ILN261" s="694"/>
      <c r="ILO261" s="694"/>
      <c r="ILP261" s="694"/>
      <c r="ILQ261" s="694"/>
      <c r="ILR261" s="694"/>
      <c r="ILS261" s="694"/>
      <c r="ILT261" s="694"/>
      <c r="ILU261" s="694"/>
      <c r="ILV261" s="694"/>
      <c r="ILW261" s="694"/>
      <c r="ILX261" s="717"/>
      <c r="ILY261" s="694"/>
      <c r="ILZ261" s="694"/>
      <c r="IMA261" s="694"/>
      <c r="IMB261" s="694"/>
      <c r="IMC261" s="694"/>
      <c r="IMD261" s="694"/>
      <c r="IME261" s="694"/>
      <c r="IMF261" s="694"/>
      <c r="IMG261" s="694"/>
      <c r="IMH261" s="694"/>
      <c r="IMI261" s="694"/>
      <c r="IMJ261" s="694"/>
      <c r="IMK261" s="694"/>
      <c r="IML261" s="694"/>
      <c r="IMM261" s="694"/>
      <c r="IMN261" s="694"/>
      <c r="IMO261" s="694"/>
      <c r="IMP261" s="694"/>
      <c r="IMQ261" s="694"/>
      <c r="IMR261" s="717"/>
      <c r="IMS261" s="694"/>
      <c r="IMT261" s="694"/>
      <c r="IMU261" s="694"/>
      <c r="IMV261" s="694"/>
      <c r="IMW261" s="694"/>
      <c r="IMX261" s="694"/>
      <c r="IMY261" s="694"/>
      <c r="IMZ261" s="694"/>
      <c r="INA261" s="694"/>
      <c r="INB261" s="694"/>
      <c r="INC261" s="694"/>
      <c r="IND261" s="694"/>
      <c r="INE261" s="694"/>
      <c r="INF261" s="694"/>
      <c r="ING261" s="694"/>
      <c r="INH261" s="694"/>
      <c r="INI261" s="694"/>
      <c r="INJ261" s="694"/>
      <c r="INK261" s="694"/>
      <c r="INL261" s="717"/>
      <c r="INM261" s="694"/>
      <c r="INN261" s="694"/>
      <c r="INO261" s="694"/>
      <c r="INP261" s="694"/>
      <c r="INQ261" s="694"/>
      <c r="INR261" s="694"/>
      <c r="INS261" s="694"/>
      <c r="INT261" s="694"/>
      <c r="INU261" s="694"/>
      <c r="INV261" s="694"/>
      <c r="INW261" s="694"/>
      <c r="INX261" s="694"/>
      <c r="INY261" s="694"/>
      <c r="INZ261" s="694"/>
      <c r="IOA261" s="694"/>
      <c r="IOB261" s="694"/>
      <c r="IOC261" s="694"/>
      <c r="IOD261" s="694"/>
      <c r="IOE261" s="694"/>
      <c r="IOF261" s="717"/>
      <c r="IOG261" s="694"/>
      <c r="IOH261" s="694"/>
      <c r="IOI261" s="694"/>
      <c r="IOJ261" s="694"/>
      <c r="IOK261" s="694"/>
      <c r="IOL261" s="694"/>
      <c r="IOM261" s="694"/>
      <c r="ION261" s="694"/>
      <c r="IOO261" s="694"/>
      <c r="IOP261" s="694"/>
      <c r="IOQ261" s="694"/>
      <c r="IOR261" s="694"/>
      <c r="IOS261" s="694"/>
      <c r="IOT261" s="694"/>
      <c r="IOU261" s="694"/>
      <c r="IOV261" s="694"/>
      <c r="IOW261" s="694"/>
      <c r="IOX261" s="694"/>
      <c r="IOY261" s="694"/>
      <c r="IOZ261" s="717"/>
      <c r="IPA261" s="694"/>
      <c r="IPB261" s="694"/>
      <c r="IPC261" s="694"/>
      <c r="IPD261" s="694"/>
      <c r="IPE261" s="694"/>
      <c r="IPF261" s="694"/>
      <c r="IPG261" s="694"/>
      <c r="IPH261" s="694"/>
      <c r="IPI261" s="694"/>
      <c r="IPJ261" s="694"/>
      <c r="IPK261" s="694"/>
      <c r="IPL261" s="694"/>
      <c r="IPM261" s="694"/>
      <c r="IPN261" s="694"/>
      <c r="IPO261" s="694"/>
      <c r="IPP261" s="694"/>
      <c r="IPQ261" s="694"/>
      <c r="IPR261" s="694"/>
      <c r="IPS261" s="694"/>
      <c r="IPT261" s="717"/>
      <c r="IPU261" s="694"/>
      <c r="IPV261" s="694"/>
      <c r="IPW261" s="694"/>
      <c r="IPX261" s="694"/>
      <c r="IPY261" s="694"/>
      <c r="IPZ261" s="694"/>
      <c r="IQA261" s="694"/>
      <c r="IQB261" s="694"/>
      <c r="IQC261" s="694"/>
      <c r="IQD261" s="694"/>
      <c r="IQE261" s="694"/>
      <c r="IQF261" s="694"/>
      <c r="IQG261" s="694"/>
      <c r="IQH261" s="694"/>
      <c r="IQI261" s="694"/>
      <c r="IQJ261" s="694"/>
      <c r="IQK261" s="694"/>
      <c r="IQL261" s="694"/>
      <c r="IQM261" s="694"/>
      <c r="IQN261" s="717"/>
      <c r="IQO261" s="694"/>
      <c r="IQP261" s="694"/>
      <c r="IQQ261" s="694"/>
      <c r="IQR261" s="694"/>
      <c r="IQS261" s="694"/>
      <c r="IQT261" s="694"/>
      <c r="IQU261" s="694"/>
      <c r="IQV261" s="694"/>
      <c r="IQW261" s="694"/>
      <c r="IQX261" s="694"/>
      <c r="IQY261" s="694"/>
      <c r="IQZ261" s="694"/>
      <c r="IRA261" s="694"/>
      <c r="IRB261" s="694"/>
      <c r="IRC261" s="694"/>
      <c r="IRD261" s="694"/>
      <c r="IRE261" s="694"/>
      <c r="IRF261" s="694"/>
      <c r="IRG261" s="694"/>
      <c r="IRH261" s="717"/>
      <c r="IRI261" s="694"/>
      <c r="IRJ261" s="694"/>
      <c r="IRK261" s="694"/>
      <c r="IRL261" s="694"/>
      <c r="IRM261" s="694"/>
      <c r="IRN261" s="694"/>
      <c r="IRO261" s="694"/>
      <c r="IRP261" s="694"/>
      <c r="IRQ261" s="694"/>
      <c r="IRR261" s="694"/>
      <c r="IRS261" s="694"/>
      <c r="IRT261" s="694"/>
      <c r="IRU261" s="694"/>
      <c r="IRV261" s="694"/>
      <c r="IRW261" s="694"/>
      <c r="IRX261" s="694"/>
      <c r="IRY261" s="694"/>
      <c r="IRZ261" s="694"/>
      <c r="ISA261" s="694"/>
      <c r="ISB261" s="717"/>
      <c r="ISC261" s="694"/>
      <c r="ISD261" s="694"/>
      <c r="ISE261" s="694"/>
      <c r="ISF261" s="694"/>
      <c r="ISG261" s="694"/>
      <c r="ISH261" s="694"/>
      <c r="ISI261" s="694"/>
      <c r="ISJ261" s="694"/>
      <c r="ISK261" s="694"/>
      <c r="ISL261" s="694"/>
      <c r="ISM261" s="694"/>
      <c r="ISN261" s="694"/>
      <c r="ISO261" s="694"/>
      <c r="ISP261" s="694"/>
      <c r="ISQ261" s="694"/>
      <c r="ISR261" s="694"/>
      <c r="ISS261" s="694"/>
      <c r="IST261" s="694"/>
      <c r="ISU261" s="694"/>
      <c r="ISV261" s="717"/>
      <c r="ISW261" s="694"/>
      <c r="ISX261" s="694"/>
      <c r="ISY261" s="694"/>
      <c r="ISZ261" s="694"/>
      <c r="ITA261" s="694"/>
      <c r="ITB261" s="694"/>
      <c r="ITC261" s="694"/>
      <c r="ITD261" s="694"/>
      <c r="ITE261" s="694"/>
      <c r="ITF261" s="694"/>
      <c r="ITG261" s="694"/>
      <c r="ITH261" s="694"/>
      <c r="ITI261" s="694"/>
      <c r="ITJ261" s="694"/>
      <c r="ITK261" s="694"/>
      <c r="ITL261" s="694"/>
      <c r="ITM261" s="694"/>
      <c r="ITN261" s="694"/>
      <c r="ITO261" s="694"/>
      <c r="ITP261" s="717"/>
      <c r="ITQ261" s="694"/>
      <c r="ITR261" s="694"/>
      <c r="ITS261" s="694"/>
      <c r="ITT261" s="694"/>
      <c r="ITU261" s="694"/>
      <c r="ITV261" s="694"/>
      <c r="ITW261" s="694"/>
      <c r="ITX261" s="694"/>
      <c r="ITY261" s="694"/>
      <c r="ITZ261" s="694"/>
      <c r="IUA261" s="694"/>
      <c r="IUB261" s="694"/>
      <c r="IUC261" s="694"/>
      <c r="IUD261" s="694"/>
      <c r="IUE261" s="694"/>
      <c r="IUF261" s="694"/>
      <c r="IUG261" s="694"/>
      <c r="IUH261" s="694"/>
      <c r="IUI261" s="694"/>
      <c r="IUJ261" s="717"/>
      <c r="IUK261" s="694"/>
      <c r="IUL261" s="694"/>
      <c r="IUM261" s="694"/>
      <c r="IUN261" s="694"/>
      <c r="IUO261" s="694"/>
      <c r="IUP261" s="694"/>
      <c r="IUQ261" s="694"/>
      <c r="IUR261" s="694"/>
      <c r="IUS261" s="694"/>
      <c r="IUT261" s="694"/>
      <c r="IUU261" s="694"/>
      <c r="IUV261" s="694"/>
      <c r="IUW261" s="694"/>
      <c r="IUX261" s="694"/>
      <c r="IUY261" s="694"/>
      <c r="IUZ261" s="694"/>
      <c r="IVA261" s="694"/>
      <c r="IVB261" s="694"/>
      <c r="IVC261" s="694"/>
      <c r="IVD261" s="717"/>
      <c r="IVE261" s="694"/>
      <c r="IVF261" s="694"/>
      <c r="IVG261" s="694"/>
      <c r="IVH261" s="694"/>
      <c r="IVI261" s="694"/>
      <c r="IVJ261" s="694"/>
      <c r="IVK261" s="694"/>
      <c r="IVL261" s="694"/>
      <c r="IVM261" s="694"/>
      <c r="IVN261" s="694"/>
      <c r="IVO261" s="694"/>
      <c r="IVP261" s="694"/>
      <c r="IVQ261" s="694"/>
      <c r="IVR261" s="694"/>
      <c r="IVS261" s="694"/>
      <c r="IVT261" s="694"/>
      <c r="IVU261" s="694"/>
      <c r="IVV261" s="694"/>
      <c r="IVW261" s="694"/>
      <c r="IVX261" s="717"/>
      <c r="IVY261" s="694"/>
      <c r="IVZ261" s="694"/>
      <c r="IWA261" s="694"/>
      <c r="IWB261" s="694"/>
      <c r="IWC261" s="694"/>
      <c r="IWD261" s="694"/>
      <c r="IWE261" s="694"/>
      <c r="IWF261" s="694"/>
      <c r="IWG261" s="694"/>
      <c r="IWH261" s="694"/>
      <c r="IWI261" s="694"/>
      <c r="IWJ261" s="694"/>
      <c r="IWK261" s="694"/>
      <c r="IWL261" s="694"/>
      <c r="IWM261" s="694"/>
      <c r="IWN261" s="694"/>
      <c r="IWO261" s="694"/>
      <c r="IWP261" s="694"/>
      <c r="IWQ261" s="694"/>
      <c r="IWR261" s="717"/>
      <c r="IWS261" s="694"/>
      <c r="IWT261" s="694"/>
      <c r="IWU261" s="694"/>
      <c r="IWV261" s="694"/>
      <c r="IWW261" s="694"/>
      <c r="IWX261" s="694"/>
      <c r="IWY261" s="694"/>
      <c r="IWZ261" s="694"/>
      <c r="IXA261" s="694"/>
      <c r="IXB261" s="694"/>
      <c r="IXC261" s="694"/>
      <c r="IXD261" s="694"/>
      <c r="IXE261" s="694"/>
      <c r="IXF261" s="694"/>
      <c r="IXG261" s="694"/>
      <c r="IXH261" s="694"/>
      <c r="IXI261" s="694"/>
      <c r="IXJ261" s="694"/>
      <c r="IXK261" s="694"/>
      <c r="IXL261" s="717"/>
      <c r="IXM261" s="694"/>
      <c r="IXN261" s="694"/>
      <c r="IXO261" s="694"/>
      <c r="IXP261" s="694"/>
      <c r="IXQ261" s="694"/>
      <c r="IXR261" s="694"/>
      <c r="IXS261" s="694"/>
      <c r="IXT261" s="694"/>
      <c r="IXU261" s="694"/>
      <c r="IXV261" s="694"/>
      <c r="IXW261" s="694"/>
      <c r="IXX261" s="694"/>
      <c r="IXY261" s="694"/>
      <c r="IXZ261" s="694"/>
      <c r="IYA261" s="694"/>
      <c r="IYB261" s="694"/>
      <c r="IYC261" s="694"/>
      <c r="IYD261" s="694"/>
      <c r="IYE261" s="694"/>
      <c r="IYF261" s="717"/>
      <c r="IYG261" s="694"/>
      <c r="IYH261" s="694"/>
      <c r="IYI261" s="694"/>
      <c r="IYJ261" s="694"/>
      <c r="IYK261" s="694"/>
      <c r="IYL261" s="694"/>
      <c r="IYM261" s="694"/>
      <c r="IYN261" s="694"/>
      <c r="IYO261" s="694"/>
      <c r="IYP261" s="694"/>
      <c r="IYQ261" s="694"/>
      <c r="IYR261" s="694"/>
      <c r="IYS261" s="694"/>
      <c r="IYT261" s="694"/>
      <c r="IYU261" s="694"/>
      <c r="IYV261" s="694"/>
      <c r="IYW261" s="694"/>
      <c r="IYX261" s="694"/>
      <c r="IYY261" s="694"/>
      <c r="IYZ261" s="717"/>
      <c r="IZA261" s="694"/>
      <c r="IZB261" s="694"/>
      <c r="IZC261" s="694"/>
      <c r="IZD261" s="694"/>
      <c r="IZE261" s="694"/>
      <c r="IZF261" s="694"/>
      <c r="IZG261" s="694"/>
      <c r="IZH261" s="694"/>
      <c r="IZI261" s="694"/>
      <c r="IZJ261" s="694"/>
      <c r="IZK261" s="694"/>
      <c r="IZL261" s="694"/>
      <c r="IZM261" s="694"/>
      <c r="IZN261" s="694"/>
      <c r="IZO261" s="694"/>
      <c r="IZP261" s="694"/>
      <c r="IZQ261" s="694"/>
      <c r="IZR261" s="694"/>
      <c r="IZS261" s="694"/>
      <c r="IZT261" s="717"/>
      <c r="IZU261" s="694"/>
      <c r="IZV261" s="694"/>
      <c r="IZW261" s="694"/>
      <c r="IZX261" s="694"/>
      <c r="IZY261" s="694"/>
      <c r="IZZ261" s="694"/>
      <c r="JAA261" s="694"/>
      <c r="JAB261" s="694"/>
      <c r="JAC261" s="694"/>
      <c r="JAD261" s="694"/>
      <c r="JAE261" s="694"/>
      <c r="JAF261" s="694"/>
      <c r="JAG261" s="694"/>
      <c r="JAH261" s="694"/>
      <c r="JAI261" s="694"/>
      <c r="JAJ261" s="694"/>
      <c r="JAK261" s="694"/>
      <c r="JAL261" s="694"/>
      <c r="JAM261" s="694"/>
      <c r="JAN261" s="717"/>
      <c r="JAO261" s="694"/>
      <c r="JAP261" s="694"/>
      <c r="JAQ261" s="694"/>
      <c r="JAR261" s="694"/>
      <c r="JAS261" s="694"/>
      <c r="JAT261" s="694"/>
      <c r="JAU261" s="694"/>
      <c r="JAV261" s="694"/>
      <c r="JAW261" s="694"/>
      <c r="JAX261" s="694"/>
      <c r="JAY261" s="694"/>
      <c r="JAZ261" s="694"/>
      <c r="JBA261" s="694"/>
      <c r="JBB261" s="694"/>
      <c r="JBC261" s="694"/>
      <c r="JBD261" s="694"/>
      <c r="JBE261" s="694"/>
      <c r="JBF261" s="694"/>
      <c r="JBG261" s="694"/>
      <c r="JBH261" s="717"/>
      <c r="JBI261" s="694"/>
      <c r="JBJ261" s="694"/>
      <c r="JBK261" s="694"/>
      <c r="JBL261" s="694"/>
      <c r="JBM261" s="694"/>
      <c r="JBN261" s="694"/>
      <c r="JBO261" s="694"/>
      <c r="JBP261" s="694"/>
      <c r="JBQ261" s="694"/>
      <c r="JBR261" s="694"/>
      <c r="JBS261" s="694"/>
      <c r="JBT261" s="694"/>
      <c r="JBU261" s="694"/>
      <c r="JBV261" s="694"/>
      <c r="JBW261" s="694"/>
      <c r="JBX261" s="694"/>
      <c r="JBY261" s="694"/>
      <c r="JBZ261" s="694"/>
      <c r="JCA261" s="694"/>
      <c r="JCB261" s="717"/>
      <c r="JCC261" s="694"/>
      <c r="JCD261" s="694"/>
      <c r="JCE261" s="694"/>
      <c r="JCF261" s="694"/>
      <c r="JCG261" s="694"/>
      <c r="JCH261" s="694"/>
      <c r="JCI261" s="694"/>
      <c r="JCJ261" s="694"/>
      <c r="JCK261" s="694"/>
      <c r="JCL261" s="694"/>
      <c r="JCM261" s="694"/>
      <c r="JCN261" s="694"/>
      <c r="JCO261" s="694"/>
      <c r="JCP261" s="694"/>
      <c r="JCQ261" s="694"/>
      <c r="JCR261" s="694"/>
      <c r="JCS261" s="694"/>
      <c r="JCT261" s="694"/>
      <c r="JCU261" s="694"/>
      <c r="JCV261" s="717"/>
      <c r="JCW261" s="694"/>
      <c r="JCX261" s="694"/>
      <c r="JCY261" s="694"/>
      <c r="JCZ261" s="694"/>
      <c r="JDA261" s="694"/>
      <c r="JDB261" s="694"/>
      <c r="JDC261" s="694"/>
      <c r="JDD261" s="694"/>
      <c r="JDE261" s="694"/>
      <c r="JDF261" s="694"/>
      <c r="JDG261" s="694"/>
      <c r="JDH261" s="694"/>
      <c r="JDI261" s="694"/>
      <c r="JDJ261" s="694"/>
      <c r="JDK261" s="694"/>
      <c r="JDL261" s="694"/>
      <c r="JDM261" s="694"/>
      <c r="JDN261" s="694"/>
      <c r="JDO261" s="694"/>
      <c r="JDP261" s="717"/>
      <c r="JDQ261" s="694"/>
      <c r="JDR261" s="694"/>
      <c r="JDS261" s="694"/>
      <c r="JDT261" s="694"/>
      <c r="JDU261" s="694"/>
      <c r="JDV261" s="694"/>
      <c r="JDW261" s="694"/>
      <c r="JDX261" s="694"/>
      <c r="JDY261" s="694"/>
      <c r="JDZ261" s="694"/>
      <c r="JEA261" s="694"/>
      <c r="JEB261" s="694"/>
      <c r="JEC261" s="694"/>
      <c r="JED261" s="694"/>
      <c r="JEE261" s="694"/>
      <c r="JEF261" s="694"/>
      <c r="JEG261" s="694"/>
      <c r="JEH261" s="694"/>
      <c r="JEI261" s="694"/>
      <c r="JEJ261" s="717"/>
      <c r="JEK261" s="694"/>
      <c r="JEL261" s="694"/>
      <c r="JEM261" s="694"/>
      <c r="JEN261" s="694"/>
      <c r="JEO261" s="694"/>
      <c r="JEP261" s="694"/>
      <c r="JEQ261" s="694"/>
      <c r="JER261" s="694"/>
      <c r="JES261" s="694"/>
      <c r="JET261" s="694"/>
      <c r="JEU261" s="694"/>
      <c r="JEV261" s="694"/>
      <c r="JEW261" s="694"/>
      <c r="JEX261" s="694"/>
      <c r="JEY261" s="694"/>
      <c r="JEZ261" s="694"/>
      <c r="JFA261" s="694"/>
      <c r="JFB261" s="694"/>
      <c r="JFC261" s="694"/>
      <c r="JFD261" s="717"/>
      <c r="JFE261" s="694"/>
      <c r="JFF261" s="694"/>
      <c r="JFG261" s="694"/>
      <c r="JFH261" s="694"/>
      <c r="JFI261" s="694"/>
      <c r="JFJ261" s="694"/>
      <c r="JFK261" s="694"/>
      <c r="JFL261" s="694"/>
      <c r="JFM261" s="694"/>
      <c r="JFN261" s="694"/>
      <c r="JFO261" s="694"/>
      <c r="JFP261" s="694"/>
      <c r="JFQ261" s="694"/>
      <c r="JFR261" s="694"/>
      <c r="JFS261" s="694"/>
      <c r="JFT261" s="694"/>
      <c r="JFU261" s="694"/>
      <c r="JFV261" s="694"/>
      <c r="JFW261" s="694"/>
      <c r="JFX261" s="717"/>
      <c r="JFY261" s="694"/>
      <c r="JFZ261" s="694"/>
      <c r="JGA261" s="694"/>
      <c r="JGB261" s="694"/>
      <c r="JGC261" s="694"/>
      <c r="JGD261" s="694"/>
      <c r="JGE261" s="694"/>
      <c r="JGF261" s="694"/>
      <c r="JGG261" s="694"/>
      <c r="JGH261" s="694"/>
      <c r="JGI261" s="694"/>
      <c r="JGJ261" s="694"/>
      <c r="JGK261" s="694"/>
      <c r="JGL261" s="694"/>
      <c r="JGM261" s="694"/>
      <c r="JGN261" s="694"/>
      <c r="JGO261" s="694"/>
      <c r="JGP261" s="694"/>
      <c r="JGQ261" s="694"/>
      <c r="JGR261" s="717"/>
      <c r="JGS261" s="694"/>
      <c r="JGT261" s="694"/>
      <c r="JGU261" s="694"/>
      <c r="JGV261" s="694"/>
      <c r="JGW261" s="694"/>
      <c r="JGX261" s="694"/>
      <c r="JGY261" s="694"/>
      <c r="JGZ261" s="694"/>
      <c r="JHA261" s="694"/>
      <c r="JHB261" s="694"/>
      <c r="JHC261" s="694"/>
      <c r="JHD261" s="694"/>
      <c r="JHE261" s="694"/>
      <c r="JHF261" s="694"/>
      <c r="JHG261" s="694"/>
      <c r="JHH261" s="694"/>
      <c r="JHI261" s="694"/>
      <c r="JHJ261" s="694"/>
      <c r="JHK261" s="694"/>
      <c r="JHL261" s="717"/>
      <c r="JHM261" s="694"/>
      <c r="JHN261" s="694"/>
      <c r="JHO261" s="694"/>
      <c r="JHP261" s="694"/>
      <c r="JHQ261" s="694"/>
      <c r="JHR261" s="694"/>
      <c r="JHS261" s="694"/>
      <c r="JHT261" s="694"/>
      <c r="JHU261" s="694"/>
      <c r="JHV261" s="694"/>
      <c r="JHW261" s="694"/>
      <c r="JHX261" s="694"/>
      <c r="JHY261" s="694"/>
      <c r="JHZ261" s="694"/>
      <c r="JIA261" s="694"/>
      <c r="JIB261" s="694"/>
      <c r="JIC261" s="694"/>
      <c r="JID261" s="694"/>
      <c r="JIE261" s="694"/>
      <c r="JIF261" s="717"/>
      <c r="JIG261" s="694"/>
      <c r="JIH261" s="694"/>
      <c r="JII261" s="694"/>
      <c r="JIJ261" s="694"/>
      <c r="JIK261" s="694"/>
      <c r="JIL261" s="694"/>
      <c r="JIM261" s="694"/>
      <c r="JIN261" s="694"/>
      <c r="JIO261" s="694"/>
      <c r="JIP261" s="694"/>
      <c r="JIQ261" s="694"/>
      <c r="JIR261" s="694"/>
      <c r="JIS261" s="694"/>
      <c r="JIT261" s="694"/>
      <c r="JIU261" s="694"/>
      <c r="JIV261" s="694"/>
      <c r="JIW261" s="694"/>
      <c r="JIX261" s="694"/>
      <c r="JIY261" s="694"/>
      <c r="JIZ261" s="717"/>
      <c r="JJA261" s="694"/>
      <c r="JJB261" s="694"/>
      <c r="JJC261" s="694"/>
      <c r="JJD261" s="694"/>
      <c r="JJE261" s="694"/>
      <c r="JJF261" s="694"/>
      <c r="JJG261" s="694"/>
      <c r="JJH261" s="694"/>
      <c r="JJI261" s="694"/>
      <c r="JJJ261" s="694"/>
      <c r="JJK261" s="694"/>
      <c r="JJL261" s="694"/>
      <c r="JJM261" s="694"/>
      <c r="JJN261" s="694"/>
      <c r="JJO261" s="694"/>
      <c r="JJP261" s="694"/>
      <c r="JJQ261" s="694"/>
      <c r="JJR261" s="694"/>
      <c r="JJS261" s="694"/>
      <c r="JJT261" s="717"/>
      <c r="JJU261" s="694"/>
      <c r="JJV261" s="694"/>
      <c r="JJW261" s="694"/>
      <c r="JJX261" s="694"/>
      <c r="JJY261" s="694"/>
      <c r="JJZ261" s="694"/>
      <c r="JKA261" s="694"/>
      <c r="JKB261" s="694"/>
      <c r="JKC261" s="694"/>
      <c r="JKD261" s="694"/>
      <c r="JKE261" s="694"/>
      <c r="JKF261" s="694"/>
      <c r="JKG261" s="694"/>
      <c r="JKH261" s="694"/>
      <c r="JKI261" s="694"/>
      <c r="JKJ261" s="694"/>
      <c r="JKK261" s="694"/>
      <c r="JKL261" s="694"/>
      <c r="JKM261" s="694"/>
      <c r="JKN261" s="717"/>
      <c r="JKO261" s="694"/>
      <c r="JKP261" s="694"/>
      <c r="JKQ261" s="694"/>
      <c r="JKR261" s="694"/>
      <c r="JKS261" s="694"/>
      <c r="JKT261" s="694"/>
      <c r="JKU261" s="694"/>
      <c r="JKV261" s="694"/>
      <c r="JKW261" s="694"/>
      <c r="JKX261" s="694"/>
      <c r="JKY261" s="694"/>
      <c r="JKZ261" s="694"/>
      <c r="JLA261" s="694"/>
      <c r="JLB261" s="694"/>
      <c r="JLC261" s="694"/>
      <c r="JLD261" s="694"/>
      <c r="JLE261" s="694"/>
      <c r="JLF261" s="694"/>
      <c r="JLG261" s="694"/>
      <c r="JLH261" s="717"/>
      <c r="JLI261" s="694"/>
      <c r="JLJ261" s="694"/>
      <c r="JLK261" s="694"/>
      <c r="JLL261" s="694"/>
      <c r="JLM261" s="694"/>
      <c r="JLN261" s="694"/>
      <c r="JLO261" s="694"/>
      <c r="JLP261" s="694"/>
      <c r="JLQ261" s="694"/>
      <c r="JLR261" s="694"/>
      <c r="JLS261" s="694"/>
      <c r="JLT261" s="694"/>
      <c r="JLU261" s="694"/>
      <c r="JLV261" s="694"/>
      <c r="JLW261" s="694"/>
      <c r="JLX261" s="694"/>
      <c r="JLY261" s="694"/>
      <c r="JLZ261" s="694"/>
      <c r="JMA261" s="694"/>
      <c r="JMB261" s="717"/>
      <c r="JMC261" s="694"/>
      <c r="JMD261" s="694"/>
      <c r="JME261" s="694"/>
      <c r="JMF261" s="694"/>
      <c r="JMG261" s="694"/>
      <c r="JMH261" s="694"/>
      <c r="JMI261" s="694"/>
      <c r="JMJ261" s="694"/>
      <c r="JMK261" s="694"/>
      <c r="JML261" s="694"/>
      <c r="JMM261" s="694"/>
      <c r="JMN261" s="694"/>
      <c r="JMO261" s="694"/>
      <c r="JMP261" s="694"/>
      <c r="JMQ261" s="694"/>
      <c r="JMR261" s="694"/>
      <c r="JMS261" s="694"/>
      <c r="JMT261" s="694"/>
      <c r="JMU261" s="694"/>
      <c r="JMV261" s="717"/>
      <c r="JMW261" s="694"/>
      <c r="JMX261" s="694"/>
      <c r="JMY261" s="694"/>
      <c r="JMZ261" s="694"/>
      <c r="JNA261" s="694"/>
      <c r="JNB261" s="694"/>
      <c r="JNC261" s="694"/>
      <c r="JND261" s="694"/>
      <c r="JNE261" s="694"/>
      <c r="JNF261" s="694"/>
      <c r="JNG261" s="694"/>
      <c r="JNH261" s="694"/>
      <c r="JNI261" s="694"/>
      <c r="JNJ261" s="694"/>
      <c r="JNK261" s="694"/>
      <c r="JNL261" s="694"/>
      <c r="JNM261" s="694"/>
      <c r="JNN261" s="694"/>
      <c r="JNO261" s="694"/>
      <c r="JNP261" s="717"/>
      <c r="JNQ261" s="694"/>
      <c r="JNR261" s="694"/>
      <c r="JNS261" s="694"/>
      <c r="JNT261" s="694"/>
      <c r="JNU261" s="694"/>
      <c r="JNV261" s="694"/>
      <c r="JNW261" s="694"/>
      <c r="JNX261" s="694"/>
      <c r="JNY261" s="694"/>
      <c r="JNZ261" s="694"/>
      <c r="JOA261" s="694"/>
      <c r="JOB261" s="694"/>
      <c r="JOC261" s="694"/>
      <c r="JOD261" s="694"/>
      <c r="JOE261" s="694"/>
      <c r="JOF261" s="694"/>
      <c r="JOG261" s="694"/>
      <c r="JOH261" s="694"/>
      <c r="JOI261" s="694"/>
      <c r="JOJ261" s="717"/>
      <c r="JOK261" s="694"/>
      <c r="JOL261" s="694"/>
      <c r="JOM261" s="694"/>
      <c r="JON261" s="694"/>
      <c r="JOO261" s="694"/>
      <c r="JOP261" s="694"/>
      <c r="JOQ261" s="694"/>
      <c r="JOR261" s="694"/>
      <c r="JOS261" s="694"/>
      <c r="JOT261" s="694"/>
      <c r="JOU261" s="694"/>
      <c r="JOV261" s="694"/>
      <c r="JOW261" s="694"/>
      <c r="JOX261" s="694"/>
      <c r="JOY261" s="694"/>
      <c r="JOZ261" s="694"/>
      <c r="JPA261" s="694"/>
      <c r="JPB261" s="694"/>
      <c r="JPC261" s="694"/>
      <c r="JPD261" s="717"/>
      <c r="JPE261" s="694"/>
      <c r="JPF261" s="694"/>
      <c r="JPG261" s="694"/>
      <c r="JPH261" s="694"/>
      <c r="JPI261" s="694"/>
      <c r="JPJ261" s="694"/>
      <c r="JPK261" s="694"/>
      <c r="JPL261" s="694"/>
      <c r="JPM261" s="694"/>
      <c r="JPN261" s="694"/>
      <c r="JPO261" s="694"/>
      <c r="JPP261" s="694"/>
      <c r="JPQ261" s="694"/>
      <c r="JPR261" s="694"/>
      <c r="JPS261" s="694"/>
      <c r="JPT261" s="694"/>
      <c r="JPU261" s="694"/>
      <c r="JPV261" s="694"/>
      <c r="JPW261" s="694"/>
      <c r="JPX261" s="717"/>
      <c r="JPY261" s="694"/>
      <c r="JPZ261" s="694"/>
      <c r="JQA261" s="694"/>
      <c r="JQB261" s="694"/>
      <c r="JQC261" s="694"/>
      <c r="JQD261" s="694"/>
      <c r="JQE261" s="694"/>
      <c r="JQF261" s="694"/>
      <c r="JQG261" s="694"/>
      <c r="JQH261" s="694"/>
      <c r="JQI261" s="694"/>
      <c r="JQJ261" s="694"/>
      <c r="JQK261" s="694"/>
      <c r="JQL261" s="694"/>
      <c r="JQM261" s="694"/>
      <c r="JQN261" s="694"/>
      <c r="JQO261" s="694"/>
      <c r="JQP261" s="694"/>
      <c r="JQQ261" s="694"/>
      <c r="JQR261" s="717"/>
      <c r="JQS261" s="694"/>
      <c r="JQT261" s="694"/>
      <c r="JQU261" s="694"/>
      <c r="JQV261" s="694"/>
      <c r="JQW261" s="694"/>
      <c r="JQX261" s="694"/>
      <c r="JQY261" s="694"/>
      <c r="JQZ261" s="694"/>
      <c r="JRA261" s="694"/>
      <c r="JRB261" s="694"/>
      <c r="JRC261" s="694"/>
      <c r="JRD261" s="694"/>
      <c r="JRE261" s="694"/>
      <c r="JRF261" s="694"/>
      <c r="JRG261" s="694"/>
      <c r="JRH261" s="694"/>
      <c r="JRI261" s="694"/>
      <c r="JRJ261" s="694"/>
      <c r="JRK261" s="694"/>
      <c r="JRL261" s="717"/>
      <c r="JRM261" s="694"/>
      <c r="JRN261" s="694"/>
      <c r="JRO261" s="694"/>
      <c r="JRP261" s="694"/>
      <c r="JRQ261" s="694"/>
      <c r="JRR261" s="694"/>
      <c r="JRS261" s="694"/>
      <c r="JRT261" s="694"/>
      <c r="JRU261" s="694"/>
      <c r="JRV261" s="694"/>
      <c r="JRW261" s="694"/>
      <c r="JRX261" s="694"/>
      <c r="JRY261" s="694"/>
      <c r="JRZ261" s="694"/>
      <c r="JSA261" s="694"/>
      <c r="JSB261" s="694"/>
      <c r="JSC261" s="694"/>
      <c r="JSD261" s="694"/>
      <c r="JSE261" s="694"/>
      <c r="JSF261" s="717"/>
      <c r="JSG261" s="694"/>
      <c r="JSH261" s="694"/>
      <c r="JSI261" s="694"/>
      <c r="JSJ261" s="694"/>
      <c r="JSK261" s="694"/>
      <c r="JSL261" s="694"/>
      <c r="JSM261" s="694"/>
      <c r="JSN261" s="694"/>
      <c r="JSO261" s="694"/>
      <c r="JSP261" s="694"/>
      <c r="JSQ261" s="694"/>
      <c r="JSR261" s="694"/>
      <c r="JSS261" s="694"/>
      <c r="JST261" s="694"/>
      <c r="JSU261" s="694"/>
      <c r="JSV261" s="694"/>
      <c r="JSW261" s="694"/>
      <c r="JSX261" s="694"/>
      <c r="JSY261" s="694"/>
      <c r="JSZ261" s="717"/>
      <c r="JTA261" s="694"/>
      <c r="JTB261" s="694"/>
      <c r="JTC261" s="694"/>
      <c r="JTD261" s="694"/>
      <c r="JTE261" s="694"/>
      <c r="JTF261" s="694"/>
      <c r="JTG261" s="694"/>
      <c r="JTH261" s="694"/>
      <c r="JTI261" s="694"/>
      <c r="JTJ261" s="694"/>
      <c r="JTK261" s="694"/>
      <c r="JTL261" s="694"/>
      <c r="JTM261" s="694"/>
      <c r="JTN261" s="694"/>
      <c r="JTO261" s="694"/>
      <c r="JTP261" s="694"/>
      <c r="JTQ261" s="694"/>
      <c r="JTR261" s="694"/>
      <c r="JTS261" s="694"/>
      <c r="JTT261" s="717"/>
      <c r="JTU261" s="694"/>
      <c r="JTV261" s="694"/>
      <c r="JTW261" s="694"/>
      <c r="JTX261" s="694"/>
      <c r="JTY261" s="694"/>
      <c r="JTZ261" s="694"/>
      <c r="JUA261" s="694"/>
      <c r="JUB261" s="694"/>
      <c r="JUC261" s="694"/>
      <c r="JUD261" s="694"/>
      <c r="JUE261" s="694"/>
      <c r="JUF261" s="694"/>
      <c r="JUG261" s="694"/>
      <c r="JUH261" s="694"/>
      <c r="JUI261" s="694"/>
      <c r="JUJ261" s="694"/>
      <c r="JUK261" s="694"/>
      <c r="JUL261" s="694"/>
      <c r="JUM261" s="694"/>
      <c r="JUN261" s="717"/>
      <c r="JUO261" s="694"/>
      <c r="JUP261" s="694"/>
      <c r="JUQ261" s="694"/>
      <c r="JUR261" s="694"/>
      <c r="JUS261" s="694"/>
      <c r="JUT261" s="694"/>
      <c r="JUU261" s="694"/>
      <c r="JUV261" s="694"/>
      <c r="JUW261" s="694"/>
      <c r="JUX261" s="694"/>
      <c r="JUY261" s="694"/>
      <c r="JUZ261" s="694"/>
      <c r="JVA261" s="694"/>
      <c r="JVB261" s="694"/>
      <c r="JVC261" s="694"/>
      <c r="JVD261" s="694"/>
      <c r="JVE261" s="694"/>
      <c r="JVF261" s="694"/>
      <c r="JVG261" s="694"/>
      <c r="JVH261" s="717"/>
      <c r="JVI261" s="694"/>
      <c r="JVJ261" s="694"/>
      <c r="JVK261" s="694"/>
      <c r="JVL261" s="694"/>
      <c r="JVM261" s="694"/>
      <c r="JVN261" s="694"/>
      <c r="JVO261" s="694"/>
      <c r="JVP261" s="694"/>
      <c r="JVQ261" s="694"/>
      <c r="JVR261" s="694"/>
      <c r="JVS261" s="694"/>
      <c r="JVT261" s="694"/>
      <c r="JVU261" s="694"/>
      <c r="JVV261" s="694"/>
      <c r="JVW261" s="694"/>
      <c r="JVX261" s="694"/>
      <c r="JVY261" s="694"/>
      <c r="JVZ261" s="694"/>
      <c r="JWA261" s="694"/>
      <c r="JWB261" s="717"/>
      <c r="JWC261" s="694"/>
      <c r="JWD261" s="694"/>
      <c r="JWE261" s="694"/>
      <c r="JWF261" s="694"/>
      <c r="JWG261" s="694"/>
      <c r="JWH261" s="694"/>
      <c r="JWI261" s="694"/>
      <c r="JWJ261" s="694"/>
      <c r="JWK261" s="694"/>
      <c r="JWL261" s="694"/>
      <c r="JWM261" s="694"/>
      <c r="JWN261" s="694"/>
      <c r="JWO261" s="694"/>
      <c r="JWP261" s="694"/>
      <c r="JWQ261" s="694"/>
      <c r="JWR261" s="694"/>
      <c r="JWS261" s="694"/>
      <c r="JWT261" s="694"/>
      <c r="JWU261" s="694"/>
      <c r="JWV261" s="717"/>
      <c r="JWW261" s="694"/>
      <c r="JWX261" s="694"/>
      <c r="JWY261" s="694"/>
      <c r="JWZ261" s="694"/>
      <c r="JXA261" s="694"/>
      <c r="JXB261" s="694"/>
      <c r="JXC261" s="694"/>
      <c r="JXD261" s="694"/>
      <c r="JXE261" s="694"/>
      <c r="JXF261" s="694"/>
      <c r="JXG261" s="694"/>
      <c r="JXH261" s="694"/>
      <c r="JXI261" s="694"/>
      <c r="JXJ261" s="694"/>
      <c r="JXK261" s="694"/>
      <c r="JXL261" s="694"/>
      <c r="JXM261" s="694"/>
      <c r="JXN261" s="694"/>
      <c r="JXO261" s="694"/>
      <c r="JXP261" s="717"/>
      <c r="JXQ261" s="694"/>
      <c r="JXR261" s="694"/>
      <c r="JXS261" s="694"/>
      <c r="JXT261" s="694"/>
      <c r="JXU261" s="694"/>
      <c r="JXV261" s="694"/>
      <c r="JXW261" s="694"/>
      <c r="JXX261" s="694"/>
      <c r="JXY261" s="694"/>
      <c r="JXZ261" s="694"/>
      <c r="JYA261" s="694"/>
      <c r="JYB261" s="694"/>
      <c r="JYC261" s="694"/>
      <c r="JYD261" s="694"/>
      <c r="JYE261" s="694"/>
      <c r="JYF261" s="694"/>
      <c r="JYG261" s="694"/>
      <c r="JYH261" s="694"/>
      <c r="JYI261" s="694"/>
      <c r="JYJ261" s="717"/>
      <c r="JYK261" s="694"/>
      <c r="JYL261" s="694"/>
      <c r="JYM261" s="694"/>
      <c r="JYN261" s="694"/>
      <c r="JYO261" s="694"/>
      <c r="JYP261" s="694"/>
      <c r="JYQ261" s="694"/>
      <c r="JYR261" s="694"/>
      <c r="JYS261" s="694"/>
      <c r="JYT261" s="694"/>
      <c r="JYU261" s="694"/>
      <c r="JYV261" s="694"/>
      <c r="JYW261" s="694"/>
      <c r="JYX261" s="694"/>
      <c r="JYY261" s="694"/>
      <c r="JYZ261" s="694"/>
      <c r="JZA261" s="694"/>
      <c r="JZB261" s="694"/>
      <c r="JZC261" s="694"/>
      <c r="JZD261" s="717"/>
      <c r="JZE261" s="694"/>
      <c r="JZF261" s="694"/>
      <c r="JZG261" s="694"/>
      <c r="JZH261" s="694"/>
      <c r="JZI261" s="694"/>
      <c r="JZJ261" s="694"/>
      <c r="JZK261" s="694"/>
      <c r="JZL261" s="694"/>
      <c r="JZM261" s="694"/>
      <c r="JZN261" s="694"/>
      <c r="JZO261" s="694"/>
      <c r="JZP261" s="694"/>
      <c r="JZQ261" s="694"/>
      <c r="JZR261" s="694"/>
      <c r="JZS261" s="694"/>
      <c r="JZT261" s="694"/>
      <c r="JZU261" s="694"/>
      <c r="JZV261" s="694"/>
      <c r="JZW261" s="694"/>
      <c r="JZX261" s="717"/>
      <c r="JZY261" s="694"/>
      <c r="JZZ261" s="694"/>
      <c r="KAA261" s="694"/>
      <c r="KAB261" s="694"/>
      <c r="KAC261" s="694"/>
      <c r="KAD261" s="694"/>
      <c r="KAE261" s="694"/>
      <c r="KAF261" s="694"/>
      <c r="KAG261" s="694"/>
      <c r="KAH261" s="694"/>
      <c r="KAI261" s="694"/>
      <c r="KAJ261" s="694"/>
      <c r="KAK261" s="694"/>
      <c r="KAL261" s="694"/>
      <c r="KAM261" s="694"/>
      <c r="KAN261" s="694"/>
      <c r="KAO261" s="694"/>
      <c r="KAP261" s="694"/>
      <c r="KAQ261" s="694"/>
      <c r="KAR261" s="717"/>
      <c r="KAS261" s="694"/>
      <c r="KAT261" s="694"/>
      <c r="KAU261" s="694"/>
      <c r="KAV261" s="694"/>
      <c r="KAW261" s="694"/>
      <c r="KAX261" s="694"/>
      <c r="KAY261" s="694"/>
      <c r="KAZ261" s="694"/>
      <c r="KBA261" s="694"/>
      <c r="KBB261" s="694"/>
      <c r="KBC261" s="694"/>
      <c r="KBD261" s="694"/>
      <c r="KBE261" s="694"/>
      <c r="KBF261" s="694"/>
      <c r="KBG261" s="694"/>
      <c r="KBH261" s="694"/>
      <c r="KBI261" s="694"/>
      <c r="KBJ261" s="694"/>
      <c r="KBK261" s="694"/>
      <c r="KBL261" s="717"/>
      <c r="KBM261" s="694"/>
      <c r="KBN261" s="694"/>
      <c r="KBO261" s="694"/>
      <c r="KBP261" s="694"/>
      <c r="KBQ261" s="694"/>
      <c r="KBR261" s="694"/>
      <c r="KBS261" s="694"/>
      <c r="KBT261" s="694"/>
      <c r="KBU261" s="694"/>
      <c r="KBV261" s="694"/>
      <c r="KBW261" s="694"/>
      <c r="KBX261" s="694"/>
      <c r="KBY261" s="694"/>
      <c r="KBZ261" s="694"/>
      <c r="KCA261" s="694"/>
      <c r="KCB261" s="694"/>
      <c r="KCC261" s="694"/>
      <c r="KCD261" s="694"/>
      <c r="KCE261" s="694"/>
      <c r="KCF261" s="717"/>
      <c r="KCG261" s="694"/>
      <c r="KCH261" s="694"/>
      <c r="KCI261" s="694"/>
      <c r="KCJ261" s="694"/>
      <c r="KCK261" s="694"/>
      <c r="KCL261" s="694"/>
      <c r="KCM261" s="694"/>
      <c r="KCN261" s="694"/>
      <c r="KCO261" s="694"/>
      <c r="KCP261" s="694"/>
      <c r="KCQ261" s="694"/>
      <c r="KCR261" s="694"/>
      <c r="KCS261" s="694"/>
      <c r="KCT261" s="694"/>
      <c r="KCU261" s="694"/>
      <c r="KCV261" s="694"/>
      <c r="KCW261" s="694"/>
      <c r="KCX261" s="694"/>
      <c r="KCY261" s="694"/>
      <c r="KCZ261" s="717"/>
      <c r="KDA261" s="694"/>
      <c r="KDB261" s="694"/>
      <c r="KDC261" s="694"/>
      <c r="KDD261" s="694"/>
      <c r="KDE261" s="694"/>
      <c r="KDF261" s="694"/>
      <c r="KDG261" s="694"/>
      <c r="KDH261" s="694"/>
      <c r="KDI261" s="694"/>
      <c r="KDJ261" s="694"/>
      <c r="KDK261" s="694"/>
      <c r="KDL261" s="694"/>
      <c r="KDM261" s="694"/>
      <c r="KDN261" s="694"/>
      <c r="KDO261" s="694"/>
      <c r="KDP261" s="694"/>
      <c r="KDQ261" s="694"/>
      <c r="KDR261" s="694"/>
      <c r="KDS261" s="694"/>
      <c r="KDT261" s="717"/>
      <c r="KDU261" s="694"/>
      <c r="KDV261" s="694"/>
      <c r="KDW261" s="694"/>
      <c r="KDX261" s="694"/>
      <c r="KDY261" s="694"/>
      <c r="KDZ261" s="694"/>
      <c r="KEA261" s="694"/>
      <c r="KEB261" s="694"/>
      <c r="KEC261" s="694"/>
      <c r="KED261" s="694"/>
      <c r="KEE261" s="694"/>
      <c r="KEF261" s="694"/>
      <c r="KEG261" s="694"/>
      <c r="KEH261" s="694"/>
      <c r="KEI261" s="694"/>
      <c r="KEJ261" s="694"/>
      <c r="KEK261" s="694"/>
      <c r="KEL261" s="694"/>
      <c r="KEM261" s="694"/>
      <c r="KEN261" s="717"/>
      <c r="KEO261" s="694"/>
      <c r="KEP261" s="694"/>
      <c r="KEQ261" s="694"/>
      <c r="KER261" s="694"/>
      <c r="KES261" s="694"/>
      <c r="KET261" s="694"/>
      <c r="KEU261" s="694"/>
      <c r="KEV261" s="694"/>
      <c r="KEW261" s="694"/>
      <c r="KEX261" s="694"/>
      <c r="KEY261" s="694"/>
      <c r="KEZ261" s="694"/>
      <c r="KFA261" s="694"/>
      <c r="KFB261" s="694"/>
      <c r="KFC261" s="694"/>
      <c r="KFD261" s="694"/>
      <c r="KFE261" s="694"/>
      <c r="KFF261" s="694"/>
      <c r="KFG261" s="694"/>
      <c r="KFH261" s="717"/>
      <c r="KFI261" s="694"/>
      <c r="KFJ261" s="694"/>
      <c r="KFK261" s="694"/>
      <c r="KFL261" s="694"/>
      <c r="KFM261" s="694"/>
      <c r="KFN261" s="694"/>
      <c r="KFO261" s="694"/>
      <c r="KFP261" s="694"/>
      <c r="KFQ261" s="694"/>
      <c r="KFR261" s="694"/>
      <c r="KFS261" s="694"/>
      <c r="KFT261" s="694"/>
      <c r="KFU261" s="694"/>
      <c r="KFV261" s="694"/>
      <c r="KFW261" s="694"/>
      <c r="KFX261" s="694"/>
      <c r="KFY261" s="694"/>
      <c r="KFZ261" s="694"/>
      <c r="KGA261" s="694"/>
      <c r="KGB261" s="717"/>
      <c r="KGC261" s="694"/>
      <c r="KGD261" s="694"/>
      <c r="KGE261" s="694"/>
      <c r="KGF261" s="694"/>
      <c r="KGG261" s="694"/>
      <c r="KGH261" s="694"/>
      <c r="KGI261" s="694"/>
      <c r="KGJ261" s="694"/>
      <c r="KGK261" s="694"/>
      <c r="KGL261" s="694"/>
      <c r="KGM261" s="694"/>
      <c r="KGN261" s="694"/>
      <c r="KGO261" s="694"/>
      <c r="KGP261" s="694"/>
      <c r="KGQ261" s="694"/>
      <c r="KGR261" s="694"/>
      <c r="KGS261" s="694"/>
      <c r="KGT261" s="694"/>
      <c r="KGU261" s="694"/>
      <c r="KGV261" s="717"/>
      <c r="KGW261" s="694"/>
      <c r="KGX261" s="694"/>
      <c r="KGY261" s="694"/>
      <c r="KGZ261" s="694"/>
      <c r="KHA261" s="694"/>
      <c r="KHB261" s="694"/>
      <c r="KHC261" s="694"/>
      <c r="KHD261" s="694"/>
      <c r="KHE261" s="694"/>
      <c r="KHF261" s="694"/>
      <c r="KHG261" s="694"/>
      <c r="KHH261" s="694"/>
      <c r="KHI261" s="694"/>
      <c r="KHJ261" s="694"/>
      <c r="KHK261" s="694"/>
      <c r="KHL261" s="694"/>
      <c r="KHM261" s="694"/>
      <c r="KHN261" s="694"/>
      <c r="KHO261" s="694"/>
      <c r="KHP261" s="717"/>
      <c r="KHQ261" s="694"/>
      <c r="KHR261" s="694"/>
      <c r="KHS261" s="694"/>
      <c r="KHT261" s="694"/>
      <c r="KHU261" s="694"/>
      <c r="KHV261" s="694"/>
      <c r="KHW261" s="694"/>
      <c r="KHX261" s="694"/>
      <c r="KHY261" s="694"/>
      <c r="KHZ261" s="694"/>
      <c r="KIA261" s="694"/>
      <c r="KIB261" s="694"/>
      <c r="KIC261" s="694"/>
      <c r="KID261" s="694"/>
      <c r="KIE261" s="694"/>
      <c r="KIF261" s="694"/>
      <c r="KIG261" s="694"/>
      <c r="KIH261" s="694"/>
      <c r="KII261" s="694"/>
      <c r="KIJ261" s="717"/>
      <c r="KIK261" s="694"/>
      <c r="KIL261" s="694"/>
      <c r="KIM261" s="694"/>
      <c r="KIN261" s="694"/>
      <c r="KIO261" s="694"/>
      <c r="KIP261" s="694"/>
      <c r="KIQ261" s="694"/>
      <c r="KIR261" s="694"/>
      <c r="KIS261" s="694"/>
      <c r="KIT261" s="694"/>
      <c r="KIU261" s="694"/>
      <c r="KIV261" s="694"/>
      <c r="KIW261" s="694"/>
      <c r="KIX261" s="694"/>
      <c r="KIY261" s="694"/>
      <c r="KIZ261" s="694"/>
      <c r="KJA261" s="694"/>
      <c r="KJB261" s="694"/>
      <c r="KJC261" s="694"/>
      <c r="KJD261" s="717"/>
      <c r="KJE261" s="694"/>
      <c r="KJF261" s="694"/>
      <c r="KJG261" s="694"/>
      <c r="KJH261" s="694"/>
      <c r="KJI261" s="694"/>
      <c r="KJJ261" s="694"/>
      <c r="KJK261" s="694"/>
      <c r="KJL261" s="694"/>
      <c r="KJM261" s="694"/>
      <c r="KJN261" s="694"/>
      <c r="KJO261" s="694"/>
      <c r="KJP261" s="694"/>
      <c r="KJQ261" s="694"/>
      <c r="KJR261" s="694"/>
      <c r="KJS261" s="694"/>
      <c r="KJT261" s="694"/>
      <c r="KJU261" s="694"/>
      <c r="KJV261" s="694"/>
      <c r="KJW261" s="694"/>
      <c r="KJX261" s="717"/>
      <c r="KJY261" s="694"/>
      <c r="KJZ261" s="694"/>
      <c r="KKA261" s="694"/>
      <c r="KKB261" s="694"/>
      <c r="KKC261" s="694"/>
      <c r="KKD261" s="694"/>
      <c r="KKE261" s="694"/>
      <c r="KKF261" s="694"/>
      <c r="KKG261" s="694"/>
      <c r="KKH261" s="694"/>
      <c r="KKI261" s="694"/>
      <c r="KKJ261" s="694"/>
      <c r="KKK261" s="694"/>
      <c r="KKL261" s="694"/>
      <c r="KKM261" s="694"/>
      <c r="KKN261" s="694"/>
      <c r="KKO261" s="694"/>
      <c r="KKP261" s="694"/>
      <c r="KKQ261" s="694"/>
      <c r="KKR261" s="717"/>
      <c r="KKS261" s="694"/>
      <c r="KKT261" s="694"/>
      <c r="KKU261" s="694"/>
      <c r="KKV261" s="694"/>
      <c r="KKW261" s="694"/>
      <c r="KKX261" s="694"/>
      <c r="KKY261" s="694"/>
      <c r="KKZ261" s="694"/>
      <c r="KLA261" s="694"/>
      <c r="KLB261" s="694"/>
      <c r="KLC261" s="694"/>
      <c r="KLD261" s="694"/>
      <c r="KLE261" s="694"/>
      <c r="KLF261" s="694"/>
      <c r="KLG261" s="694"/>
      <c r="KLH261" s="694"/>
      <c r="KLI261" s="694"/>
      <c r="KLJ261" s="694"/>
      <c r="KLK261" s="694"/>
      <c r="KLL261" s="717"/>
      <c r="KLM261" s="694"/>
      <c r="KLN261" s="694"/>
      <c r="KLO261" s="694"/>
      <c r="KLP261" s="694"/>
      <c r="KLQ261" s="694"/>
      <c r="KLR261" s="694"/>
      <c r="KLS261" s="694"/>
      <c r="KLT261" s="694"/>
      <c r="KLU261" s="694"/>
      <c r="KLV261" s="694"/>
      <c r="KLW261" s="694"/>
      <c r="KLX261" s="694"/>
      <c r="KLY261" s="694"/>
      <c r="KLZ261" s="694"/>
      <c r="KMA261" s="694"/>
      <c r="KMB261" s="694"/>
      <c r="KMC261" s="694"/>
      <c r="KMD261" s="694"/>
      <c r="KME261" s="694"/>
      <c r="KMF261" s="717"/>
      <c r="KMG261" s="694"/>
      <c r="KMH261" s="694"/>
      <c r="KMI261" s="694"/>
      <c r="KMJ261" s="694"/>
      <c r="KMK261" s="694"/>
      <c r="KML261" s="694"/>
      <c r="KMM261" s="694"/>
      <c r="KMN261" s="694"/>
      <c r="KMO261" s="694"/>
      <c r="KMP261" s="694"/>
      <c r="KMQ261" s="694"/>
      <c r="KMR261" s="694"/>
      <c r="KMS261" s="694"/>
      <c r="KMT261" s="694"/>
      <c r="KMU261" s="694"/>
      <c r="KMV261" s="694"/>
      <c r="KMW261" s="694"/>
      <c r="KMX261" s="694"/>
      <c r="KMY261" s="694"/>
      <c r="KMZ261" s="717"/>
      <c r="KNA261" s="694"/>
      <c r="KNB261" s="694"/>
      <c r="KNC261" s="694"/>
      <c r="KND261" s="694"/>
      <c r="KNE261" s="694"/>
      <c r="KNF261" s="694"/>
      <c r="KNG261" s="694"/>
      <c r="KNH261" s="694"/>
      <c r="KNI261" s="694"/>
      <c r="KNJ261" s="694"/>
      <c r="KNK261" s="694"/>
      <c r="KNL261" s="694"/>
      <c r="KNM261" s="694"/>
      <c r="KNN261" s="694"/>
      <c r="KNO261" s="694"/>
      <c r="KNP261" s="694"/>
      <c r="KNQ261" s="694"/>
      <c r="KNR261" s="694"/>
      <c r="KNS261" s="694"/>
      <c r="KNT261" s="717"/>
      <c r="KNU261" s="694"/>
      <c r="KNV261" s="694"/>
      <c r="KNW261" s="694"/>
      <c r="KNX261" s="694"/>
      <c r="KNY261" s="694"/>
      <c r="KNZ261" s="694"/>
      <c r="KOA261" s="694"/>
      <c r="KOB261" s="694"/>
      <c r="KOC261" s="694"/>
      <c r="KOD261" s="694"/>
      <c r="KOE261" s="694"/>
      <c r="KOF261" s="694"/>
      <c r="KOG261" s="694"/>
      <c r="KOH261" s="694"/>
      <c r="KOI261" s="694"/>
      <c r="KOJ261" s="694"/>
      <c r="KOK261" s="694"/>
      <c r="KOL261" s="694"/>
      <c r="KOM261" s="694"/>
      <c r="KON261" s="717"/>
      <c r="KOO261" s="694"/>
      <c r="KOP261" s="694"/>
      <c r="KOQ261" s="694"/>
      <c r="KOR261" s="694"/>
      <c r="KOS261" s="694"/>
      <c r="KOT261" s="694"/>
      <c r="KOU261" s="694"/>
      <c r="KOV261" s="694"/>
      <c r="KOW261" s="694"/>
      <c r="KOX261" s="694"/>
      <c r="KOY261" s="694"/>
      <c r="KOZ261" s="694"/>
      <c r="KPA261" s="694"/>
      <c r="KPB261" s="694"/>
      <c r="KPC261" s="694"/>
      <c r="KPD261" s="694"/>
      <c r="KPE261" s="694"/>
      <c r="KPF261" s="694"/>
      <c r="KPG261" s="694"/>
      <c r="KPH261" s="717"/>
      <c r="KPI261" s="694"/>
      <c r="KPJ261" s="694"/>
      <c r="KPK261" s="694"/>
      <c r="KPL261" s="694"/>
      <c r="KPM261" s="694"/>
      <c r="KPN261" s="694"/>
      <c r="KPO261" s="694"/>
      <c r="KPP261" s="694"/>
      <c r="KPQ261" s="694"/>
      <c r="KPR261" s="694"/>
      <c r="KPS261" s="694"/>
      <c r="KPT261" s="694"/>
      <c r="KPU261" s="694"/>
      <c r="KPV261" s="694"/>
      <c r="KPW261" s="694"/>
      <c r="KPX261" s="694"/>
      <c r="KPY261" s="694"/>
      <c r="KPZ261" s="694"/>
      <c r="KQA261" s="694"/>
      <c r="KQB261" s="717"/>
      <c r="KQC261" s="694"/>
      <c r="KQD261" s="694"/>
      <c r="KQE261" s="694"/>
      <c r="KQF261" s="694"/>
      <c r="KQG261" s="694"/>
      <c r="KQH261" s="694"/>
      <c r="KQI261" s="694"/>
      <c r="KQJ261" s="694"/>
      <c r="KQK261" s="694"/>
      <c r="KQL261" s="694"/>
      <c r="KQM261" s="694"/>
      <c r="KQN261" s="694"/>
      <c r="KQO261" s="694"/>
      <c r="KQP261" s="694"/>
      <c r="KQQ261" s="694"/>
      <c r="KQR261" s="694"/>
      <c r="KQS261" s="694"/>
      <c r="KQT261" s="694"/>
      <c r="KQU261" s="694"/>
      <c r="KQV261" s="717"/>
      <c r="KQW261" s="694"/>
      <c r="KQX261" s="694"/>
      <c r="KQY261" s="694"/>
      <c r="KQZ261" s="694"/>
      <c r="KRA261" s="694"/>
      <c r="KRB261" s="694"/>
      <c r="KRC261" s="694"/>
      <c r="KRD261" s="694"/>
      <c r="KRE261" s="694"/>
      <c r="KRF261" s="694"/>
      <c r="KRG261" s="694"/>
      <c r="KRH261" s="694"/>
      <c r="KRI261" s="694"/>
      <c r="KRJ261" s="694"/>
      <c r="KRK261" s="694"/>
      <c r="KRL261" s="694"/>
      <c r="KRM261" s="694"/>
      <c r="KRN261" s="694"/>
      <c r="KRO261" s="694"/>
      <c r="KRP261" s="717"/>
      <c r="KRQ261" s="694"/>
      <c r="KRR261" s="694"/>
      <c r="KRS261" s="694"/>
      <c r="KRT261" s="694"/>
      <c r="KRU261" s="694"/>
      <c r="KRV261" s="694"/>
      <c r="KRW261" s="694"/>
      <c r="KRX261" s="694"/>
      <c r="KRY261" s="694"/>
      <c r="KRZ261" s="694"/>
      <c r="KSA261" s="694"/>
      <c r="KSB261" s="694"/>
      <c r="KSC261" s="694"/>
      <c r="KSD261" s="694"/>
      <c r="KSE261" s="694"/>
      <c r="KSF261" s="694"/>
      <c r="KSG261" s="694"/>
      <c r="KSH261" s="694"/>
      <c r="KSI261" s="694"/>
      <c r="KSJ261" s="717"/>
      <c r="KSK261" s="694"/>
      <c r="KSL261" s="694"/>
      <c r="KSM261" s="694"/>
      <c r="KSN261" s="694"/>
      <c r="KSO261" s="694"/>
      <c r="KSP261" s="694"/>
      <c r="KSQ261" s="694"/>
      <c r="KSR261" s="694"/>
      <c r="KSS261" s="694"/>
      <c r="KST261" s="694"/>
      <c r="KSU261" s="694"/>
      <c r="KSV261" s="694"/>
      <c r="KSW261" s="694"/>
      <c r="KSX261" s="694"/>
      <c r="KSY261" s="694"/>
      <c r="KSZ261" s="694"/>
      <c r="KTA261" s="694"/>
      <c r="KTB261" s="694"/>
      <c r="KTC261" s="694"/>
      <c r="KTD261" s="717"/>
      <c r="KTE261" s="694"/>
      <c r="KTF261" s="694"/>
      <c r="KTG261" s="694"/>
      <c r="KTH261" s="694"/>
      <c r="KTI261" s="694"/>
      <c r="KTJ261" s="694"/>
      <c r="KTK261" s="694"/>
      <c r="KTL261" s="694"/>
      <c r="KTM261" s="694"/>
      <c r="KTN261" s="694"/>
      <c r="KTO261" s="694"/>
      <c r="KTP261" s="694"/>
      <c r="KTQ261" s="694"/>
      <c r="KTR261" s="694"/>
      <c r="KTS261" s="694"/>
      <c r="KTT261" s="694"/>
      <c r="KTU261" s="694"/>
      <c r="KTV261" s="694"/>
      <c r="KTW261" s="694"/>
      <c r="KTX261" s="717"/>
      <c r="KTY261" s="694"/>
      <c r="KTZ261" s="694"/>
      <c r="KUA261" s="694"/>
      <c r="KUB261" s="694"/>
      <c r="KUC261" s="694"/>
      <c r="KUD261" s="694"/>
      <c r="KUE261" s="694"/>
      <c r="KUF261" s="694"/>
      <c r="KUG261" s="694"/>
      <c r="KUH261" s="694"/>
      <c r="KUI261" s="694"/>
      <c r="KUJ261" s="694"/>
      <c r="KUK261" s="694"/>
      <c r="KUL261" s="694"/>
      <c r="KUM261" s="694"/>
      <c r="KUN261" s="694"/>
      <c r="KUO261" s="694"/>
      <c r="KUP261" s="694"/>
      <c r="KUQ261" s="694"/>
      <c r="KUR261" s="717"/>
      <c r="KUS261" s="694"/>
      <c r="KUT261" s="694"/>
      <c r="KUU261" s="694"/>
      <c r="KUV261" s="694"/>
      <c r="KUW261" s="694"/>
      <c r="KUX261" s="694"/>
      <c r="KUY261" s="694"/>
      <c r="KUZ261" s="694"/>
      <c r="KVA261" s="694"/>
      <c r="KVB261" s="694"/>
      <c r="KVC261" s="694"/>
      <c r="KVD261" s="694"/>
      <c r="KVE261" s="694"/>
      <c r="KVF261" s="694"/>
      <c r="KVG261" s="694"/>
      <c r="KVH261" s="694"/>
      <c r="KVI261" s="694"/>
      <c r="KVJ261" s="694"/>
      <c r="KVK261" s="694"/>
      <c r="KVL261" s="717"/>
      <c r="KVM261" s="694"/>
      <c r="KVN261" s="694"/>
      <c r="KVO261" s="694"/>
      <c r="KVP261" s="694"/>
      <c r="KVQ261" s="694"/>
      <c r="KVR261" s="694"/>
      <c r="KVS261" s="694"/>
      <c r="KVT261" s="694"/>
      <c r="KVU261" s="694"/>
      <c r="KVV261" s="694"/>
      <c r="KVW261" s="694"/>
      <c r="KVX261" s="694"/>
      <c r="KVY261" s="694"/>
      <c r="KVZ261" s="694"/>
      <c r="KWA261" s="694"/>
      <c r="KWB261" s="694"/>
      <c r="KWC261" s="694"/>
      <c r="KWD261" s="694"/>
      <c r="KWE261" s="694"/>
      <c r="KWF261" s="717"/>
      <c r="KWG261" s="694"/>
      <c r="KWH261" s="694"/>
      <c r="KWI261" s="694"/>
      <c r="KWJ261" s="694"/>
      <c r="KWK261" s="694"/>
      <c r="KWL261" s="694"/>
      <c r="KWM261" s="694"/>
      <c r="KWN261" s="694"/>
      <c r="KWO261" s="694"/>
      <c r="KWP261" s="694"/>
      <c r="KWQ261" s="694"/>
      <c r="KWR261" s="694"/>
      <c r="KWS261" s="694"/>
      <c r="KWT261" s="694"/>
      <c r="KWU261" s="694"/>
      <c r="KWV261" s="694"/>
      <c r="KWW261" s="694"/>
      <c r="KWX261" s="694"/>
      <c r="KWY261" s="694"/>
      <c r="KWZ261" s="717"/>
      <c r="KXA261" s="694"/>
      <c r="KXB261" s="694"/>
      <c r="KXC261" s="694"/>
      <c r="KXD261" s="694"/>
      <c r="KXE261" s="694"/>
      <c r="KXF261" s="694"/>
      <c r="KXG261" s="694"/>
      <c r="KXH261" s="694"/>
      <c r="KXI261" s="694"/>
      <c r="KXJ261" s="694"/>
      <c r="KXK261" s="694"/>
      <c r="KXL261" s="694"/>
      <c r="KXM261" s="694"/>
      <c r="KXN261" s="694"/>
      <c r="KXO261" s="694"/>
      <c r="KXP261" s="694"/>
      <c r="KXQ261" s="694"/>
      <c r="KXR261" s="694"/>
      <c r="KXS261" s="694"/>
      <c r="KXT261" s="717"/>
      <c r="KXU261" s="694"/>
      <c r="KXV261" s="694"/>
      <c r="KXW261" s="694"/>
      <c r="KXX261" s="694"/>
      <c r="KXY261" s="694"/>
      <c r="KXZ261" s="694"/>
      <c r="KYA261" s="694"/>
      <c r="KYB261" s="694"/>
      <c r="KYC261" s="694"/>
      <c r="KYD261" s="694"/>
      <c r="KYE261" s="694"/>
      <c r="KYF261" s="694"/>
      <c r="KYG261" s="694"/>
      <c r="KYH261" s="694"/>
      <c r="KYI261" s="694"/>
      <c r="KYJ261" s="694"/>
      <c r="KYK261" s="694"/>
      <c r="KYL261" s="694"/>
      <c r="KYM261" s="694"/>
      <c r="KYN261" s="717"/>
      <c r="KYO261" s="694"/>
      <c r="KYP261" s="694"/>
      <c r="KYQ261" s="694"/>
      <c r="KYR261" s="694"/>
      <c r="KYS261" s="694"/>
      <c r="KYT261" s="694"/>
      <c r="KYU261" s="694"/>
      <c r="KYV261" s="694"/>
      <c r="KYW261" s="694"/>
      <c r="KYX261" s="694"/>
      <c r="KYY261" s="694"/>
      <c r="KYZ261" s="694"/>
      <c r="KZA261" s="694"/>
      <c r="KZB261" s="694"/>
      <c r="KZC261" s="694"/>
      <c r="KZD261" s="694"/>
      <c r="KZE261" s="694"/>
      <c r="KZF261" s="694"/>
      <c r="KZG261" s="694"/>
      <c r="KZH261" s="717"/>
      <c r="KZI261" s="694"/>
      <c r="KZJ261" s="694"/>
      <c r="KZK261" s="694"/>
      <c r="KZL261" s="694"/>
      <c r="KZM261" s="694"/>
      <c r="KZN261" s="694"/>
      <c r="KZO261" s="694"/>
      <c r="KZP261" s="694"/>
      <c r="KZQ261" s="694"/>
      <c r="KZR261" s="694"/>
      <c r="KZS261" s="694"/>
      <c r="KZT261" s="694"/>
      <c r="KZU261" s="694"/>
      <c r="KZV261" s="694"/>
      <c r="KZW261" s="694"/>
      <c r="KZX261" s="694"/>
      <c r="KZY261" s="694"/>
      <c r="KZZ261" s="694"/>
      <c r="LAA261" s="694"/>
      <c r="LAB261" s="717"/>
      <c r="LAC261" s="694"/>
      <c r="LAD261" s="694"/>
      <c r="LAE261" s="694"/>
      <c r="LAF261" s="694"/>
      <c r="LAG261" s="694"/>
      <c r="LAH261" s="694"/>
      <c r="LAI261" s="694"/>
      <c r="LAJ261" s="694"/>
      <c r="LAK261" s="694"/>
      <c r="LAL261" s="694"/>
      <c r="LAM261" s="694"/>
      <c r="LAN261" s="694"/>
      <c r="LAO261" s="694"/>
      <c r="LAP261" s="694"/>
      <c r="LAQ261" s="694"/>
      <c r="LAR261" s="694"/>
      <c r="LAS261" s="694"/>
      <c r="LAT261" s="694"/>
      <c r="LAU261" s="694"/>
      <c r="LAV261" s="717"/>
      <c r="LAW261" s="694"/>
      <c r="LAX261" s="694"/>
      <c r="LAY261" s="694"/>
      <c r="LAZ261" s="694"/>
      <c r="LBA261" s="694"/>
      <c r="LBB261" s="694"/>
      <c r="LBC261" s="694"/>
      <c r="LBD261" s="694"/>
      <c r="LBE261" s="694"/>
      <c r="LBF261" s="694"/>
      <c r="LBG261" s="694"/>
      <c r="LBH261" s="694"/>
      <c r="LBI261" s="694"/>
      <c r="LBJ261" s="694"/>
      <c r="LBK261" s="694"/>
      <c r="LBL261" s="694"/>
      <c r="LBM261" s="694"/>
      <c r="LBN261" s="694"/>
      <c r="LBO261" s="694"/>
      <c r="LBP261" s="717"/>
      <c r="LBQ261" s="694"/>
      <c r="LBR261" s="694"/>
      <c r="LBS261" s="694"/>
      <c r="LBT261" s="694"/>
      <c r="LBU261" s="694"/>
      <c r="LBV261" s="694"/>
      <c r="LBW261" s="694"/>
      <c r="LBX261" s="694"/>
      <c r="LBY261" s="694"/>
      <c r="LBZ261" s="694"/>
      <c r="LCA261" s="694"/>
      <c r="LCB261" s="694"/>
      <c r="LCC261" s="694"/>
      <c r="LCD261" s="694"/>
      <c r="LCE261" s="694"/>
      <c r="LCF261" s="694"/>
      <c r="LCG261" s="694"/>
      <c r="LCH261" s="694"/>
      <c r="LCI261" s="694"/>
      <c r="LCJ261" s="717"/>
      <c r="LCK261" s="694"/>
      <c r="LCL261" s="694"/>
      <c r="LCM261" s="694"/>
      <c r="LCN261" s="694"/>
      <c r="LCO261" s="694"/>
      <c r="LCP261" s="694"/>
      <c r="LCQ261" s="694"/>
      <c r="LCR261" s="694"/>
      <c r="LCS261" s="694"/>
      <c r="LCT261" s="694"/>
      <c r="LCU261" s="694"/>
      <c r="LCV261" s="694"/>
      <c r="LCW261" s="694"/>
      <c r="LCX261" s="694"/>
      <c r="LCY261" s="694"/>
      <c r="LCZ261" s="694"/>
      <c r="LDA261" s="694"/>
      <c r="LDB261" s="694"/>
      <c r="LDC261" s="694"/>
      <c r="LDD261" s="717"/>
      <c r="LDE261" s="694"/>
      <c r="LDF261" s="694"/>
      <c r="LDG261" s="694"/>
      <c r="LDH261" s="694"/>
      <c r="LDI261" s="694"/>
      <c r="LDJ261" s="694"/>
      <c r="LDK261" s="694"/>
      <c r="LDL261" s="694"/>
      <c r="LDM261" s="694"/>
      <c r="LDN261" s="694"/>
      <c r="LDO261" s="694"/>
      <c r="LDP261" s="694"/>
      <c r="LDQ261" s="694"/>
      <c r="LDR261" s="694"/>
      <c r="LDS261" s="694"/>
      <c r="LDT261" s="694"/>
      <c r="LDU261" s="694"/>
      <c r="LDV261" s="694"/>
      <c r="LDW261" s="694"/>
      <c r="LDX261" s="717"/>
      <c r="LDY261" s="694"/>
      <c r="LDZ261" s="694"/>
      <c r="LEA261" s="694"/>
      <c r="LEB261" s="694"/>
      <c r="LEC261" s="694"/>
      <c r="LED261" s="694"/>
      <c r="LEE261" s="694"/>
      <c r="LEF261" s="694"/>
      <c r="LEG261" s="694"/>
      <c r="LEH261" s="694"/>
      <c r="LEI261" s="694"/>
      <c r="LEJ261" s="694"/>
      <c r="LEK261" s="694"/>
      <c r="LEL261" s="694"/>
      <c r="LEM261" s="694"/>
      <c r="LEN261" s="694"/>
      <c r="LEO261" s="694"/>
      <c r="LEP261" s="694"/>
      <c r="LEQ261" s="694"/>
      <c r="LER261" s="717"/>
      <c r="LES261" s="694"/>
      <c r="LET261" s="694"/>
      <c r="LEU261" s="694"/>
      <c r="LEV261" s="694"/>
      <c r="LEW261" s="694"/>
      <c r="LEX261" s="694"/>
      <c r="LEY261" s="694"/>
      <c r="LEZ261" s="694"/>
      <c r="LFA261" s="694"/>
      <c r="LFB261" s="694"/>
      <c r="LFC261" s="694"/>
      <c r="LFD261" s="694"/>
      <c r="LFE261" s="694"/>
      <c r="LFF261" s="694"/>
      <c r="LFG261" s="694"/>
      <c r="LFH261" s="694"/>
      <c r="LFI261" s="694"/>
      <c r="LFJ261" s="694"/>
      <c r="LFK261" s="694"/>
      <c r="LFL261" s="717"/>
      <c r="LFM261" s="694"/>
      <c r="LFN261" s="694"/>
      <c r="LFO261" s="694"/>
      <c r="LFP261" s="694"/>
      <c r="LFQ261" s="694"/>
      <c r="LFR261" s="694"/>
      <c r="LFS261" s="694"/>
      <c r="LFT261" s="694"/>
      <c r="LFU261" s="694"/>
      <c r="LFV261" s="694"/>
      <c r="LFW261" s="694"/>
      <c r="LFX261" s="694"/>
      <c r="LFY261" s="694"/>
      <c r="LFZ261" s="694"/>
      <c r="LGA261" s="694"/>
      <c r="LGB261" s="694"/>
      <c r="LGC261" s="694"/>
      <c r="LGD261" s="694"/>
      <c r="LGE261" s="694"/>
      <c r="LGF261" s="717"/>
      <c r="LGG261" s="694"/>
      <c r="LGH261" s="694"/>
      <c r="LGI261" s="694"/>
      <c r="LGJ261" s="694"/>
      <c r="LGK261" s="694"/>
      <c r="LGL261" s="694"/>
      <c r="LGM261" s="694"/>
      <c r="LGN261" s="694"/>
      <c r="LGO261" s="694"/>
      <c r="LGP261" s="694"/>
      <c r="LGQ261" s="694"/>
      <c r="LGR261" s="694"/>
      <c r="LGS261" s="694"/>
      <c r="LGT261" s="694"/>
      <c r="LGU261" s="694"/>
      <c r="LGV261" s="694"/>
      <c r="LGW261" s="694"/>
      <c r="LGX261" s="694"/>
      <c r="LGY261" s="694"/>
      <c r="LGZ261" s="717"/>
      <c r="LHA261" s="694"/>
      <c r="LHB261" s="694"/>
      <c r="LHC261" s="694"/>
      <c r="LHD261" s="694"/>
      <c r="LHE261" s="694"/>
      <c r="LHF261" s="694"/>
      <c r="LHG261" s="694"/>
      <c r="LHH261" s="694"/>
      <c r="LHI261" s="694"/>
      <c r="LHJ261" s="694"/>
      <c r="LHK261" s="694"/>
      <c r="LHL261" s="694"/>
      <c r="LHM261" s="694"/>
      <c r="LHN261" s="694"/>
      <c r="LHO261" s="694"/>
      <c r="LHP261" s="694"/>
      <c r="LHQ261" s="694"/>
      <c r="LHR261" s="694"/>
      <c r="LHS261" s="694"/>
      <c r="LHT261" s="717"/>
      <c r="LHU261" s="694"/>
      <c r="LHV261" s="694"/>
      <c r="LHW261" s="694"/>
      <c r="LHX261" s="694"/>
      <c r="LHY261" s="694"/>
      <c r="LHZ261" s="694"/>
      <c r="LIA261" s="694"/>
      <c r="LIB261" s="694"/>
      <c r="LIC261" s="694"/>
      <c r="LID261" s="694"/>
      <c r="LIE261" s="694"/>
      <c r="LIF261" s="694"/>
      <c r="LIG261" s="694"/>
      <c r="LIH261" s="694"/>
      <c r="LII261" s="694"/>
      <c r="LIJ261" s="694"/>
      <c r="LIK261" s="694"/>
      <c r="LIL261" s="694"/>
      <c r="LIM261" s="694"/>
      <c r="LIN261" s="717"/>
      <c r="LIO261" s="694"/>
      <c r="LIP261" s="694"/>
      <c r="LIQ261" s="694"/>
      <c r="LIR261" s="694"/>
      <c r="LIS261" s="694"/>
      <c r="LIT261" s="694"/>
      <c r="LIU261" s="694"/>
      <c r="LIV261" s="694"/>
      <c r="LIW261" s="694"/>
      <c r="LIX261" s="694"/>
      <c r="LIY261" s="694"/>
      <c r="LIZ261" s="694"/>
      <c r="LJA261" s="694"/>
      <c r="LJB261" s="694"/>
      <c r="LJC261" s="694"/>
      <c r="LJD261" s="694"/>
      <c r="LJE261" s="694"/>
      <c r="LJF261" s="694"/>
      <c r="LJG261" s="694"/>
      <c r="LJH261" s="717"/>
      <c r="LJI261" s="694"/>
      <c r="LJJ261" s="694"/>
      <c r="LJK261" s="694"/>
      <c r="LJL261" s="694"/>
      <c r="LJM261" s="694"/>
      <c r="LJN261" s="694"/>
      <c r="LJO261" s="694"/>
      <c r="LJP261" s="694"/>
      <c r="LJQ261" s="694"/>
      <c r="LJR261" s="694"/>
      <c r="LJS261" s="694"/>
      <c r="LJT261" s="694"/>
      <c r="LJU261" s="694"/>
      <c r="LJV261" s="694"/>
      <c r="LJW261" s="694"/>
      <c r="LJX261" s="694"/>
      <c r="LJY261" s="694"/>
      <c r="LJZ261" s="694"/>
      <c r="LKA261" s="694"/>
      <c r="LKB261" s="717"/>
      <c r="LKC261" s="694"/>
      <c r="LKD261" s="694"/>
      <c r="LKE261" s="694"/>
      <c r="LKF261" s="694"/>
      <c r="LKG261" s="694"/>
      <c r="LKH261" s="694"/>
      <c r="LKI261" s="694"/>
      <c r="LKJ261" s="694"/>
      <c r="LKK261" s="694"/>
      <c r="LKL261" s="694"/>
      <c r="LKM261" s="694"/>
      <c r="LKN261" s="694"/>
      <c r="LKO261" s="694"/>
      <c r="LKP261" s="694"/>
      <c r="LKQ261" s="694"/>
      <c r="LKR261" s="694"/>
      <c r="LKS261" s="694"/>
      <c r="LKT261" s="694"/>
      <c r="LKU261" s="694"/>
      <c r="LKV261" s="717"/>
      <c r="LKW261" s="694"/>
      <c r="LKX261" s="694"/>
      <c r="LKY261" s="694"/>
      <c r="LKZ261" s="694"/>
      <c r="LLA261" s="694"/>
      <c r="LLB261" s="694"/>
      <c r="LLC261" s="694"/>
      <c r="LLD261" s="694"/>
      <c r="LLE261" s="694"/>
      <c r="LLF261" s="694"/>
      <c r="LLG261" s="694"/>
      <c r="LLH261" s="694"/>
      <c r="LLI261" s="694"/>
      <c r="LLJ261" s="694"/>
      <c r="LLK261" s="694"/>
      <c r="LLL261" s="694"/>
      <c r="LLM261" s="694"/>
      <c r="LLN261" s="694"/>
      <c r="LLO261" s="694"/>
      <c r="LLP261" s="717"/>
      <c r="LLQ261" s="694"/>
      <c r="LLR261" s="694"/>
      <c r="LLS261" s="694"/>
      <c r="LLT261" s="694"/>
      <c r="LLU261" s="694"/>
      <c r="LLV261" s="694"/>
      <c r="LLW261" s="694"/>
      <c r="LLX261" s="694"/>
      <c r="LLY261" s="694"/>
      <c r="LLZ261" s="694"/>
      <c r="LMA261" s="694"/>
      <c r="LMB261" s="694"/>
      <c r="LMC261" s="694"/>
      <c r="LMD261" s="694"/>
      <c r="LME261" s="694"/>
      <c r="LMF261" s="694"/>
      <c r="LMG261" s="694"/>
      <c r="LMH261" s="694"/>
      <c r="LMI261" s="694"/>
      <c r="LMJ261" s="717"/>
      <c r="LMK261" s="694"/>
      <c r="LML261" s="694"/>
      <c r="LMM261" s="694"/>
      <c r="LMN261" s="694"/>
      <c r="LMO261" s="694"/>
      <c r="LMP261" s="694"/>
      <c r="LMQ261" s="694"/>
      <c r="LMR261" s="694"/>
      <c r="LMS261" s="694"/>
      <c r="LMT261" s="694"/>
      <c r="LMU261" s="694"/>
      <c r="LMV261" s="694"/>
      <c r="LMW261" s="694"/>
      <c r="LMX261" s="694"/>
      <c r="LMY261" s="694"/>
      <c r="LMZ261" s="694"/>
      <c r="LNA261" s="694"/>
      <c r="LNB261" s="694"/>
      <c r="LNC261" s="694"/>
      <c r="LND261" s="717"/>
      <c r="LNE261" s="694"/>
      <c r="LNF261" s="694"/>
      <c r="LNG261" s="694"/>
      <c r="LNH261" s="694"/>
      <c r="LNI261" s="694"/>
      <c r="LNJ261" s="694"/>
      <c r="LNK261" s="694"/>
      <c r="LNL261" s="694"/>
      <c r="LNM261" s="694"/>
      <c r="LNN261" s="694"/>
      <c r="LNO261" s="694"/>
      <c r="LNP261" s="694"/>
      <c r="LNQ261" s="694"/>
      <c r="LNR261" s="694"/>
      <c r="LNS261" s="694"/>
      <c r="LNT261" s="694"/>
      <c r="LNU261" s="694"/>
      <c r="LNV261" s="694"/>
      <c r="LNW261" s="694"/>
      <c r="LNX261" s="717"/>
      <c r="LNY261" s="694"/>
      <c r="LNZ261" s="694"/>
      <c r="LOA261" s="694"/>
      <c r="LOB261" s="694"/>
      <c r="LOC261" s="694"/>
      <c r="LOD261" s="694"/>
      <c r="LOE261" s="694"/>
      <c r="LOF261" s="694"/>
      <c r="LOG261" s="694"/>
      <c r="LOH261" s="694"/>
      <c r="LOI261" s="694"/>
      <c r="LOJ261" s="694"/>
      <c r="LOK261" s="694"/>
      <c r="LOL261" s="694"/>
      <c r="LOM261" s="694"/>
      <c r="LON261" s="694"/>
      <c r="LOO261" s="694"/>
      <c r="LOP261" s="694"/>
      <c r="LOQ261" s="694"/>
      <c r="LOR261" s="717"/>
      <c r="LOS261" s="694"/>
      <c r="LOT261" s="694"/>
      <c r="LOU261" s="694"/>
      <c r="LOV261" s="694"/>
      <c r="LOW261" s="694"/>
      <c r="LOX261" s="694"/>
      <c r="LOY261" s="694"/>
      <c r="LOZ261" s="694"/>
      <c r="LPA261" s="694"/>
      <c r="LPB261" s="694"/>
      <c r="LPC261" s="694"/>
      <c r="LPD261" s="694"/>
      <c r="LPE261" s="694"/>
      <c r="LPF261" s="694"/>
      <c r="LPG261" s="694"/>
      <c r="LPH261" s="694"/>
      <c r="LPI261" s="694"/>
      <c r="LPJ261" s="694"/>
      <c r="LPK261" s="694"/>
      <c r="LPL261" s="717"/>
      <c r="LPM261" s="694"/>
      <c r="LPN261" s="694"/>
      <c r="LPO261" s="694"/>
      <c r="LPP261" s="694"/>
      <c r="LPQ261" s="694"/>
      <c r="LPR261" s="694"/>
      <c r="LPS261" s="694"/>
      <c r="LPT261" s="694"/>
      <c r="LPU261" s="694"/>
      <c r="LPV261" s="694"/>
      <c r="LPW261" s="694"/>
      <c r="LPX261" s="694"/>
      <c r="LPY261" s="694"/>
      <c r="LPZ261" s="694"/>
      <c r="LQA261" s="694"/>
      <c r="LQB261" s="694"/>
      <c r="LQC261" s="694"/>
      <c r="LQD261" s="694"/>
      <c r="LQE261" s="694"/>
      <c r="LQF261" s="717"/>
      <c r="LQG261" s="694"/>
      <c r="LQH261" s="694"/>
      <c r="LQI261" s="694"/>
      <c r="LQJ261" s="694"/>
      <c r="LQK261" s="694"/>
      <c r="LQL261" s="694"/>
      <c r="LQM261" s="694"/>
      <c r="LQN261" s="694"/>
      <c r="LQO261" s="694"/>
      <c r="LQP261" s="694"/>
      <c r="LQQ261" s="694"/>
      <c r="LQR261" s="694"/>
      <c r="LQS261" s="694"/>
      <c r="LQT261" s="694"/>
      <c r="LQU261" s="694"/>
      <c r="LQV261" s="694"/>
      <c r="LQW261" s="694"/>
      <c r="LQX261" s="694"/>
      <c r="LQY261" s="694"/>
      <c r="LQZ261" s="717"/>
      <c r="LRA261" s="694"/>
      <c r="LRB261" s="694"/>
      <c r="LRC261" s="694"/>
      <c r="LRD261" s="694"/>
      <c r="LRE261" s="694"/>
      <c r="LRF261" s="694"/>
      <c r="LRG261" s="694"/>
      <c r="LRH261" s="694"/>
      <c r="LRI261" s="694"/>
      <c r="LRJ261" s="694"/>
      <c r="LRK261" s="694"/>
      <c r="LRL261" s="694"/>
      <c r="LRM261" s="694"/>
      <c r="LRN261" s="694"/>
      <c r="LRO261" s="694"/>
      <c r="LRP261" s="694"/>
      <c r="LRQ261" s="694"/>
      <c r="LRR261" s="694"/>
      <c r="LRS261" s="694"/>
      <c r="LRT261" s="717"/>
      <c r="LRU261" s="694"/>
      <c r="LRV261" s="694"/>
      <c r="LRW261" s="694"/>
      <c r="LRX261" s="694"/>
      <c r="LRY261" s="694"/>
      <c r="LRZ261" s="694"/>
      <c r="LSA261" s="694"/>
      <c r="LSB261" s="694"/>
      <c r="LSC261" s="694"/>
      <c r="LSD261" s="694"/>
      <c r="LSE261" s="694"/>
      <c r="LSF261" s="694"/>
      <c r="LSG261" s="694"/>
      <c r="LSH261" s="694"/>
      <c r="LSI261" s="694"/>
      <c r="LSJ261" s="694"/>
      <c r="LSK261" s="694"/>
      <c r="LSL261" s="694"/>
      <c r="LSM261" s="694"/>
      <c r="LSN261" s="717"/>
      <c r="LSO261" s="694"/>
      <c r="LSP261" s="694"/>
      <c r="LSQ261" s="694"/>
      <c r="LSR261" s="694"/>
      <c r="LSS261" s="694"/>
      <c r="LST261" s="694"/>
      <c r="LSU261" s="694"/>
      <c r="LSV261" s="694"/>
      <c r="LSW261" s="694"/>
      <c r="LSX261" s="694"/>
      <c r="LSY261" s="694"/>
      <c r="LSZ261" s="694"/>
      <c r="LTA261" s="694"/>
      <c r="LTB261" s="694"/>
      <c r="LTC261" s="694"/>
      <c r="LTD261" s="694"/>
      <c r="LTE261" s="694"/>
      <c r="LTF261" s="694"/>
      <c r="LTG261" s="694"/>
      <c r="LTH261" s="717"/>
      <c r="LTI261" s="694"/>
      <c r="LTJ261" s="694"/>
      <c r="LTK261" s="694"/>
      <c r="LTL261" s="694"/>
      <c r="LTM261" s="694"/>
      <c r="LTN261" s="694"/>
      <c r="LTO261" s="694"/>
      <c r="LTP261" s="694"/>
      <c r="LTQ261" s="694"/>
      <c r="LTR261" s="694"/>
      <c r="LTS261" s="694"/>
      <c r="LTT261" s="694"/>
      <c r="LTU261" s="694"/>
      <c r="LTV261" s="694"/>
      <c r="LTW261" s="694"/>
      <c r="LTX261" s="694"/>
      <c r="LTY261" s="694"/>
      <c r="LTZ261" s="694"/>
      <c r="LUA261" s="694"/>
      <c r="LUB261" s="717"/>
      <c r="LUC261" s="694"/>
      <c r="LUD261" s="694"/>
      <c r="LUE261" s="694"/>
      <c r="LUF261" s="694"/>
      <c r="LUG261" s="694"/>
      <c r="LUH261" s="694"/>
      <c r="LUI261" s="694"/>
      <c r="LUJ261" s="694"/>
      <c r="LUK261" s="694"/>
      <c r="LUL261" s="694"/>
      <c r="LUM261" s="694"/>
      <c r="LUN261" s="694"/>
      <c r="LUO261" s="694"/>
      <c r="LUP261" s="694"/>
      <c r="LUQ261" s="694"/>
      <c r="LUR261" s="694"/>
      <c r="LUS261" s="694"/>
      <c r="LUT261" s="694"/>
      <c r="LUU261" s="694"/>
      <c r="LUV261" s="717"/>
      <c r="LUW261" s="694"/>
      <c r="LUX261" s="694"/>
      <c r="LUY261" s="694"/>
      <c r="LUZ261" s="694"/>
      <c r="LVA261" s="694"/>
      <c r="LVB261" s="694"/>
      <c r="LVC261" s="694"/>
      <c r="LVD261" s="694"/>
      <c r="LVE261" s="694"/>
      <c r="LVF261" s="694"/>
      <c r="LVG261" s="694"/>
      <c r="LVH261" s="694"/>
      <c r="LVI261" s="694"/>
      <c r="LVJ261" s="694"/>
      <c r="LVK261" s="694"/>
      <c r="LVL261" s="694"/>
      <c r="LVM261" s="694"/>
      <c r="LVN261" s="694"/>
      <c r="LVO261" s="694"/>
      <c r="LVP261" s="717"/>
      <c r="LVQ261" s="694"/>
      <c r="LVR261" s="694"/>
      <c r="LVS261" s="694"/>
      <c r="LVT261" s="694"/>
      <c r="LVU261" s="694"/>
      <c r="LVV261" s="694"/>
      <c r="LVW261" s="694"/>
      <c r="LVX261" s="694"/>
      <c r="LVY261" s="694"/>
      <c r="LVZ261" s="694"/>
      <c r="LWA261" s="694"/>
      <c r="LWB261" s="694"/>
      <c r="LWC261" s="694"/>
      <c r="LWD261" s="694"/>
      <c r="LWE261" s="694"/>
      <c r="LWF261" s="694"/>
      <c r="LWG261" s="694"/>
      <c r="LWH261" s="694"/>
      <c r="LWI261" s="694"/>
      <c r="LWJ261" s="717"/>
      <c r="LWK261" s="694"/>
      <c r="LWL261" s="694"/>
      <c r="LWM261" s="694"/>
      <c r="LWN261" s="694"/>
      <c r="LWO261" s="694"/>
      <c r="LWP261" s="694"/>
      <c r="LWQ261" s="694"/>
      <c r="LWR261" s="694"/>
      <c r="LWS261" s="694"/>
      <c r="LWT261" s="694"/>
      <c r="LWU261" s="694"/>
      <c r="LWV261" s="694"/>
      <c r="LWW261" s="694"/>
      <c r="LWX261" s="694"/>
      <c r="LWY261" s="694"/>
      <c r="LWZ261" s="694"/>
      <c r="LXA261" s="694"/>
      <c r="LXB261" s="694"/>
      <c r="LXC261" s="694"/>
      <c r="LXD261" s="717"/>
      <c r="LXE261" s="694"/>
      <c r="LXF261" s="694"/>
      <c r="LXG261" s="694"/>
      <c r="LXH261" s="694"/>
      <c r="LXI261" s="694"/>
      <c r="LXJ261" s="694"/>
      <c r="LXK261" s="694"/>
      <c r="LXL261" s="694"/>
      <c r="LXM261" s="694"/>
      <c r="LXN261" s="694"/>
      <c r="LXO261" s="694"/>
      <c r="LXP261" s="694"/>
      <c r="LXQ261" s="694"/>
      <c r="LXR261" s="694"/>
      <c r="LXS261" s="694"/>
      <c r="LXT261" s="694"/>
      <c r="LXU261" s="694"/>
      <c r="LXV261" s="694"/>
      <c r="LXW261" s="694"/>
      <c r="LXX261" s="717"/>
      <c r="LXY261" s="694"/>
      <c r="LXZ261" s="694"/>
      <c r="LYA261" s="694"/>
      <c r="LYB261" s="694"/>
      <c r="LYC261" s="694"/>
      <c r="LYD261" s="694"/>
      <c r="LYE261" s="694"/>
      <c r="LYF261" s="694"/>
      <c r="LYG261" s="694"/>
      <c r="LYH261" s="694"/>
      <c r="LYI261" s="694"/>
      <c r="LYJ261" s="694"/>
      <c r="LYK261" s="694"/>
      <c r="LYL261" s="694"/>
      <c r="LYM261" s="694"/>
      <c r="LYN261" s="694"/>
      <c r="LYO261" s="694"/>
      <c r="LYP261" s="694"/>
      <c r="LYQ261" s="694"/>
      <c r="LYR261" s="717"/>
      <c r="LYS261" s="694"/>
      <c r="LYT261" s="694"/>
      <c r="LYU261" s="694"/>
      <c r="LYV261" s="694"/>
      <c r="LYW261" s="694"/>
      <c r="LYX261" s="694"/>
      <c r="LYY261" s="694"/>
      <c r="LYZ261" s="694"/>
      <c r="LZA261" s="694"/>
      <c r="LZB261" s="694"/>
      <c r="LZC261" s="694"/>
      <c r="LZD261" s="694"/>
      <c r="LZE261" s="694"/>
      <c r="LZF261" s="694"/>
      <c r="LZG261" s="694"/>
      <c r="LZH261" s="694"/>
      <c r="LZI261" s="694"/>
      <c r="LZJ261" s="694"/>
      <c r="LZK261" s="694"/>
      <c r="LZL261" s="717"/>
      <c r="LZM261" s="694"/>
      <c r="LZN261" s="694"/>
      <c r="LZO261" s="694"/>
      <c r="LZP261" s="694"/>
      <c r="LZQ261" s="694"/>
      <c r="LZR261" s="694"/>
      <c r="LZS261" s="694"/>
      <c r="LZT261" s="694"/>
      <c r="LZU261" s="694"/>
      <c r="LZV261" s="694"/>
      <c r="LZW261" s="694"/>
      <c r="LZX261" s="694"/>
      <c r="LZY261" s="694"/>
      <c r="LZZ261" s="694"/>
      <c r="MAA261" s="694"/>
      <c r="MAB261" s="694"/>
      <c r="MAC261" s="694"/>
      <c r="MAD261" s="694"/>
      <c r="MAE261" s="694"/>
      <c r="MAF261" s="717"/>
      <c r="MAG261" s="694"/>
      <c r="MAH261" s="694"/>
      <c r="MAI261" s="694"/>
      <c r="MAJ261" s="694"/>
      <c r="MAK261" s="694"/>
      <c r="MAL261" s="694"/>
      <c r="MAM261" s="694"/>
      <c r="MAN261" s="694"/>
      <c r="MAO261" s="694"/>
      <c r="MAP261" s="694"/>
      <c r="MAQ261" s="694"/>
      <c r="MAR261" s="694"/>
      <c r="MAS261" s="694"/>
      <c r="MAT261" s="694"/>
      <c r="MAU261" s="694"/>
      <c r="MAV261" s="694"/>
      <c r="MAW261" s="694"/>
      <c r="MAX261" s="694"/>
      <c r="MAY261" s="694"/>
      <c r="MAZ261" s="717"/>
      <c r="MBA261" s="694"/>
      <c r="MBB261" s="694"/>
      <c r="MBC261" s="694"/>
      <c r="MBD261" s="694"/>
      <c r="MBE261" s="694"/>
      <c r="MBF261" s="694"/>
      <c r="MBG261" s="694"/>
      <c r="MBH261" s="694"/>
      <c r="MBI261" s="694"/>
      <c r="MBJ261" s="694"/>
      <c r="MBK261" s="694"/>
      <c r="MBL261" s="694"/>
      <c r="MBM261" s="694"/>
      <c r="MBN261" s="694"/>
      <c r="MBO261" s="694"/>
      <c r="MBP261" s="694"/>
      <c r="MBQ261" s="694"/>
      <c r="MBR261" s="694"/>
      <c r="MBS261" s="694"/>
      <c r="MBT261" s="717"/>
      <c r="MBU261" s="694"/>
      <c r="MBV261" s="694"/>
      <c r="MBW261" s="694"/>
      <c r="MBX261" s="694"/>
      <c r="MBY261" s="694"/>
      <c r="MBZ261" s="694"/>
      <c r="MCA261" s="694"/>
      <c r="MCB261" s="694"/>
      <c r="MCC261" s="694"/>
      <c r="MCD261" s="694"/>
      <c r="MCE261" s="694"/>
      <c r="MCF261" s="694"/>
      <c r="MCG261" s="694"/>
      <c r="MCH261" s="694"/>
      <c r="MCI261" s="694"/>
      <c r="MCJ261" s="694"/>
      <c r="MCK261" s="694"/>
      <c r="MCL261" s="694"/>
      <c r="MCM261" s="694"/>
      <c r="MCN261" s="717"/>
      <c r="MCO261" s="694"/>
      <c r="MCP261" s="694"/>
      <c r="MCQ261" s="694"/>
      <c r="MCR261" s="694"/>
      <c r="MCS261" s="694"/>
      <c r="MCT261" s="694"/>
      <c r="MCU261" s="694"/>
      <c r="MCV261" s="694"/>
      <c r="MCW261" s="694"/>
      <c r="MCX261" s="694"/>
      <c r="MCY261" s="694"/>
      <c r="MCZ261" s="694"/>
      <c r="MDA261" s="694"/>
      <c r="MDB261" s="694"/>
      <c r="MDC261" s="694"/>
      <c r="MDD261" s="694"/>
      <c r="MDE261" s="694"/>
      <c r="MDF261" s="694"/>
      <c r="MDG261" s="694"/>
      <c r="MDH261" s="717"/>
      <c r="MDI261" s="694"/>
      <c r="MDJ261" s="694"/>
      <c r="MDK261" s="694"/>
      <c r="MDL261" s="694"/>
      <c r="MDM261" s="694"/>
      <c r="MDN261" s="694"/>
      <c r="MDO261" s="694"/>
      <c r="MDP261" s="694"/>
      <c r="MDQ261" s="694"/>
      <c r="MDR261" s="694"/>
      <c r="MDS261" s="694"/>
      <c r="MDT261" s="694"/>
      <c r="MDU261" s="694"/>
      <c r="MDV261" s="694"/>
      <c r="MDW261" s="694"/>
      <c r="MDX261" s="694"/>
      <c r="MDY261" s="694"/>
      <c r="MDZ261" s="694"/>
      <c r="MEA261" s="694"/>
      <c r="MEB261" s="717"/>
      <c r="MEC261" s="694"/>
      <c r="MED261" s="694"/>
      <c r="MEE261" s="694"/>
      <c r="MEF261" s="694"/>
      <c r="MEG261" s="694"/>
      <c r="MEH261" s="694"/>
      <c r="MEI261" s="694"/>
      <c r="MEJ261" s="694"/>
      <c r="MEK261" s="694"/>
      <c r="MEL261" s="694"/>
      <c r="MEM261" s="694"/>
      <c r="MEN261" s="694"/>
      <c r="MEO261" s="694"/>
      <c r="MEP261" s="694"/>
      <c r="MEQ261" s="694"/>
      <c r="MER261" s="694"/>
      <c r="MES261" s="694"/>
      <c r="MET261" s="694"/>
      <c r="MEU261" s="694"/>
      <c r="MEV261" s="717"/>
      <c r="MEW261" s="694"/>
      <c r="MEX261" s="694"/>
      <c r="MEY261" s="694"/>
      <c r="MEZ261" s="694"/>
      <c r="MFA261" s="694"/>
      <c r="MFB261" s="694"/>
      <c r="MFC261" s="694"/>
      <c r="MFD261" s="694"/>
      <c r="MFE261" s="694"/>
      <c r="MFF261" s="694"/>
      <c r="MFG261" s="694"/>
      <c r="MFH261" s="694"/>
      <c r="MFI261" s="694"/>
      <c r="MFJ261" s="694"/>
      <c r="MFK261" s="694"/>
      <c r="MFL261" s="694"/>
      <c r="MFM261" s="694"/>
      <c r="MFN261" s="694"/>
      <c r="MFO261" s="694"/>
      <c r="MFP261" s="717"/>
      <c r="MFQ261" s="694"/>
      <c r="MFR261" s="694"/>
      <c r="MFS261" s="694"/>
      <c r="MFT261" s="694"/>
      <c r="MFU261" s="694"/>
      <c r="MFV261" s="694"/>
      <c r="MFW261" s="694"/>
      <c r="MFX261" s="694"/>
      <c r="MFY261" s="694"/>
      <c r="MFZ261" s="694"/>
      <c r="MGA261" s="694"/>
      <c r="MGB261" s="694"/>
      <c r="MGC261" s="694"/>
      <c r="MGD261" s="694"/>
      <c r="MGE261" s="694"/>
      <c r="MGF261" s="694"/>
      <c r="MGG261" s="694"/>
      <c r="MGH261" s="694"/>
      <c r="MGI261" s="694"/>
      <c r="MGJ261" s="717"/>
      <c r="MGK261" s="694"/>
      <c r="MGL261" s="694"/>
      <c r="MGM261" s="694"/>
      <c r="MGN261" s="694"/>
      <c r="MGO261" s="694"/>
      <c r="MGP261" s="694"/>
      <c r="MGQ261" s="694"/>
      <c r="MGR261" s="694"/>
      <c r="MGS261" s="694"/>
      <c r="MGT261" s="694"/>
      <c r="MGU261" s="694"/>
      <c r="MGV261" s="694"/>
      <c r="MGW261" s="694"/>
      <c r="MGX261" s="694"/>
      <c r="MGY261" s="694"/>
      <c r="MGZ261" s="694"/>
      <c r="MHA261" s="694"/>
      <c r="MHB261" s="694"/>
      <c r="MHC261" s="694"/>
      <c r="MHD261" s="717"/>
      <c r="MHE261" s="694"/>
      <c r="MHF261" s="694"/>
      <c r="MHG261" s="694"/>
      <c r="MHH261" s="694"/>
      <c r="MHI261" s="694"/>
      <c r="MHJ261" s="694"/>
      <c r="MHK261" s="694"/>
      <c r="MHL261" s="694"/>
      <c r="MHM261" s="694"/>
      <c r="MHN261" s="694"/>
      <c r="MHO261" s="694"/>
      <c r="MHP261" s="694"/>
      <c r="MHQ261" s="694"/>
      <c r="MHR261" s="694"/>
      <c r="MHS261" s="694"/>
      <c r="MHT261" s="694"/>
      <c r="MHU261" s="694"/>
      <c r="MHV261" s="694"/>
      <c r="MHW261" s="694"/>
      <c r="MHX261" s="717"/>
      <c r="MHY261" s="694"/>
      <c r="MHZ261" s="694"/>
      <c r="MIA261" s="694"/>
      <c r="MIB261" s="694"/>
      <c r="MIC261" s="694"/>
      <c r="MID261" s="694"/>
      <c r="MIE261" s="694"/>
      <c r="MIF261" s="694"/>
      <c r="MIG261" s="694"/>
      <c r="MIH261" s="694"/>
      <c r="MII261" s="694"/>
      <c r="MIJ261" s="694"/>
      <c r="MIK261" s="694"/>
      <c r="MIL261" s="694"/>
      <c r="MIM261" s="694"/>
      <c r="MIN261" s="694"/>
      <c r="MIO261" s="694"/>
      <c r="MIP261" s="694"/>
      <c r="MIQ261" s="694"/>
      <c r="MIR261" s="717"/>
      <c r="MIS261" s="694"/>
      <c r="MIT261" s="694"/>
      <c r="MIU261" s="694"/>
      <c r="MIV261" s="694"/>
      <c r="MIW261" s="694"/>
      <c r="MIX261" s="694"/>
      <c r="MIY261" s="694"/>
      <c r="MIZ261" s="694"/>
      <c r="MJA261" s="694"/>
      <c r="MJB261" s="694"/>
      <c r="MJC261" s="694"/>
      <c r="MJD261" s="694"/>
      <c r="MJE261" s="694"/>
      <c r="MJF261" s="694"/>
      <c r="MJG261" s="694"/>
      <c r="MJH261" s="694"/>
      <c r="MJI261" s="694"/>
      <c r="MJJ261" s="694"/>
      <c r="MJK261" s="694"/>
      <c r="MJL261" s="717"/>
      <c r="MJM261" s="694"/>
      <c r="MJN261" s="694"/>
      <c r="MJO261" s="694"/>
      <c r="MJP261" s="694"/>
      <c r="MJQ261" s="694"/>
      <c r="MJR261" s="694"/>
      <c r="MJS261" s="694"/>
      <c r="MJT261" s="694"/>
      <c r="MJU261" s="694"/>
      <c r="MJV261" s="694"/>
      <c r="MJW261" s="694"/>
      <c r="MJX261" s="694"/>
      <c r="MJY261" s="694"/>
      <c r="MJZ261" s="694"/>
      <c r="MKA261" s="694"/>
      <c r="MKB261" s="694"/>
      <c r="MKC261" s="694"/>
      <c r="MKD261" s="694"/>
      <c r="MKE261" s="694"/>
      <c r="MKF261" s="717"/>
      <c r="MKG261" s="694"/>
      <c r="MKH261" s="694"/>
      <c r="MKI261" s="694"/>
      <c r="MKJ261" s="694"/>
      <c r="MKK261" s="694"/>
      <c r="MKL261" s="694"/>
      <c r="MKM261" s="694"/>
      <c r="MKN261" s="694"/>
      <c r="MKO261" s="694"/>
      <c r="MKP261" s="694"/>
      <c r="MKQ261" s="694"/>
      <c r="MKR261" s="694"/>
      <c r="MKS261" s="694"/>
      <c r="MKT261" s="694"/>
      <c r="MKU261" s="694"/>
      <c r="MKV261" s="694"/>
      <c r="MKW261" s="694"/>
      <c r="MKX261" s="694"/>
      <c r="MKY261" s="694"/>
      <c r="MKZ261" s="717"/>
      <c r="MLA261" s="694"/>
      <c r="MLB261" s="694"/>
      <c r="MLC261" s="694"/>
      <c r="MLD261" s="694"/>
      <c r="MLE261" s="694"/>
      <c r="MLF261" s="694"/>
      <c r="MLG261" s="694"/>
      <c r="MLH261" s="694"/>
      <c r="MLI261" s="694"/>
      <c r="MLJ261" s="694"/>
      <c r="MLK261" s="694"/>
      <c r="MLL261" s="694"/>
      <c r="MLM261" s="694"/>
      <c r="MLN261" s="694"/>
      <c r="MLO261" s="694"/>
      <c r="MLP261" s="694"/>
      <c r="MLQ261" s="694"/>
      <c r="MLR261" s="694"/>
      <c r="MLS261" s="694"/>
      <c r="MLT261" s="717"/>
      <c r="MLU261" s="694"/>
      <c r="MLV261" s="694"/>
      <c r="MLW261" s="694"/>
      <c r="MLX261" s="694"/>
      <c r="MLY261" s="694"/>
      <c r="MLZ261" s="694"/>
      <c r="MMA261" s="694"/>
      <c r="MMB261" s="694"/>
      <c r="MMC261" s="694"/>
      <c r="MMD261" s="694"/>
      <c r="MME261" s="694"/>
      <c r="MMF261" s="694"/>
      <c r="MMG261" s="694"/>
      <c r="MMH261" s="694"/>
      <c r="MMI261" s="694"/>
      <c r="MMJ261" s="694"/>
      <c r="MMK261" s="694"/>
      <c r="MML261" s="694"/>
      <c r="MMM261" s="694"/>
      <c r="MMN261" s="717"/>
      <c r="MMO261" s="694"/>
      <c r="MMP261" s="694"/>
      <c r="MMQ261" s="694"/>
      <c r="MMR261" s="694"/>
      <c r="MMS261" s="694"/>
      <c r="MMT261" s="694"/>
      <c r="MMU261" s="694"/>
      <c r="MMV261" s="694"/>
      <c r="MMW261" s="694"/>
      <c r="MMX261" s="694"/>
      <c r="MMY261" s="694"/>
      <c r="MMZ261" s="694"/>
      <c r="MNA261" s="694"/>
      <c r="MNB261" s="694"/>
      <c r="MNC261" s="694"/>
      <c r="MND261" s="694"/>
      <c r="MNE261" s="694"/>
      <c r="MNF261" s="694"/>
      <c r="MNG261" s="694"/>
      <c r="MNH261" s="717"/>
      <c r="MNI261" s="694"/>
      <c r="MNJ261" s="694"/>
      <c r="MNK261" s="694"/>
      <c r="MNL261" s="694"/>
      <c r="MNM261" s="694"/>
      <c r="MNN261" s="694"/>
      <c r="MNO261" s="694"/>
      <c r="MNP261" s="694"/>
      <c r="MNQ261" s="694"/>
      <c r="MNR261" s="694"/>
      <c r="MNS261" s="694"/>
      <c r="MNT261" s="694"/>
      <c r="MNU261" s="694"/>
      <c r="MNV261" s="694"/>
      <c r="MNW261" s="694"/>
      <c r="MNX261" s="694"/>
      <c r="MNY261" s="694"/>
      <c r="MNZ261" s="694"/>
      <c r="MOA261" s="694"/>
      <c r="MOB261" s="717"/>
      <c r="MOC261" s="694"/>
      <c r="MOD261" s="694"/>
      <c r="MOE261" s="694"/>
      <c r="MOF261" s="694"/>
      <c r="MOG261" s="694"/>
      <c r="MOH261" s="694"/>
      <c r="MOI261" s="694"/>
      <c r="MOJ261" s="694"/>
      <c r="MOK261" s="694"/>
      <c r="MOL261" s="694"/>
      <c r="MOM261" s="694"/>
      <c r="MON261" s="694"/>
      <c r="MOO261" s="694"/>
      <c r="MOP261" s="694"/>
      <c r="MOQ261" s="694"/>
      <c r="MOR261" s="694"/>
      <c r="MOS261" s="694"/>
      <c r="MOT261" s="694"/>
      <c r="MOU261" s="694"/>
      <c r="MOV261" s="717"/>
      <c r="MOW261" s="694"/>
      <c r="MOX261" s="694"/>
      <c r="MOY261" s="694"/>
      <c r="MOZ261" s="694"/>
      <c r="MPA261" s="694"/>
      <c r="MPB261" s="694"/>
      <c r="MPC261" s="694"/>
      <c r="MPD261" s="694"/>
      <c r="MPE261" s="694"/>
      <c r="MPF261" s="694"/>
      <c r="MPG261" s="694"/>
      <c r="MPH261" s="694"/>
      <c r="MPI261" s="694"/>
      <c r="MPJ261" s="694"/>
      <c r="MPK261" s="694"/>
      <c r="MPL261" s="694"/>
      <c r="MPM261" s="694"/>
      <c r="MPN261" s="694"/>
      <c r="MPO261" s="694"/>
      <c r="MPP261" s="717"/>
      <c r="MPQ261" s="694"/>
      <c r="MPR261" s="694"/>
      <c r="MPS261" s="694"/>
      <c r="MPT261" s="694"/>
      <c r="MPU261" s="694"/>
      <c r="MPV261" s="694"/>
      <c r="MPW261" s="694"/>
      <c r="MPX261" s="694"/>
      <c r="MPY261" s="694"/>
      <c r="MPZ261" s="694"/>
      <c r="MQA261" s="694"/>
      <c r="MQB261" s="694"/>
      <c r="MQC261" s="694"/>
      <c r="MQD261" s="694"/>
      <c r="MQE261" s="694"/>
      <c r="MQF261" s="694"/>
      <c r="MQG261" s="694"/>
      <c r="MQH261" s="694"/>
      <c r="MQI261" s="694"/>
      <c r="MQJ261" s="717"/>
      <c r="MQK261" s="694"/>
      <c r="MQL261" s="694"/>
      <c r="MQM261" s="694"/>
      <c r="MQN261" s="694"/>
      <c r="MQO261" s="694"/>
      <c r="MQP261" s="694"/>
      <c r="MQQ261" s="694"/>
      <c r="MQR261" s="694"/>
      <c r="MQS261" s="694"/>
      <c r="MQT261" s="694"/>
      <c r="MQU261" s="694"/>
      <c r="MQV261" s="694"/>
      <c r="MQW261" s="694"/>
      <c r="MQX261" s="694"/>
      <c r="MQY261" s="694"/>
      <c r="MQZ261" s="694"/>
      <c r="MRA261" s="694"/>
      <c r="MRB261" s="694"/>
      <c r="MRC261" s="694"/>
      <c r="MRD261" s="717"/>
      <c r="MRE261" s="694"/>
      <c r="MRF261" s="694"/>
      <c r="MRG261" s="694"/>
      <c r="MRH261" s="694"/>
      <c r="MRI261" s="694"/>
      <c r="MRJ261" s="694"/>
      <c r="MRK261" s="694"/>
      <c r="MRL261" s="694"/>
      <c r="MRM261" s="694"/>
      <c r="MRN261" s="694"/>
      <c r="MRO261" s="694"/>
      <c r="MRP261" s="694"/>
      <c r="MRQ261" s="694"/>
      <c r="MRR261" s="694"/>
      <c r="MRS261" s="694"/>
      <c r="MRT261" s="694"/>
      <c r="MRU261" s="694"/>
      <c r="MRV261" s="694"/>
      <c r="MRW261" s="694"/>
      <c r="MRX261" s="717"/>
      <c r="MRY261" s="694"/>
      <c r="MRZ261" s="694"/>
      <c r="MSA261" s="694"/>
      <c r="MSB261" s="694"/>
      <c r="MSC261" s="694"/>
      <c r="MSD261" s="694"/>
      <c r="MSE261" s="694"/>
      <c r="MSF261" s="694"/>
      <c r="MSG261" s="694"/>
      <c r="MSH261" s="694"/>
      <c r="MSI261" s="694"/>
      <c r="MSJ261" s="694"/>
      <c r="MSK261" s="694"/>
      <c r="MSL261" s="694"/>
      <c r="MSM261" s="694"/>
      <c r="MSN261" s="694"/>
      <c r="MSO261" s="694"/>
      <c r="MSP261" s="694"/>
      <c r="MSQ261" s="694"/>
      <c r="MSR261" s="717"/>
      <c r="MSS261" s="694"/>
      <c r="MST261" s="694"/>
      <c r="MSU261" s="694"/>
      <c r="MSV261" s="694"/>
      <c r="MSW261" s="694"/>
      <c r="MSX261" s="694"/>
      <c r="MSY261" s="694"/>
      <c r="MSZ261" s="694"/>
      <c r="MTA261" s="694"/>
      <c r="MTB261" s="694"/>
      <c r="MTC261" s="694"/>
      <c r="MTD261" s="694"/>
      <c r="MTE261" s="694"/>
      <c r="MTF261" s="694"/>
      <c r="MTG261" s="694"/>
      <c r="MTH261" s="694"/>
      <c r="MTI261" s="694"/>
      <c r="MTJ261" s="694"/>
      <c r="MTK261" s="694"/>
      <c r="MTL261" s="717"/>
      <c r="MTM261" s="694"/>
      <c r="MTN261" s="694"/>
      <c r="MTO261" s="694"/>
      <c r="MTP261" s="694"/>
      <c r="MTQ261" s="694"/>
      <c r="MTR261" s="694"/>
      <c r="MTS261" s="694"/>
      <c r="MTT261" s="694"/>
      <c r="MTU261" s="694"/>
      <c r="MTV261" s="694"/>
      <c r="MTW261" s="694"/>
      <c r="MTX261" s="694"/>
      <c r="MTY261" s="694"/>
      <c r="MTZ261" s="694"/>
      <c r="MUA261" s="694"/>
      <c r="MUB261" s="694"/>
      <c r="MUC261" s="694"/>
      <c r="MUD261" s="694"/>
      <c r="MUE261" s="694"/>
      <c r="MUF261" s="717"/>
      <c r="MUG261" s="694"/>
      <c r="MUH261" s="694"/>
      <c r="MUI261" s="694"/>
      <c r="MUJ261" s="694"/>
      <c r="MUK261" s="694"/>
      <c r="MUL261" s="694"/>
      <c r="MUM261" s="694"/>
      <c r="MUN261" s="694"/>
      <c r="MUO261" s="694"/>
      <c r="MUP261" s="694"/>
      <c r="MUQ261" s="694"/>
      <c r="MUR261" s="694"/>
      <c r="MUS261" s="694"/>
      <c r="MUT261" s="694"/>
      <c r="MUU261" s="694"/>
      <c r="MUV261" s="694"/>
      <c r="MUW261" s="694"/>
      <c r="MUX261" s="694"/>
      <c r="MUY261" s="694"/>
      <c r="MUZ261" s="717"/>
      <c r="MVA261" s="694"/>
      <c r="MVB261" s="694"/>
      <c r="MVC261" s="694"/>
      <c r="MVD261" s="694"/>
      <c r="MVE261" s="694"/>
      <c r="MVF261" s="694"/>
      <c r="MVG261" s="694"/>
      <c r="MVH261" s="694"/>
      <c r="MVI261" s="694"/>
      <c r="MVJ261" s="694"/>
      <c r="MVK261" s="694"/>
      <c r="MVL261" s="694"/>
      <c r="MVM261" s="694"/>
      <c r="MVN261" s="694"/>
      <c r="MVO261" s="694"/>
      <c r="MVP261" s="694"/>
      <c r="MVQ261" s="694"/>
      <c r="MVR261" s="694"/>
      <c r="MVS261" s="694"/>
      <c r="MVT261" s="717"/>
      <c r="MVU261" s="694"/>
      <c r="MVV261" s="694"/>
      <c r="MVW261" s="694"/>
      <c r="MVX261" s="694"/>
      <c r="MVY261" s="694"/>
      <c r="MVZ261" s="694"/>
      <c r="MWA261" s="694"/>
      <c r="MWB261" s="694"/>
      <c r="MWC261" s="694"/>
      <c r="MWD261" s="694"/>
      <c r="MWE261" s="694"/>
      <c r="MWF261" s="694"/>
      <c r="MWG261" s="694"/>
      <c r="MWH261" s="694"/>
      <c r="MWI261" s="694"/>
      <c r="MWJ261" s="694"/>
      <c r="MWK261" s="694"/>
      <c r="MWL261" s="694"/>
      <c r="MWM261" s="694"/>
      <c r="MWN261" s="717"/>
      <c r="MWO261" s="694"/>
      <c r="MWP261" s="694"/>
      <c r="MWQ261" s="694"/>
      <c r="MWR261" s="694"/>
      <c r="MWS261" s="694"/>
      <c r="MWT261" s="694"/>
      <c r="MWU261" s="694"/>
      <c r="MWV261" s="694"/>
      <c r="MWW261" s="694"/>
      <c r="MWX261" s="694"/>
      <c r="MWY261" s="694"/>
      <c r="MWZ261" s="694"/>
      <c r="MXA261" s="694"/>
      <c r="MXB261" s="694"/>
      <c r="MXC261" s="694"/>
      <c r="MXD261" s="694"/>
      <c r="MXE261" s="694"/>
      <c r="MXF261" s="694"/>
      <c r="MXG261" s="694"/>
      <c r="MXH261" s="717"/>
      <c r="MXI261" s="694"/>
      <c r="MXJ261" s="694"/>
      <c r="MXK261" s="694"/>
      <c r="MXL261" s="694"/>
      <c r="MXM261" s="694"/>
      <c r="MXN261" s="694"/>
      <c r="MXO261" s="694"/>
      <c r="MXP261" s="694"/>
      <c r="MXQ261" s="694"/>
      <c r="MXR261" s="694"/>
      <c r="MXS261" s="694"/>
      <c r="MXT261" s="694"/>
      <c r="MXU261" s="694"/>
      <c r="MXV261" s="694"/>
      <c r="MXW261" s="694"/>
      <c r="MXX261" s="694"/>
      <c r="MXY261" s="694"/>
      <c r="MXZ261" s="694"/>
      <c r="MYA261" s="694"/>
      <c r="MYB261" s="717"/>
      <c r="MYC261" s="694"/>
      <c r="MYD261" s="694"/>
      <c r="MYE261" s="694"/>
      <c r="MYF261" s="694"/>
      <c r="MYG261" s="694"/>
      <c r="MYH261" s="694"/>
      <c r="MYI261" s="694"/>
      <c r="MYJ261" s="694"/>
      <c r="MYK261" s="694"/>
      <c r="MYL261" s="694"/>
      <c r="MYM261" s="694"/>
      <c r="MYN261" s="694"/>
      <c r="MYO261" s="694"/>
      <c r="MYP261" s="694"/>
      <c r="MYQ261" s="694"/>
      <c r="MYR261" s="694"/>
      <c r="MYS261" s="694"/>
      <c r="MYT261" s="694"/>
      <c r="MYU261" s="694"/>
      <c r="MYV261" s="717"/>
      <c r="MYW261" s="694"/>
      <c r="MYX261" s="694"/>
      <c r="MYY261" s="694"/>
      <c r="MYZ261" s="694"/>
      <c r="MZA261" s="694"/>
      <c r="MZB261" s="694"/>
      <c r="MZC261" s="694"/>
      <c r="MZD261" s="694"/>
      <c r="MZE261" s="694"/>
      <c r="MZF261" s="694"/>
      <c r="MZG261" s="694"/>
      <c r="MZH261" s="694"/>
      <c r="MZI261" s="694"/>
      <c r="MZJ261" s="694"/>
      <c r="MZK261" s="694"/>
      <c r="MZL261" s="694"/>
      <c r="MZM261" s="694"/>
      <c r="MZN261" s="694"/>
      <c r="MZO261" s="694"/>
      <c r="MZP261" s="717"/>
      <c r="MZQ261" s="694"/>
      <c r="MZR261" s="694"/>
      <c r="MZS261" s="694"/>
      <c r="MZT261" s="694"/>
      <c r="MZU261" s="694"/>
      <c r="MZV261" s="694"/>
      <c r="MZW261" s="694"/>
      <c r="MZX261" s="694"/>
      <c r="MZY261" s="694"/>
      <c r="MZZ261" s="694"/>
      <c r="NAA261" s="694"/>
      <c r="NAB261" s="694"/>
      <c r="NAC261" s="694"/>
      <c r="NAD261" s="694"/>
      <c r="NAE261" s="694"/>
      <c r="NAF261" s="694"/>
      <c r="NAG261" s="694"/>
      <c r="NAH261" s="694"/>
      <c r="NAI261" s="694"/>
      <c r="NAJ261" s="717"/>
      <c r="NAK261" s="694"/>
      <c r="NAL261" s="694"/>
      <c r="NAM261" s="694"/>
      <c r="NAN261" s="694"/>
      <c r="NAO261" s="694"/>
      <c r="NAP261" s="694"/>
      <c r="NAQ261" s="694"/>
      <c r="NAR261" s="694"/>
      <c r="NAS261" s="694"/>
      <c r="NAT261" s="694"/>
      <c r="NAU261" s="694"/>
      <c r="NAV261" s="694"/>
      <c r="NAW261" s="694"/>
      <c r="NAX261" s="694"/>
      <c r="NAY261" s="694"/>
      <c r="NAZ261" s="694"/>
      <c r="NBA261" s="694"/>
      <c r="NBB261" s="694"/>
      <c r="NBC261" s="694"/>
      <c r="NBD261" s="717"/>
      <c r="NBE261" s="694"/>
      <c r="NBF261" s="694"/>
      <c r="NBG261" s="694"/>
      <c r="NBH261" s="694"/>
      <c r="NBI261" s="694"/>
      <c r="NBJ261" s="694"/>
      <c r="NBK261" s="694"/>
      <c r="NBL261" s="694"/>
      <c r="NBM261" s="694"/>
      <c r="NBN261" s="694"/>
      <c r="NBO261" s="694"/>
      <c r="NBP261" s="694"/>
      <c r="NBQ261" s="694"/>
      <c r="NBR261" s="694"/>
      <c r="NBS261" s="694"/>
      <c r="NBT261" s="694"/>
      <c r="NBU261" s="694"/>
      <c r="NBV261" s="694"/>
      <c r="NBW261" s="694"/>
      <c r="NBX261" s="717"/>
      <c r="NBY261" s="694"/>
      <c r="NBZ261" s="694"/>
      <c r="NCA261" s="694"/>
      <c r="NCB261" s="694"/>
      <c r="NCC261" s="694"/>
      <c r="NCD261" s="694"/>
      <c r="NCE261" s="694"/>
      <c r="NCF261" s="694"/>
      <c r="NCG261" s="694"/>
      <c r="NCH261" s="694"/>
      <c r="NCI261" s="694"/>
      <c r="NCJ261" s="694"/>
      <c r="NCK261" s="694"/>
      <c r="NCL261" s="694"/>
      <c r="NCM261" s="694"/>
      <c r="NCN261" s="694"/>
      <c r="NCO261" s="694"/>
      <c r="NCP261" s="694"/>
      <c r="NCQ261" s="694"/>
      <c r="NCR261" s="717"/>
      <c r="NCS261" s="694"/>
      <c r="NCT261" s="694"/>
      <c r="NCU261" s="694"/>
      <c r="NCV261" s="694"/>
      <c r="NCW261" s="694"/>
      <c r="NCX261" s="694"/>
      <c r="NCY261" s="694"/>
      <c r="NCZ261" s="694"/>
      <c r="NDA261" s="694"/>
      <c r="NDB261" s="694"/>
      <c r="NDC261" s="694"/>
      <c r="NDD261" s="694"/>
      <c r="NDE261" s="694"/>
      <c r="NDF261" s="694"/>
      <c r="NDG261" s="694"/>
      <c r="NDH261" s="694"/>
      <c r="NDI261" s="694"/>
      <c r="NDJ261" s="694"/>
      <c r="NDK261" s="694"/>
      <c r="NDL261" s="717"/>
      <c r="NDM261" s="694"/>
      <c r="NDN261" s="694"/>
      <c r="NDO261" s="694"/>
      <c r="NDP261" s="694"/>
      <c r="NDQ261" s="694"/>
      <c r="NDR261" s="694"/>
      <c r="NDS261" s="694"/>
      <c r="NDT261" s="694"/>
      <c r="NDU261" s="694"/>
      <c r="NDV261" s="694"/>
      <c r="NDW261" s="694"/>
      <c r="NDX261" s="694"/>
      <c r="NDY261" s="694"/>
      <c r="NDZ261" s="694"/>
      <c r="NEA261" s="694"/>
      <c r="NEB261" s="694"/>
      <c r="NEC261" s="694"/>
      <c r="NED261" s="694"/>
      <c r="NEE261" s="694"/>
      <c r="NEF261" s="717"/>
      <c r="NEG261" s="694"/>
      <c r="NEH261" s="694"/>
      <c r="NEI261" s="694"/>
      <c r="NEJ261" s="694"/>
      <c r="NEK261" s="694"/>
      <c r="NEL261" s="694"/>
      <c r="NEM261" s="694"/>
      <c r="NEN261" s="694"/>
      <c r="NEO261" s="694"/>
      <c r="NEP261" s="694"/>
      <c r="NEQ261" s="694"/>
      <c r="NER261" s="694"/>
      <c r="NES261" s="694"/>
      <c r="NET261" s="694"/>
      <c r="NEU261" s="694"/>
      <c r="NEV261" s="694"/>
      <c r="NEW261" s="694"/>
      <c r="NEX261" s="694"/>
      <c r="NEY261" s="694"/>
      <c r="NEZ261" s="717"/>
      <c r="NFA261" s="694"/>
      <c r="NFB261" s="694"/>
      <c r="NFC261" s="694"/>
      <c r="NFD261" s="694"/>
      <c r="NFE261" s="694"/>
      <c r="NFF261" s="694"/>
      <c r="NFG261" s="694"/>
      <c r="NFH261" s="694"/>
      <c r="NFI261" s="694"/>
      <c r="NFJ261" s="694"/>
      <c r="NFK261" s="694"/>
      <c r="NFL261" s="694"/>
      <c r="NFM261" s="694"/>
      <c r="NFN261" s="694"/>
      <c r="NFO261" s="694"/>
      <c r="NFP261" s="694"/>
      <c r="NFQ261" s="694"/>
      <c r="NFR261" s="694"/>
      <c r="NFS261" s="694"/>
      <c r="NFT261" s="717"/>
      <c r="NFU261" s="694"/>
      <c r="NFV261" s="694"/>
      <c r="NFW261" s="694"/>
      <c r="NFX261" s="694"/>
      <c r="NFY261" s="694"/>
      <c r="NFZ261" s="694"/>
      <c r="NGA261" s="694"/>
      <c r="NGB261" s="694"/>
      <c r="NGC261" s="694"/>
      <c r="NGD261" s="694"/>
      <c r="NGE261" s="694"/>
      <c r="NGF261" s="694"/>
      <c r="NGG261" s="694"/>
      <c r="NGH261" s="694"/>
      <c r="NGI261" s="694"/>
      <c r="NGJ261" s="694"/>
      <c r="NGK261" s="694"/>
      <c r="NGL261" s="694"/>
      <c r="NGM261" s="694"/>
      <c r="NGN261" s="717"/>
      <c r="NGO261" s="694"/>
      <c r="NGP261" s="694"/>
      <c r="NGQ261" s="694"/>
      <c r="NGR261" s="694"/>
      <c r="NGS261" s="694"/>
      <c r="NGT261" s="694"/>
      <c r="NGU261" s="694"/>
      <c r="NGV261" s="694"/>
      <c r="NGW261" s="694"/>
      <c r="NGX261" s="694"/>
      <c r="NGY261" s="694"/>
      <c r="NGZ261" s="694"/>
      <c r="NHA261" s="694"/>
      <c r="NHB261" s="694"/>
      <c r="NHC261" s="694"/>
      <c r="NHD261" s="694"/>
      <c r="NHE261" s="694"/>
      <c r="NHF261" s="694"/>
      <c r="NHG261" s="694"/>
      <c r="NHH261" s="717"/>
      <c r="NHI261" s="694"/>
      <c r="NHJ261" s="694"/>
      <c r="NHK261" s="694"/>
      <c r="NHL261" s="694"/>
      <c r="NHM261" s="694"/>
      <c r="NHN261" s="694"/>
      <c r="NHO261" s="694"/>
      <c r="NHP261" s="694"/>
      <c r="NHQ261" s="694"/>
      <c r="NHR261" s="694"/>
      <c r="NHS261" s="694"/>
      <c r="NHT261" s="694"/>
      <c r="NHU261" s="694"/>
      <c r="NHV261" s="694"/>
      <c r="NHW261" s="694"/>
      <c r="NHX261" s="694"/>
      <c r="NHY261" s="694"/>
      <c r="NHZ261" s="694"/>
      <c r="NIA261" s="694"/>
      <c r="NIB261" s="717"/>
      <c r="NIC261" s="694"/>
      <c r="NID261" s="694"/>
      <c r="NIE261" s="694"/>
      <c r="NIF261" s="694"/>
      <c r="NIG261" s="694"/>
      <c r="NIH261" s="694"/>
      <c r="NII261" s="694"/>
      <c r="NIJ261" s="694"/>
      <c r="NIK261" s="694"/>
      <c r="NIL261" s="694"/>
      <c r="NIM261" s="694"/>
      <c r="NIN261" s="694"/>
      <c r="NIO261" s="694"/>
      <c r="NIP261" s="694"/>
      <c r="NIQ261" s="694"/>
      <c r="NIR261" s="694"/>
      <c r="NIS261" s="694"/>
      <c r="NIT261" s="694"/>
      <c r="NIU261" s="694"/>
      <c r="NIV261" s="717"/>
      <c r="NIW261" s="694"/>
      <c r="NIX261" s="694"/>
      <c r="NIY261" s="694"/>
      <c r="NIZ261" s="694"/>
      <c r="NJA261" s="694"/>
      <c r="NJB261" s="694"/>
      <c r="NJC261" s="694"/>
      <c r="NJD261" s="694"/>
      <c r="NJE261" s="694"/>
      <c r="NJF261" s="694"/>
      <c r="NJG261" s="694"/>
      <c r="NJH261" s="694"/>
      <c r="NJI261" s="694"/>
      <c r="NJJ261" s="694"/>
      <c r="NJK261" s="694"/>
      <c r="NJL261" s="694"/>
      <c r="NJM261" s="694"/>
      <c r="NJN261" s="694"/>
      <c r="NJO261" s="694"/>
      <c r="NJP261" s="717"/>
      <c r="NJQ261" s="694"/>
      <c r="NJR261" s="694"/>
      <c r="NJS261" s="694"/>
      <c r="NJT261" s="694"/>
      <c r="NJU261" s="694"/>
      <c r="NJV261" s="694"/>
      <c r="NJW261" s="694"/>
      <c r="NJX261" s="694"/>
      <c r="NJY261" s="694"/>
      <c r="NJZ261" s="694"/>
      <c r="NKA261" s="694"/>
      <c r="NKB261" s="694"/>
      <c r="NKC261" s="694"/>
      <c r="NKD261" s="694"/>
      <c r="NKE261" s="694"/>
      <c r="NKF261" s="694"/>
      <c r="NKG261" s="694"/>
      <c r="NKH261" s="694"/>
      <c r="NKI261" s="694"/>
      <c r="NKJ261" s="717"/>
      <c r="NKK261" s="694"/>
      <c r="NKL261" s="694"/>
      <c r="NKM261" s="694"/>
      <c r="NKN261" s="694"/>
      <c r="NKO261" s="694"/>
      <c r="NKP261" s="694"/>
      <c r="NKQ261" s="694"/>
      <c r="NKR261" s="694"/>
      <c r="NKS261" s="694"/>
      <c r="NKT261" s="694"/>
      <c r="NKU261" s="694"/>
      <c r="NKV261" s="694"/>
      <c r="NKW261" s="694"/>
      <c r="NKX261" s="694"/>
      <c r="NKY261" s="694"/>
      <c r="NKZ261" s="694"/>
      <c r="NLA261" s="694"/>
      <c r="NLB261" s="694"/>
      <c r="NLC261" s="694"/>
      <c r="NLD261" s="717"/>
      <c r="NLE261" s="694"/>
      <c r="NLF261" s="694"/>
      <c r="NLG261" s="694"/>
      <c r="NLH261" s="694"/>
      <c r="NLI261" s="694"/>
      <c r="NLJ261" s="694"/>
      <c r="NLK261" s="694"/>
      <c r="NLL261" s="694"/>
      <c r="NLM261" s="694"/>
      <c r="NLN261" s="694"/>
      <c r="NLO261" s="694"/>
      <c r="NLP261" s="694"/>
      <c r="NLQ261" s="694"/>
      <c r="NLR261" s="694"/>
      <c r="NLS261" s="694"/>
      <c r="NLT261" s="694"/>
      <c r="NLU261" s="694"/>
      <c r="NLV261" s="694"/>
      <c r="NLW261" s="694"/>
      <c r="NLX261" s="717"/>
      <c r="NLY261" s="694"/>
      <c r="NLZ261" s="694"/>
      <c r="NMA261" s="694"/>
      <c r="NMB261" s="694"/>
      <c r="NMC261" s="694"/>
      <c r="NMD261" s="694"/>
      <c r="NME261" s="694"/>
      <c r="NMF261" s="694"/>
      <c r="NMG261" s="694"/>
      <c r="NMH261" s="694"/>
      <c r="NMI261" s="694"/>
      <c r="NMJ261" s="694"/>
      <c r="NMK261" s="694"/>
      <c r="NML261" s="694"/>
      <c r="NMM261" s="694"/>
      <c r="NMN261" s="694"/>
      <c r="NMO261" s="694"/>
      <c r="NMP261" s="694"/>
      <c r="NMQ261" s="694"/>
      <c r="NMR261" s="717"/>
      <c r="NMS261" s="694"/>
      <c r="NMT261" s="694"/>
      <c r="NMU261" s="694"/>
      <c r="NMV261" s="694"/>
      <c r="NMW261" s="694"/>
      <c r="NMX261" s="694"/>
      <c r="NMY261" s="694"/>
      <c r="NMZ261" s="694"/>
      <c r="NNA261" s="694"/>
      <c r="NNB261" s="694"/>
      <c r="NNC261" s="694"/>
      <c r="NND261" s="694"/>
      <c r="NNE261" s="694"/>
      <c r="NNF261" s="694"/>
      <c r="NNG261" s="694"/>
      <c r="NNH261" s="694"/>
      <c r="NNI261" s="694"/>
      <c r="NNJ261" s="694"/>
      <c r="NNK261" s="694"/>
      <c r="NNL261" s="717"/>
      <c r="NNM261" s="694"/>
      <c r="NNN261" s="694"/>
      <c r="NNO261" s="694"/>
      <c r="NNP261" s="694"/>
      <c r="NNQ261" s="694"/>
      <c r="NNR261" s="694"/>
      <c r="NNS261" s="694"/>
      <c r="NNT261" s="694"/>
      <c r="NNU261" s="694"/>
      <c r="NNV261" s="694"/>
      <c r="NNW261" s="694"/>
      <c r="NNX261" s="694"/>
      <c r="NNY261" s="694"/>
      <c r="NNZ261" s="694"/>
      <c r="NOA261" s="694"/>
      <c r="NOB261" s="694"/>
      <c r="NOC261" s="694"/>
      <c r="NOD261" s="694"/>
      <c r="NOE261" s="694"/>
      <c r="NOF261" s="717"/>
      <c r="NOG261" s="694"/>
      <c r="NOH261" s="694"/>
      <c r="NOI261" s="694"/>
      <c r="NOJ261" s="694"/>
      <c r="NOK261" s="694"/>
      <c r="NOL261" s="694"/>
      <c r="NOM261" s="694"/>
      <c r="NON261" s="694"/>
      <c r="NOO261" s="694"/>
      <c r="NOP261" s="694"/>
      <c r="NOQ261" s="694"/>
      <c r="NOR261" s="694"/>
      <c r="NOS261" s="694"/>
      <c r="NOT261" s="694"/>
      <c r="NOU261" s="694"/>
      <c r="NOV261" s="694"/>
      <c r="NOW261" s="694"/>
      <c r="NOX261" s="694"/>
      <c r="NOY261" s="694"/>
      <c r="NOZ261" s="717"/>
      <c r="NPA261" s="694"/>
      <c r="NPB261" s="694"/>
      <c r="NPC261" s="694"/>
      <c r="NPD261" s="694"/>
      <c r="NPE261" s="694"/>
      <c r="NPF261" s="694"/>
      <c r="NPG261" s="694"/>
      <c r="NPH261" s="694"/>
      <c r="NPI261" s="694"/>
      <c r="NPJ261" s="694"/>
      <c r="NPK261" s="694"/>
      <c r="NPL261" s="694"/>
      <c r="NPM261" s="694"/>
      <c r="NPN261" s="694"/>
      <c r="NPO261" s="694"/>
      <c r="NPP261" s="694"/>
      <c r="NPQ261" s="694"/>
      <c r="NPR261" s="694"/>
      <c r="NPS261" s="694"/>
      <c r="NPT261" s="717"/>
      <c r="NPU261" s="694"/>
      <c r="NPV261" s="694"/>
      <c r="NPW261" s="694"/>
      <c r="NPX261" s="694"/>
      <c r="NPY261" s="694"/>
      <c r="NPZ261" s="694"/>
      <c r="NQA261" s="694"/>
      <c r="NQB261" s="694"/>
      <c r="NQC261" s="694"/>
      <c r="NQD261" s="694"/>
      <c r="NQE261" s="694"/>
      <c r="NQF261" s="694"/>
      <c r="NQG261" s="694"/>
      <c r="NQH261" s="694"/>
      <c r="NQI261" s="694"/>
      <c r="NQJ261" s="694"/>
      <c r="NQK261" s="694"/>
      <c r="NQL261" s="694"/>
      <c r="NQM261" s="694"/>
      <c r="NQN261" s="717"/>
      <c r="NQO261" s="694"/>
      <c r="NQP261" s="694"/>
      <c r="NQQ261" s="694"/>
      <c r="NQR261" s="694"/>
      <c r="NQS261" s="694"/>
      <c r="NQT261" s="694"/>
      <c r="NQU261" s="694"/>
      <c r="NQV261" s="694"/>
      <c r="NQW261" s="694"/>
      <c r="NQX261" s="694"/>
      <c r="NQY261" s="694"/>
      <c r="NQZ261" s="694"/>
      <c r="NRA261" s="694"/>
      <c r="NRB261" s="694"/>
      <c r="NRC261" s="694"/>
      <c r="NRD261" s="694"/>
      <c r="NRE261" s="694"/>
      <c r="NRF261" s="694"/>
      <c r="NRG261" s="694"/>
      <c r="NRH261" s="717"/>
      <c r="NRI261" s="694"/>
      <c r="NRJ261" s="694"/>
      <c r="NRK261" s="694"/>
      <c r="NRL261" s="694"/>
      <c r="NRM261" s="694"/>
      <c r="NRN261" s="694"/>
      <c r="NRO261" s="694"/>
      <c r="NRP261" s="694"/>
      <c r="NRQ261" s="694"/>
      <c r="NRR261" s="694"/>
      <c r="NRS261" s="694"/>
      <c r="NRT261" s="694"/>
      <c r="NRU261" s="694"/>
      <c r="NRV261" s="694"/>
      <c r="NRW261" s="694"/>
      <c r="NRX261" s="694"/>
      <c r="NRY261" s="694"/>
      <c r="NRZ261" s="694"/>
      <c r="NSA261" s="694"/>
      <c r="NSB261" s="717"/>
      <c r="NSC261" s="694"/>
      <c r="NSD261" s="694"/>
      <c r="NSE261" s="694"/>
      <c r="NSF261" s="694"/>
      <c r="NSG261" s="694"/>
      <c r="NSH261" s="694"/>
      <c r="NSI261" s="694"/>
      <c r="NSJ261" s="694"/>
      <c r="NSK261" s="694"/>
      <c r="NSL261" s="694"/>
      <c r="NSM261" s="694"/>
      <c r="NSN261" s="694"/>
      <c r="NSO261" s="694"/>
      <c r="NSP261" s="694"/>
      <c r="NSQ261" s="694"/>
      <c r="NSR261" s="694"/>
      <c r="NSS261" s="694"/>
      <c r="NST261" s="694"/>
      <c r="NSU261" s="694"/>
      <c r="NSV261" s="717"/>
      <c r="NSW261" s="694"/>
      <c r="NSX261" s="694"/>
      <c r="NSY261" s="694"/>
      <c r="NSZ261" s="694"/>
      <c r="NTA261" s="694"/>
      <c r="NTB261" s="694"/>
      <c r="NTC261" s="694"/>
      <c r="NTD261" s="694"/>
      <c r="NTE261" s="694"/>
      <c r="NTF261" s="694"/>
      <c r="NTG261" s="694"/>
      <c r="NTH261" s="694"/>
      <c r="NTI261" s="694"/>
      <c r="NTJ261" s="694"/>
      <c r="NTK261" s="694"/>
      <c r="NTL261" s="694"/>
      <c r="NTM261" s="694"/>
      <c r="NTN261" s="694"/>
      <c r="NTO261" s="694"/>
      <c r="NTP261" s="717"/>
      <c r="NTQ261" s="694"/>
      <c r="NTR261" s="694"/>
      <c r="NTS261" s="694"/>
      <c r="NTT261" s="694"/>
      <c r="NTU261" s="694"/>
      <c r="NTV261" s="694"/>
      <c r="NTW261" s="694"/>
      <c r="NTX261" s="694"/>
      <c r="NTY261" s="694"/>
      <c r="NTZ261" s="694"/>
      <c r="NUA261" s="694"/>
      <c r="NUB261" s="694"/>
      <c r="NUC261" s="694"/>
      <c r="NUD261" s="694"/>
      <c r="NUE261" s="694"/>
      <c r="NUF261" s="694"/>
      <c r="NUG261" s="694"/>
      <c r="NUH261" s="694"/>
      <c r="NUI261" s="694"/>
      <c r="NUJ261" s="717"/>
      <c r="NUK261" s="694"/>
      <c r="NUL261" s="694"/>
      <c r="NUM261" s="694"/>
      <c r="NUN261" s="694"/>
      <c r="NUO261" s="694"/>
      <c r="NUP261" s="694"/>
      <c r="NUQ261" s="694"/>
      <c r="NUR261" s="694"/>
      <c r="NUS261" s="694"/>
      <c r="NUT261" s="694"/>
      <c r="NUU261" s="694"/>
      <c r="NUV261" s="694"/>
      <c r="NUW261" s="694"/>
      <c r="NUX261" s="694"/>
      <c r="NUY261" s="694"/>
      <c r="NUZ261" s="694"/>
      <c r="NVA261" s="694"/>
      <c r="NVB261" s="694"/>
      <c r="NVC261" s="694"/>
      <c r="NVD261" s="717"/>
      <c r="NVE261" s="694"/>
      <c r="NVF261" s="694"/>
      <c r="NVG261" s="694"/>
      <c r="NVH261" s="694"/>
      <c r="NVI261" s="694"/>
      <c r="NVJ261" s="694"/>
      <c r="NVK261" s="694"/>
      <c r="NVL261" s="694"/>
      <c r="NVM261" s="694"/>
      <c r="NVN261" s="694"/>
      <c r="NVO261" s="694"/>
      <c r="NVP261" s="694"/>
      <c r="NVQ261" s="694"/>
      <c r="NVR261" s="694"/>
      <c r="NVS261" s="694"/>
      <c r="NVT261" s="694"/>
      <c r="NVU261" s="694"/>
      <c r="NVV261" s="694"/>
      <c r="NVW261" s="694"/>
      <c r="NVX261" s="717"/>
      <c r="NVY261" s="694"/>
      <c r="NVZ261" s="694"/>
      <c r="NWA261" s="694"/>
      <c r="NWB261" s="694"/>
      <c r="NWC261" s="694"/>
      <c r="NWD261" s="694"/>
      <c r="NWE261" s="694"/>
      <c r="NWF261" s="694"/>
      <c r="NWG261" s="694"/>
      <c r="NWH261" s="694"/>
      <c r="NWI261" s="694"/>
      <c r="NWJ261" s="694"/>
      <c r="NWK261" s="694"/>
      <c r="NWL261" s="694"/>
      <c r="NWM261" s="694"/>
      <c r="NWN261" s="694"/>
      <c r="NWO261" s="694"/>
      <c r="NWP261" s="694"/>
      <c r="NWQ261" s="694"/>
      <c r="NWR261" s="717"/>
      <c r="NWS261" s="694"/>
      <c r="NWT261" s="694"/>
      <c r="NWU261" s="694"/>
      <c r="NWV261" s="694"/>
      <c r="NWW261" s="694"/>
      <c r="NWX261" s="694"/>
      <c r="NWY261" s="694"/>
      <c r="NWZ261" s="694"/>
      <c r="NXA261" s="694"/>
      <c r="NXB261" s="694"/>
      <c r="NXC261" s="694"/>
      <c r="NXD261" s="694"/>
      <c r="NXE261" s="694"/>
      <c r="NXF261" s="694"/>
      <c r="NXG261" s="694"/>
      <c r="NXH261" s="694"/>
      <c r="NXI261" s="694"/>
      <c r="NXJ261" s="694"/>
      <c r="NXK261" s="694"/>
      <c r="NXL261" s="717"/>
      <c r="NXM261" s="694"/>
      <c r="NXN261" s="694"/>
      <c r="NXO261" s="694"/>
      <c r="NXP261" s="694"/>
      <c r="NXQ261" s="694"/>
      <c r="NXR261" s="694"/>
      <c r="NXS261" s="694"/>
      <c r="NXT261" s="694"/>
      <c r="NXU261" s="694"/>
      <c r="NXV261" s="694"/>
      <c r="NXW261" s="694"/>
      <c r="NXX261" s="694"/>
      <c r="NXY261" s="694"/>
      <c r="NXZ261" s="694"/>
      <c r="NYA261" s="694"/>
      <c r="NYB261" s="694"/>
      <c r="NYC261" s="694"/>
      <c r="NYD261" s="694"/>
      <c r="NYE261" s="694"/>
      <c r="NYF261" s="717"/>
      <c r="NYG261" s="694"/>
      <c r="NYH261" s="694"/>
      <c r="NYI261" s="694"/>
      <c r="NYJ261" s="694"/>
      <c r="NYK261" s="694"/>
      <c r="NYL261" s="694"/>
      <c r="NYM261" s="694"/>
      <c r="NYN261" s="694"/>
      <c r="NYO261" s="694"/>
      <c r="NYP261" s="694"/>
      <c r="NYQ261" s="694"/>
      <c r="NYR261" s="694"/>
      <c r="NYS261" s="694"/>
      <c r="NYT261" s="694"/>
      <c r="NYU261" s="694"/>
      <c r="NYV261" s="694"/>
      <c r="NYW261" s="694"/>
      <c r="NYX261" s="694"/>
      <c r="NYY261" s="694"/>
      <c r="NYZ261" s="717"/>
      <c r="NZA261" s="694"/>
      <c r="NZB261" s="694"/>
      <c r="NZC261" s="694"/>
      <c r="NZD261" s="694"/>
      <c r="NZE261" s="694"/>
      <c r="NZF261" s="694"/>
      <c r="NZG261" s="694"/>
      <c r="NZH261" s="694"/>
      <c r="NZI261" s="694"/>
      <c r="NZJ261" s="694"/>
      <c r="NZK261" s="694"/>
      <c r="NZL261" s="694"/>
      <c r="NZM261" s="694"/>
      <c r="NZN261" s="694"/>
      <c r="NZO261" s="694"/>
      <c r="NZP261" s="694"/>
      <c r="NZQ261" s="694"/>
      <c r="NZR261" s="694"/>
      <c r="NZS261" s="694"/>
      <c r="NZT261" s="717"/>
      <c r="NZU261" s="694"/>
      <c r="NZV261" s="694"/>
      <c r="NZW261" s="694"/>
      <c r="NZX261" s="694"/>
      <c r="NZY261" s="694"/>
      <c r="NZZ261" s="694"/>
      <c r="OAA261" s="694"/>
      <c r="OAB261" s="694"/>
      <c r="OAC261" s="694"/>
      <c r="OAD261" s="694"/>
      <c r="OAE261" s="694"/>
      <c r="OAF261" s="694"/>
      <c r="OAG261" s="694"/>
      <c r="OAH261" s="694"/>
      <c r="OAI261" s="694"/>
      <c r="OAJ261" s="694"/>
      <c r="OAK261" s="694"/>
      <c r="OAL261" s="694"/>
      <c r="OAM261" s="694"/>
      <c r="OAN261" s="717"/>
      <c r="OAO261" s="694"/>
      <c r="OAP261" s="694"/>
      <c r="OAQ261" s="694"/>
      <c r="OAR261" s="694"/>
      <c r="OAS261" s="694"/>
      <c r="OAT261" s="694"/>
      <c r="OAU261" s="694"/>
      <c r="OAV261" s="694"/>
      <c r="OAW261" s="694"/>
      <c r="OAX261" s="694"/>
      <c r="OAY261" s="694"/>
      <c r="OAZ261" s="694"/>
      <c r="OBA261" s="694"/>
      <c r="OBB261" s="694"/>
      <c r="OBC261" s="694"/>
      <c r="OBD261" s="694"/>
      <c r="OBE261" s="694"/>
      <c r="OBF261" s="694"/>
      <c r="OBG261" s="694"/>
      <c r="OBH261" s="717"/>
      <c r="OBI261" s="694"/>
      <c r="OBJ261" s="694"/>
      <c r="OBK261" s="694"/>
      <c r="OBL261" s="694"/>
      <c r="OBM261" s="694"/>
      <c r="OBN261" s="694"/>
      <c r="OBO261" s="694"/>
      <c r="OBP261" s="694"/>
      <c r="OBQ261" s="694"/>
      <c r="OBR261" s="694"/>
      <c r="OBS261" s="694"/>
      <c r="OBT261" s="694"/>
      <c r="OBU261" s="694"/>
      <c r="OBV261" s="694"/>
      <c r="OBW261" s="694"/>
      <c r="OBX261" s="694"/>
      <c r="OBY261" s="694"/>
      <c r="OBZ261" s="694"/>
      <c r="OCA261" s="694"/>
      <c r="OCB261" s="717"/>
      <c r="OCC261" s="694"/>
      <c r="OCD261" s="694"/>
      <c r="OCE261" s="694"/>
      <c r="OCF261" s="694"/>
      <c r="OCG261" s="694"/>
      <c r="OCH261" s="694"/>
      <c r="OCI261" s="694"/>
      <c r="OCJ261" s="694"/>
      <c r="OCK261" s="694"/>
      <c r="OCL261" s="694"/>
      <c r="OCM261" s="694"/>
      <c r="OCN261" s="694"/>
      <c r="OCO261" s="694"/>
      <c r="OCP261" s="694"/>
      <c r="OCQ261" s="694"/>
      <c r="OCR261" s="694"/>
      <c r="OCS261" s="694"/>
      <c r="OCT261" s="694"/>
      <c r="OCU261" s="694"/>
      <c r="OCV261" s="717"/>
      <c r="OCW261" s="694"/>
      <c r="OCX261" s="694"/>
      <c r="OCY261" s="694"/>
      <c r="OCZ261" s="694"/>
      <c r="ODA261" s="694"/>
      <c r="ODB261" s="694"/>
      <c r="ODC261" s="694"/>
      <c r="ODD261" s="694"/>
      <c r="ODE261" s="694"/>
      <c r="ODF261" s="694"/>
      <c r="ODG261" s="694"/>
      <c r="ODH261" s="694"/>
      <c r="ODI261" s="694"/>
      <c r="ODJ261" s="694"/>
      <c r="ODK261" s="694"/>
      <c r="ODL261" s="694"/>
      <c r="ODM261" s="694"/>
      <c r="ODN261" s="694"/>
      <c r="ODO261" s="694"/>
      <c r="ODP261" s="717"/>
      <c r="ODQ261" s="694"/>
      <c r="ODR261" s="694"/>
      <c r="ODS261" s="694"/>
      <c r="ODT261" s="694"/>
      <c r="ODU261" s="694"/>
      <c r="ODV261" s="694"/>
      <c r="ODW261" s="694"/>
      <c r="ODX261" s="694"/>
      <c r="ODY261" s="694"/>
      <c r="ODZ261" s="694"/>
      <c r="OEA261" s="694"/>
      <c r="OEB261" s="694"/>
      <c r="OEC261" s="694"/>
      <c r="OED261" s="694"/>
      <c r="OEE261" s="694"/>
      <c r="OEF261" s="694"/>
      <c r="OEG261" s="694"/>
      <c r="OEH261" s="694"/>
      <c r="OEI261" s="694"/>
      <c r="OEJ261" s="717"/>
      <c r="OEK261" s="694"/>
      <c r="OEL261" s="694"/>
      <c r="OEM261" s="694"/>
      <c r="OEN261" s="694"/>
      <c r="OEO261" s="694"/>
      <c r="OEP261" s="694"/>
      <c r="OEQ261" s="694"/>
      <c r="OER261" s="694"/>
      <c r="OES261" s="694"/>
      <c r="OET261" s="694"/>
      <c r="OEU261" s="694"/>
      <c r="OEV261" s="694"/>
      <c r="OEW261" s="694"/>
      <c r="OEX261" s="694"/>
      <c r="OEY261" s="694"/>
      <c r="OEZ261" s="694"/>
      <c r="OFA261" s="694"/>
      <c r="OFB261" s="694"/>
      <c r="OFC261" s="694"/>
      <c r="OFD261" s="717"/>
      <c r="OFE261" s="694"/>
      <c r="OFF261" s="694"/>
      <c r="OFG261" s="694"/>
      <c r="OFH261" s="694"/>
      <c r="OFI261" s="694"/>
      <c r="OFJ261" s="694"/>
      <c r="OFK261" s="694"/>
      <c r="OFL261" s="694"/>
      <c r="OFM261" s="694"/>
      <c r="OFN261" s="694"/>
      <c r="OFO261" s="694"/>
      <c r="OFP261" s="694"/>
      <c r="OFQ261" s="694"/>
      <c r="OFR261" s="694"/>
      <c r="OFS261" s="694"/>
      <c r="OFT261" s="694"/>
      <c r="OFU261" s="694"/>
      <c r="OFV261" s="694"/>
      <c r="OFW261" s="694"/>
      <c r="OFX261" s="717"/>
      <c r="OFY261" s="694"/>
      <c r="OFZ261" s="694"/>
      <c r="OGA261" s="694"/>
      <c r="OGB261" s="694"/>
      <c r="OGC261" s="694"/>
      <c r="OGD261" s="694"/>
      <c r="OGE261" s="694"/>
      <c r="OGF261" s="694"/>
      <c r="OGG261" s="694"/>
      <c r="OGH261" s="694"/>
      <c r="OGI261" s="694"/>
      <c r="OGJ261" s="694"/>
      <c r="OGK261" s="694"/>
      <c r="OGL261" s="694"/>
      <c r="OGM261" s="694"/>
      <c r="OGN261" s="694"/>
      <c r="OGO261" s="694"/>
      <c r="OGP261" s="694"/>
      <c r="OGQ261" s="694"/>
      <c r="OGR261" s="717"/>
      <c r="OGS261" s="694"/>
      <c r="OGT261" s="694"/>
      <c r="OGU261" s="694"/>
      <c r="OGV261" s="694"/>
      <c r="OGW261" s="694"/>
      <c r="OGX261" s="694"/>
      <c r="OGY261" s="694"/>
      <c r="OGZ261" s="694"/>
      <c r="OHA261" s="694"/>
      <c r="OHB261" s="694"/>
      <c r="OHC261" s="694"/>
      <c r="OHD261" s="694"/>
      <c r="OHE261" s="694"/>
      <c r="OHF261" s="694"/>
      <c r="OHG261" s="694"/>
      <c r="OHH261" s="694"/>
      <c r="OHI261" s="694"/>
      <c r="OHJ261" s="694"/>
      <c r="OHK261" s="694"/>
      <c r="OHL261" s="717"/>
      <c r="OHM261" s="694"/>
      <c r="OHN261" s="694"/>
      <c r="OHO261" s="694"/>
      <c r="OHP261" s="694"/>
      <c r="OHQ261" s="694"/>
      <c r="OHR261" s="694"/>
      <c r="OHS261" s="694"/>
      <c r="OHT261" s="694"/>
      <c r="OHU261" s="694"/>
      <c r="OHV261" s="694"/>
      <c r="OHW261" s="694"/>
      <c r="OHX261" s="694"/>
      <c r="OHY261" s="694"/>
      <c r="OHZ261" s="694"/>
      <c r="OIA261" s="694"/>
      <c r="OIB261" s="694"/>
      <c r="OIC261" s="694"/>
      <c r="OID261" s="694"/>
      <c r="OIE261" s="694"/>
      <c r="OIF261" s="717"/>
      <c r="OIG261" s="694"/>
      <c r="OIH261" s="694"/>
      <c r="OII261" s="694"/>
      <c r="OIJ261" s="694"/>
      <c r="OIK261" s="694"/>
      <c r="OIL261" s="694"/>
      <c r="OIM261" s="694"/>
      <c r="OIN261" s="694"/>
      <c r="OIO261" s="694"/>
      <c r="OIP261" s="694"/>
      <c r="OIQ261" s="694"/>
      <c r="OIR261" s="694"/>
      <c r="OIS261" s="694"/>
      <c r="OIT261" s="694"/>
      <c r="OIU261" s="694"/>
      <c r="OIV261" s="694"/>
      <c r="OIW261" s="694"/>
      <c r="OIX261" s="694"/>
      <c r="OIY261" s="694"/>
      <c r="OIZ261" s="717"/>
      <c r="OJA261" s="694"/>
      <c r="OJB261" s="694"/>
      <c r="OJC261" s="694"/>
      <c r="OJD261" s="694"/>
      <c r="OJE261" s="694"/>
      <c r="OJF261" s="694"/>
      <c r="OJG261" s="694"/>
      <c r="OJH261" s="694"/>
      <c r="OJI261" s="694"/>
      <c r="OJJ261" s="694"/>
      <c r="OJK261" s="694"/>
      <c r="OJL261" s="694"/>
      <c r="OJM261" s="694"/>
      <c r="OJN261" s="694"/>
      <c r="OJO261" s="694"/>
      <c r="OJP261" s="694"/>
      <c r="OJQ261" s="694"/>
      <c r="OJR261" s="694"/>
      <c r="OJS261" s="694"/>
      <c r="OJT261" s="717"/>
      <c r="OJU261" s="694"/>
      <c r="OJV261" s="694"/>
      <c r="OJW261" s="694"/>
      <c r="OJX261" s="694"/>
      <c r="OJY261" s="694"/>
      <c r="OJZ261" s="694"/>
      <c r="OKA261" s="694"/>
      <c r="OKB261" s="694"/>
      <c r="OKC261" s="694"/>
      <c r="OKD261" s="694"/>
      <c r="OKE261" s="694"/>
      <c r="OKF261" s="694"/>
      <c r="OKG261" s="694"/>
      <c r="OKH261" s="694"/>
      <c r="OKI261" s="694"/>
      <c r="OKJ261" s="694"/>
      <c r="OKK261" s="694"/>
      <c r="OKL261" s="694"/>
      <c r="OKM261" s="694"/>
      <c r="OKN261" s="717"/>
      <c r="OKO261" s="694"/>
      <c r="OKP261" s="694"/>
      <c r="OKQ261" s="694"/>
      <c r="OKR261" s="694"/>
      <c r="OKS261" s="694"/>
      <c r="OKT261" s="694"/>
      <c r="OKU261" s="694"/>
      <c r="OKV261" s="694"/>
      <c r="OKW261" s="694"/>
      <c r="OKX261" s="694"/>
      <c r="OKY261" s="694"/>
      <c r="OKZ261" s="694"/>
      <c r="OLA261" s="694"/>
      <c r="OLB261" s="694"/>
      <c r="OLC261" s="694"/>
      <c r="OLD261" s="694"/>
      <c r="OLE261" s="694"/>
      <c r="OLF261" s="694"/>
      <c r="OLG261" s="694"/>
      <c r="OLH261" s="717"/>
      <c r="OLI261" s="694"/>
      <c r="OLJ261" s="694"/>
      <c r="OLK261" s="694"/>
      <c r="OLL261" s="694"/>
      <c r="OLM261" s="694"/>
      <c r="OLN261" s="694"/>
      <c r="OLO261" s="694"/>
      <c r="OLP261" s="694"/>
      <c r="OLQ261" s="694"/>
      <c r="OLR261" s="694"/>
      <c r="OLS261" s="694"/>
      <c r="OLT261" s="694"/>
      <c r="OLU261" s="694"/>
      <c r="OLV261" s="694"/>
      <c r="OLW261" s="694"/>
      <c r="OLX261" s="694"/>
      <c r="OLY261" s="694"/>
      <c r="OLZ261" s="694"/>
      <c r="OMA261" s="694"/>
      <c r="OMB261" s="717"/>
      <c r="OMC261" s="694"/>
      <c r="OMD261" s="694"/>
      <c r="OME261" s="694"/>
      <c r="OMF261" s="694"/>
      <c r="OMG261" s="694"/>
      <c r="OMH261" s="694"/>
      <c r="OMI261" s="694"/>
      <c r="OMJ261" s="694"/>
      <c r="OMK261" s="694"/>
      <c r="OML261" s="694"/>
      <c r="OMM261" s="694"/>
      <c r="OMN261" s="694"/>
      <c r="OMO261" s="694"/>
      <c r="OMP261" s="694"/>
      <c r="OMQ261" s="694"/>
      <c r="OMR261" s="694"/>
      <c r="OMS261" s="694"/>
      <c r="OMT261" s="694"/>
      <c r="OMU261" s="694"/>
      <c r="OMV261" s="717"/>
      <c r="OMW261" s="694"/>
      <c r="OMX261" s="694"/>
      <c r="OMY261" s="694"/>
      <c r="OMZ261" s="694"/>
      <c r="ONA261" s="694"/>
      <c r="ONB261" s="694"/>
      <c r="ONC261" s="694"/>
      <c r="OND261" s="694"/>
      <c r="ONE261" s="694"/>
      <c r="ONF261" s="694"/>
      <c r="ONG261" s="694"/>
      <c r="ONH261" s="694"/>
      <c r="ONI261" s="694"/>
      <c r="ONJ261" s="694"/>
      <c r="ONK261" s="694"/>
      <c r="ONL261" s="694"/>
      <c r="ONM261" s="694"/>
      <c r="ONN261" s="694"/>
      <c r="ONO261" s="694"/>
      <c r="ONP261" s="717"/>
      <c r="ONQ261" s="694"/>
      <c r="ONR261" s="694"/>
      <c r="ONS261" s="694"/>
      <c r="ONT261" s="694"/>
      <c r="ONU261" s="694"/>
      <c r="ONV261" s="694"/>
      <c r="ONW261" s="694"/>
      <c r="ONX261" s="694"/>
      <c r="ONY261" s="694"/>
      <c r="ONZ261" s="694"/>
      <c r="OOA261" s="694"/>
      <c r="OOB261" s="694"/>
      <c r="OOC261" s="694"/>
      <c r="OOD261" s="694"/>
      <c r="OOE261" s="694"/>
      <c r="OOF261" s="694"/>
      <c r="OOG261" s="694"/>
      <c r="OOH261" s="694"/>
      <c r="OOI261" s="694"/>
      <c r="OOJ261" s="717"/>
      <c r="OOK261" s="694"/>
      <c r="OOL261" s="694"/>
      <c r="OOM261" s="694"/>
      <c r="OON261" s="694"/>
      <c r="OOO261" s="694"/>
      <c r="OOP261" s="694"/>
      <c r="OOQ261" s="694"/>
      <c r="OOR261" s="694"/>
      <c r="OOS261" s="694"/>
      <c r="OOT261" s="694"/>
      <c r="OOU261" s="694"/>
      <c r="OOV261" s="694"/>
      <c r="OOW261" s="694"/>
      <c r="OOX261" s="694"/>
      <c r="OOY261" s="694"/>
      <c r="OOZ261" s="694"/>
      <c r="OPA261" s="694"/>
      <c r="OPB261" s="694"/>
      <c r="OPC261" s="694"/>
      <c r="OPD261" s="717"/>
      <c r="OPE261" s="694"/>
      <c r="OPF261" s="694"/>
      <c r="OPG261" s="694"/>
      <c r="OPH261" s="694"/>
      <c r="OPI261" s="694"/>
      <c r="OPJ261" s="694"/>
      <c r="OPK261" s="694"/>
      <c r="OPL261" s="694"/>
      <c r="OPM261" s="694"/>
      <c r="OPN261" s="694"/>
      <c r="OPO261" s="694"/>
      <c r="OPP261" s="694"/>
      <c r="OPQ261" s="694"/>
      <c r="OPR261" s="694"/>
      <c r="OPS261" s="694"/>
      <c r="OPT261" s="694"/>
      <c r="OPU261" s="694"/>
      <c r="OPV261" s="694"/>
      <c r="OPW261" s="694"/>
      <c r="OPX261" s="717"/>
      <c r="OPY261" s="694"/>
      <c r="OPZ261" s="694"/>
      <c r="OQA261" s="694"/>
      <c r="OQB261" s="694"/>
      <c r="OQC261" s="694"/>
      <c r="OQD261" s="694"/>
      <c r="OQE261" s="694"/>
      <c r="OQF261" s="694"/>
      <c r="OQG261" s="694"/>
      <c r="OQH261" s="694"/>
      <c r="OQI261" s="694"/>
      <c r="OQJ261" s="694"/>
      <c r="OQK261" s="694"/>
      <c r="OQL261" s="694"/>
      <c r="OQM261" s="694"/>
      <c r="OQN261" s="694"/>
      <c r="OQO261" s="694"/>
      <c r="OQP261" s="694"/>
      <c r="OQQ261" s="694"/>
      <c r="OQR261" s="717"/>
      <c r="OQS261" s="694"/>
      <c r="OQT261" s="694"/>
      <c r="OQU261" s="694"/>
      <c r="OQV261" s="694"/>
      <c r="OQW261" s="694"/>
      <c r="OQX261" s="694"/>
      <c r="OQY261" s="694"/>
      <c r="OQZ261" s="694"/>
      <c r="ORA261" s="694"/>
      <c r="ORB261" s="694"/>
      <c r="ORC261" s="694"/>
      <c r="ORD261" s="694"/>
      <c r="ORE261" s="694"/>
      <c r="ORF261" s="694"/>
      <c r="ORG261" s="694"/>
      <c r="ORH261" s="694"/>
      <c r="ORI261" s="694"/>
      <c r="ORJ261" s="694"/>
      <c r="ORK261" s="694"/>
      <c r="ORL261" s="717"/>
      <c r="ORM261" s="694"/>
      <c r="ORN261" s="694"/>
      <c r="ORO261" s="694"/>
      <c r="ORP261" s="694"/>
      <c r="ORQ261" s="694"/>
      <c r="ORR261" s="694"/>
      <c r="ORS261" s="694"/>
      <c r="ORT261" s="694"/>
      <c r="ORU261" s="694"/>
      <c r="ORV261" s="694"/>
      <c r="ORW261" s="694"/>
      <c r="ORX261" s="694"/>
      <c r="ORY261" s="694"/>
      <c r="ORZ261" s="694"/>
      <c r="OSA261" s="694"/>
      <c r="OSB261" s="694"/>
      <c r="OSC261" s="694"/>
      <c r="OSD261" s="694"/>
      <c r="OSE261" s="694"/>
      <c r="OSF261" s="717"/>
      <c r="OSG261" s="694"/>
      <c r="OSH261" s="694"/>
      <c r="OSI261" s="694"/>
      <c r="OSJ261" s="694"/>
      <c r="OSK261" s="694"/>
      <c r="OSL261" s="694"/>
      <c r="OSM261" s="694"/>
      <c r="OSN261" s="694"/>
      <c r="OSO261" s="694"/>
      <c r="OSP261" s="694"/>
      <c r="OSQ261" s="694"/>
      <c r="OSR261" s="694"/>
      <c r="OSS261" s="694"/>
      <c r="OST261" s="694"/>
      <c r="OSU261" s="694"/>
      <c r="OSV261" s="694"/>
      <c r="OSW261" s="694"/>
      <c r="OSX261" s="694"/>
      <c r="OSY261" s="694"/>
      <c r="OSZ261" s="717"/>
      <c r="OTA261" s="694"/>
      <c r="OTB261" s="694"/>
      <c r="OTC261" s="694"/>
      <c r="OTD261" s="694"/>
      <c r="OTE261" s="694"/>
      <c r="OTF261" s="694"/>
      <c r="OTG261" s="694"/>
      <c r="OTH261" s="694"/>
      <c r="OTI261" s="694"/>
      <c r="OTJ261" s="694"/>
      <c r="OTK261" s="694"/>
      <c r="OTL261" s="694"/>
      <c r="OTM261" s="694"/>
      <c r="OTN261" s="694"/>
      <c r="OTO261" s="694"/>
      <c r="OTP261" s="694"/>
      <c r="OTQ261" s="694"/>
      <c r="OTR261" s="694"/>
      <c r="OTS261" s="694"/>
      <c r="OTT261" s="717"/>
      <c r="OTU261" s="694"/>
      <c r="OTV261" s="694"/>
      <c r="OTW261" s="694"/>
      <c r="OTX261" s="694"/>
      <c r="OTY261" s="694"/>
      <c r="OTZ261" s="694"/>
      <c r="OUA261" s="694"/>
      <c r="OUB261" s="694"/>
      <c r="OUC261" s="694"/>
      <c r="OUD261" s="694"/>
      <c r="OUE261" s="694"/>
      <c r="OUF261" s="694"/>
      <c r="OUG261" s="694"/>
      <c r="OUH261" s="694"/>
      <c r="OUI261" s="694"/>
      <c r="OUJ261" s="694"/>
      <c r="OUK261" s="694"/>
      <c r="OUL261" s="694"/>
      <c r="OUM261" s="694"/>
      <c r="OUN261" s="717"/>
      <c r="OUO261" s="694"/>
      <c r="OUP261" s="694"/>
      <c r="OUQ261" s="694"/>
      <c r="OUR261" s="694"/>
      <c r="OUS261" s="694"/>
      <c r="OUT261" s="694"/>
      <c r="OUU261" s="694"/>
      <c r="OUV261" s="694"/>
      <c r="OUW261" s="694"/>
      <c r="OUX261" s="694"/>
      <c r="OUY261" s="694"/>
      <c r="OUZ261" s="694"/>
      <c r="OVA261" s="694"/>
      <c r="OVB261" s="694"/>
      <c r="OVC261" s="694"/>
      <c r="OVD261" s="694"/>
      <c r="OVE261" s="694"/>
      <c r="OVF261" s="694"/>
      <c r="OVG261" s="694"/>
      <c r="OVH261" s="717"/>
      <c r="OVI261" s="694"/>
      <c r="OVJ261" s="694"/>
      <c r="OVK261" s="694"/>
      <c r="OVL261" s="694"/>
      <c r="OVM261" s="694"/>
      <c r="OVN261" s="694"/>
      <c r="OVO261" s="694"/>
      <c r="OVP261" s="694"/>
      <c r="OVQ261" s="694"/>
      <c r="OVR261" s="694"/>
      <c r="OVS261" s="694"/>
      <c r="OVT261" s="694"/>
      <c r="OVU261" s="694"/>
      <c r="OVV261" s="694"/>
      <c r="OVW261" s="694"/>
      <c r="OVX261" s="694"/>
      <c r="OVY261" s="694"/>
      <c r="OVZ261" s="694"/>
      <c r="OWA261" s="694"/>
      <c r="OWB261" s="717"/>
      <c r="OWC261" s="694"/>
      <c r="OWD261" s="694"/>
      <c r="OWE261" s="694"/>
      <c r="OWF261" s="694"/>
      <c r="OWG261" s="694"/>
      <c r="OWH261" s="694"/>
      <c r="OWI261" s="694"/>
      <c r="OWJ261" s="694"/>
      <c r="OWK261" s="694"/>
      <c r="OWL261" s="694"/>
      <c r="OWM261" s="694"/>
      <c r="OWN261" s="694"/>
      <c r="OWO261" s="694"/>
      <c r="OWP261" s="694"/>
      <c r="OWQ261" s="694"/>
      <c r="OWR261" s="694"/>
      <c r="OWS261" s="694"/>
      <c r="OWT261" s="694"/>
      <c r="OWU261" s="694"/>
      <c r="OWV261" s="717"/>
      <c r="OWW261" s="694"/>
      <c r="OWX261" s="694"/>
      <c r="OWY261" s="694"/>
      <c r="OWZ261" s="694"/>
      <c r="OXA261" s="694"/>
      <c r="OXB261" s="694"/>
      <c r="OXC261" s="694"/>
      <c r="OXD261" s="694"/>
      <c r="OXE261" s="694"/>
      <c r="OXF261" s="694"/>
      <c r="OXG261" s="694"/>
      <c r="OXH261" s="694"/>
      <c r="OXI261" s="694"/>
      <c r="OXJ261" s="694"/>
      <c r="OXK261" s="694"/>
      <c r="OXL261" s="694"/>
      <c r="OXM261" s="694"/>
      <c r="OXN261" s="694"/>
      <c r="OXO261" s="694"/>
      <c r="OXP261" s="717"/>
      <c r="OXQ261" s="694"/>
      <c r="OXR261" s="694"/>
      <c r="OXS261" s="694"/>
      <c r="OXT261" s="694"/>
      <c r="OXU261" s="694"/>
      <c r="OXV261" s="694"/>
      <c r="OXW261" s="694"/>
      <c r="OXX261" s="694"/>
      <c r="OXY261" s="694"/>
      <c r="OXZ261" s="694"/>
      <c r="OYA261" s="694"/>
      <c r="OYB261" s="694"/>
      <c r="OYC261" s="694"/>
      <c r="OYD261" s="694"/>
      <c r="OYE261" s="694"/>
      <c r="OYF261" s="694"/>
      <c r="OYG261" s="694"/>
      <c r="OYH261" s="694"/>
      <c r="OYI261" s="694"/>
      <c r="OYJ261" s="717"/>
      <c r="OYK261" s="694"/>
      <c r="OYL261" s="694"/>
      <c r="OYM261" s="694"/>
      <c r="OYN261" s="694"/>
      <c r="OYO261" s="694"/>
      <c r="OYP261" s="694"/>
      <c r="OYQ261" s="694"/>
      <c r="OYR261" s="694"/>
      <c r="OYS261" s="694"/>
      <c r="OYT261" s="694"/>
      <c r="OYU261" s="694"/>
      <c r="OYV261" s="694"/>
      <c r="OYW261" s="694"/>
      <c r="OYX261" s="694"/>
      <c r="OYY261" s="694"/>
      <c r="OYZ261" s="694"/>
      <c r="OZA261" s="694"/>
      <c r="OZB261" s="694"/>
      <c r="OZC261" s="694"/>
      <c r="OZD261" s="717"/>
      <c r="OZE261" s="694"/>
      <c r="OZF261" s="694"/>
      <c r="OZG261" s="694"/>
      <c r="OZH261" s="694"/>
      <c r="OZI261" s="694"/>
      <c r="OZJ261" s="694"/>
      <c r="OZK261" s="694"/>
      <c r="OZL261" s="694"/>
      <c r="OZM261" s="694"/>
      <c r="OZN261" s="694"/>
      <c r="OZO261" s="694"/>
      <c r="OZP261" s="694"/>
      <c r="OZQ261" s="694"/>
      <c r="OZR261" s="694"/>
      <c r="OZS261" s="694"/>
      <c r="OZT261" s="694"/>
      <c r="OZU261" s="694"/>
      <c r="OZV261" s="694"/>
      <c r="OZW261" s="694"/>
      <c r="OZX261" s="717"/>
      <c r="OZY261" s="694"/>
      <c r="OZZ261" s="694"/>
      <c r="PAA261" s="694"/>
      <c r="PAB261" s="694"/>
      <c r="PAC261" s="694"/>
      <c r="PAD261" s="694"/>
      <c r="PAE261" s="694"/>
      <c r="PAF261" s="694"/>
      <c r="PAG261" s="694"/>
      <c r="PAH261" s="694"/>
      <c r="PAI261" s="694"/>
      <c r="PAJ261" s="694"/>
      <c r="PAK261" s="694"/>
      <c r="PAL261" s="694"/>
      <c r="PAM261" s="694"/>
      <c r="PAN261" s="694"/>
      <c r="PAO261" s="694"/>
      <c r="PAP261" s="694"/>
      <c r="PAQ261" s="694"/>
      <c r="PAR261" s="717"/>
      <c r="PAS261" s="694"/>
      <c r="PAT261" s="694"/>
      <c r="PAU261" s="694"/>
      <c r="PAV261" s="694"/>
      <c r="PAW261" s="694"/>
      <c r="PAX261" s="694"/>
      <c r="PAY261" s="694"/>
      <c r="PAZ261" s="694"/>
      <c r="PBA261" s="694"/>
      <c r="PBB261" s="694"/>
      <c r="PBC261" s="694"/>
      <c r="PBD261" s="694"/>
      <c r="PBE261" s="694"/>
      <c r="PBF261" s="694"/>
      <c r="PBG261" s="694"/>
      <c r="PBH261" s="694"/>
      <c r="PBI261" s="694"/>
      <c r="PBJ261" s="694"/>
      <c r="PBK261" s="694"/>
      <c r="PBL261" s="717"/>
      <c r="PBM261" s="694"/>
      <c r="PBN261" s="694"/>
      <c r="PBO261" s="694"/>
      <c r="PBP261" s="694"/>
      <c r="PBQ261" s="694"/>
      <c r="PBR261" s="694"/>
      <c r="PBS261" s="694"/>
      <c r="PBT261" s="694"/>
      <c r="PBU261" s="694"/>
      <c r="PBV261" s="694"/>
      <c r="PBW261" s="694"/>
      <c r="PBX261" s="694"/>
      <c r="PBY261" s="694"/>
      <c r="PBZ261" s="694"/>
      <c r="PCA261" s="694"/>
      <c r="PCB261" s="694"/>
      <c r="PCC261" s="694"/>
      <c r="PCD261" s="694"/>
      <c r="PCE261" s="694"/>
      <c r="PCF261" s="717"/>
      <c r="PCG261" s="694"/>
      <c r="PCH261" s="694"/>
      <c r="PCI261" s="694"/>
      <c r="PCJ261" s="694"/>
      <c r="PCK261" s="694"/>
      <c r="PCL261" s="694"/>
      <c r="PCM261" s="694"/>
      <c r="PCN261" s="694"/>
      <c r="PCO261" s="694"/>
      <c r="PCP261" s="694"/>
      <c r="PCQ261" s="694"/>
      <c r="PCR261" s="694"/>
      <c r="PCS261" s="694"/>
      <c r="PCT261" s="694"/>
      <c r="PCU261" s="694"/>
      <c r="PCV261" s="694"/>
      <c r="PCW261" s="694"/>
      <c r="PCX261" s="694"/>
      <c r="PCY261" s="694"/>
      <c r="PCZ261" s="717"/>
      <c r="PDA261" s="694"/>
      <c r="PDB261" s="694"/>
      <c r="PDC261" s="694"/>
      <c r="PDD261" s="694"/>
      <c r="PDE261" s="694"/>
      <c r="PDF261" s="694"/>
      <c r="PDG261" s="694"/>
      <c r="PDH261" s="694"/>
      <c r="PDI261" s="694"/>
      <c r="PDJ261" s="694"/>
      <c r="PDK261" s="694"/>
      <c r="PDL261" s="694"/>
      <c r="PDM261" s="694"/>
      <c r="PDN261" s="694"/>
      <c r="PDO261" s="694"/>
      <c r="PDP261" s="694"/>
      <c r="PDQ261" s="694"/>
      <c r="PDR261" s="694"/>
      <c r="PDS261" s="694"/>
      <c r="PDT261" s="717"/>
      <c r="PDU261" s="694"/>
      <c r="PDV261" s="694"/>
      <c r="PDW261" s="694"/>
      <c r="PDX261" s="694"/>
      <c r="PDY261" s="694"/>
      <c r="PDZ261" s="694"/>
      <c r="PEA261" s="694"/>
      <c r="PEB261" s="694"/>
      <c r="PEC261" s="694"/>
      <c r="PED261" s="694"/>
      <c r="PEE261" s="694"/>
      <c r="PEF261" s="694"/>
      <c r="PEG261" s="694"/>
      <c r="PEH261" s="694"/>
      <c r="PEI261" s="694"/>
      <c r="PEJ261" s="694"/>
      <c r="PEK261" s="694"/>
      <c r="PEL261" s="694"/>
      <c r="PEM261" s="694"/>
      <c r="PEN261" s="717"/>
      <c r="PEO261" s="694"/>
      <c r="PEP261" s="694"/>
      <c r="PEQ261" s="694"/>
      <c r="PER261" s="694"/>
      <c r="PES261" s="694"/>
      <c r="PET261" s="694"/>
      <c r="PEU261" s="694"/>
      <c r="PEV261" s="694"/>
      <c r="PEW261" s="694"/>
      <c r="PEX261" s="694"/>
      <c r="PEY261" s="694"/>
      <c r="PEZ261" s="694"/>
      <c r="PFA261" s="694"/>
      <c r="PFB261" s="694"/>
      <c r="PFC261" s="694"/>
      <c r="PFD261" s="694"/>
      <c r="PFE261" s="694"/>
      <c r="PFF261" s="694"/>
      <c r="PFG261" s="694"/>
      <c r="PFH261" s="717"/>
      <c r="PFI261" s="694"/>
      <c r="PFJ261" s="694"/>
      <c r="PFK261" s="694"/>
      <c r="PFL261" s="694"/>
      <c r="PFM261" s="694"/>
      <c r="PFN261" s="694"/>
      <c r="PFO261" s="694"/>
      <c r="PFP261" s="694"/>
      <c r="PFQ261" s="694"/>
      <c r="PFR261" s="694"/>
      <c r="PFS261" s="694"/>
      <c r="PFT261" s="694"/>
      <c r="PFU261" s="694"/>
      <c r="PFV261" s="694"/>
      <c r="PFW261" s="694"/>
      <c r="PFX261" s="694"/>
      <c r="PFY261" s="694"/>
      <c r="PFZ261" s="694"/>
      <c r="PGA261" s="694"/>
      <c r="PGB261" s="717"/>
      <c r="PGC261" s="694"/>
      <c r="PGD261" s="694"/>
      <c r="PGE261" s="694"/>
      <c r="PGF261" s="694"/>
      <c r="PGG261" s="694"/>
      <c r="PGH261" s="694"/>
      <c r="PGI261" s="694"/>
      <c r="PGJ261" s="694"/>
      <c r="PGK261" s="694"/>
      <c r="PGL261" s="694"/>
      <c r="PGM261" s="694"/>
      <c r="PGN261" s="694"/>
      <c r="PGO261" s="694"/>
      <c r="PGP261" s="694"/>
      <c r="PGQ261" s="694"/>
      <c r="PGR261" s="694"/>
      <c r="PGS261" s="694"/>
      <c r="PGT261" s="694"/>
      <c r="PGU261" s="694"/>
      <c r="PGV261" s="717"/>
      <c r="PGW261" s="694"/>
      <c r="PGX261" s="694"/>
      <c r="PGY261" s="694"/>
      <c r="PGZ261" s="694"/>
      <c r="PHA261" s="694"/>
      <c r="PHB261" s="694"/>
      <c r="PHC261" s="694"/>
      <c r="PHD261" s="694"/>
      <c r="PHE261" s="694"/>
      <c r="PHF261" s="694"/>
      <c r="PHG261" s="694"/>
      <c r="PHH261" s="694"/>
      <c r="PHI261" s="694"/>
      <c r="PHJ261" s="694"/>
      <c r="PHK261" s="694"/>
      <c r="PHL261" s="694"/>
      <c r="PHM261" s="694"/>
      <c r="PHN261" s="694"/>
      <c r="PHO261" s="694"/>
      <c r="PHP261" s="717"/>
      <c r="PHQ261" s="694"/>
      <c r="PHR261" s="694"/>
      <c r="PHS261" s="694"/>
      <c r="PHT261" s="694"/>
      <c r="PHU261" s="694"/>
      <c r="PHV261" s="694"/>
      <c r="PHW261" s="694"/>
      <c r="PHX261" s="694"/>
      <c r="PHY261" s="694"/>
      <c r="PHZ261" s="694"/>
      <c r="PIA261" s="694"/>
      <c r="PIB261" s="694"/>
      <c r="PIC261" s="694"/>
      <c r="PID261" s="694"/>
      <c r="PIE261" s="694"/>
      <c r="PIF261" s="694"/>
      <c r="PIG261" s="694"/>
      <c r="PIH261" s="694"/>
      <c r="PII261" s="694"/>
      <c r="PIJ261" s="717"/>
      <c r="PIK261" s="694"/>
      <c r="PIL261" s="694"/>
      <c r="PIM261" s="694"/>
      <c r="PIN261" s="694"/>
      <c r="PIO261" s="694"/>
      <c r="PIP261" s="694"/>
      <c r="PIQ261" s="694"/>
      <c r="PIR261" s="694"/>
      <c r="PIS261" s="694"/>
      <c r="PIT261" s="694"/>
      <c r="PIU261" s="694"/>
      <c r="PIV261" s="694"/>
      <c r="PIW261" s="694"/>
      <c r="PIX261" s="694"/>
      <c r="PIY261" s="694"/>
      <c r="PIZ261" s="694"/>
      <c r="PJA261" s="694"/>
      <c r="PJB261" s="694"/>
      <c r="PJC261" s="694"/>
      <c r="PJD261" s="717"/>
      <c r="PJE261" s="694"/>
      <c r="PJF261" s="694"/>
      <c r="PJG261" s="694"/>
      <c r="PJH261" s="694"/>
      <c r="PJI261" s="694"/>
      <c r="PJJ261" s="694"/>
      <c r="PJK261" s="694"/>
      <c r="PJL261" s="694"/>
      <c r="PJM261" s="694"/>
      <c r="PJN261" s="694"/>
      <c r="PJO261" s="694"/>
      <c r="PJP261" s="694"/>
      <c r="PJQ261" s="694"/>
      <c r="PJR261" s="694"/>
      <c r="PJS261" s="694"/>
      <c r="PJT261" s="694"/>
      <c r="PJU261" s="694"/>
      <c r="PJV261" s="694"/>
      <c r="PJW261" s="694"/>
      <c r="PJX261" s="717"/>
      <c r="PJY261" s="694"/>
      <c r="PJZ261" s="694"/>
      <c r="PKA261" s="694"/>
      <c r="PKB261" s="694"/>
      <c r="PKC261" s="694"/>
      <c r="PKD261" s="694"/>
      <c r="PKE261" s="694"/>
      <c r="PKF261" s="694"/>
      <c r="PKG261" s="694"/>
      <c r="PKH261" s="694"/>
      <c r="PKI261" s="694"/>
      <c r="PKJ261" s="694"/>
      <c r="PKK261" s="694"/>
      <c r="PKL261" s="694"/>
      <c r="PKM261" s="694"/>
      <c r="PKN261" s="694"/>
      <c r="PKO261" s="694"/>
      <c r="PKP261" s="694"/>
      <c r="PKQ261" s="694"/>
      <c r="PKR261" s="717"/>
      <c r="PKS261" s="694"/>
      <c r="PKT261" s="694"/>
      <c r="PKU261" s="694"/>
      <c r="PKV261" s="694"/>
      <c r="PKW261" s="694"/>
      <c r="PKX261" s="694"/>
      <c r="PKY261" s="694"/>
      <c r="PKZ261" s="694"/>
      <c r="PLA261" s="694"/>
      <c r="PLB261" s="694"/>
      <c r="PLC261" s="694"/>
      <c r="PLD261" s="694"/>
      <c r="PLE261" s="694"/>
      <c r="PLF261" s="694"/>
      <c r="PLG261" s="694"/>
      <c r="PLH261" s="694"/>
      <c r="PLI261" s="694"/>
      <c r="PLJ261" s="694"/>
      <c r="PLK261" s="694"/>
      <c r="PLL261" s="717"/>
      <c r="PLM261" s="694"/>
      <c r="PLN261" s="694"/>
      <c r="PLO261" s="694"/>
      <c r="PLP261" s="694"/>
      <c r="PLQ261" s="694"/>
      <c r="PLR261" s="694"/>
      <c r="PLS261" s="694"/>
      <c r="PLT261" s="694"/>
      <c r="PLU261" s="694"/>
      <c r="PLV261" s="694"/>
      <c r="PLW261" s="694"/>
      <c r="PLX261" s="694"/>
      <c r="PLY261" s="694"/>
      <c r="PLZ261" s="694"/>
      <c r="PMA261" s="694"/>
      <c r="PMB261" s="694"/>
      <c r="PMC261" s="694"/>
      <c r="PMD261" s="694"/>
      <c r="PME261" s="694"/>
      <c r="PMF261" s="717"/>
      <c r="PMG261" s="694"/>
      <c r="PMH261" s="694"/>
      <c r="PMI261" s="694"/>
      <c r="PMJ261" s="694"/>
      <c r="PMK261" s="694"/>
      <c r="PML261" s="694"/>
      <c r="PMM261" s="694"/>
      <c r="PMN261" s="694"/>
      <c r="PMO261" s="694"/>
      <c r="PMP261" s="694"/>
      <c r="PMQ261" s="694"/>
      <c r="PMR261" s="694"/>
      <c r="PMS261" s="694"/>
      <c r="PMT261" s="694"/>
      <c r="PMU261" s="694"/>
      <c r="PMV261" s="694"/>
      <c r="PMW261" s="694"/>
      <c r="PMX261" s="694"/>
      <c r="PMY261" s="694"/>
      <c r="PMZ261" s="717"/>
      <c r="PNA261" s="694"/>
      <c r="PNB261" s="694"/>
      <c r="PNC261" s="694"/>
      <c r="PND261" s="694"/>
      <c r="PNE261" s="694"/>
      <c r="PNF261" s="694"/>
      <c r="PNG261" s="694"/>
      <c r="PNH261" s="694"/>
      <c r="PNI261" s="694"/>
      <c r="PNJ261" s="694"/>
      <c r="PNK261" s="694"/>
      <c r="PNL261" s="694"/>
      <c r="PNM261" s="694"/>
      <c r="PNN261" s="694"/>
      <c r="PNO261" s="694"/>
      <c r="PNP261" s="694"/>
      <c r="PNQ261" s="694"/>
      <c r="PNR261" s="694"/>
      <c r="PNS261" s="694"/>
      <c r="PNT261" s="717"/>
      <c r="PNU261" s="694"/>
      <c r="PNV261" s="694"/>
      <c r="PNW261" s="694"/>
      <c r="PNX261" s="694"/>
      <c r="PNY261" s="694"/>
      <c r="PNZ261" s="694"/>
      <c r="POA261" s="694"/>
      <c r="POB261" s="694"/>
      <c r="POC261" s="694"/>
      <c r="POD261" s="694"/>
      <c r="POE261" s="694"/>
      <c r="POF261" s="694"/>
      <c r="POG261" s="694"/>
      <c r="POH261" s="694"/>
      <c r="POI261" s="694"/>
      <c r="POJ261" s="694"/>
      <c r="POK261" s="694"/>
      <c r="POL261" s="694"/>
      <c r="POM261" s="694"/>
      <c r="PON261" s="717"/>
      <c r="POO261" s="694"/>
      <c r="POP261" s="694"/>
      <c r="POQ261" s="694"/>
      <c r="POR261" s="694"/>
      <c r="POS261" s="694"/>
      <c r="POT261" s="694"/>
      <c r="POU261" s="694"/>
      <c r="POV261" s="694"/>
      <c r="POW261" s="694"/>
      <c r="POX261" s="694"/>
      <c r="POY261" s="694"/>
      <c r="POZ261" s="694"/>
      <c r="PPA261" s="694"/>
      <c r="PPB261" s="694"/>
      <c r="PPC261" s="694"/>
      <c r="PPD261" s="694"/>
      <c r="PPE261" s="694"/>
      <c r="PPF261" s="694"/>
      <c r="PPG261" s="694"/>
      <c r="PPH261" s="717"/>
      <c r="PPI261" s="694"/>
      <c r="PPJ261" s="694"/>
      <c r="PPK261" s="694"/>
      <c r="PPL261" s="694"/>
      <c r="PPM261" s="694"/>
      <c r="PPN261" s="694"/>
      <c r="PPO261" s="694"/>
      <c r="PPP261" s="694"/>
      <c r="PPQ261" s="694"/>
      <c r="PPR261" s="694"/>
      <c r="PPS261" s="694"/>
      <c r="PPT261" s="694"/>
      <c r="PPU261" s="694"/>
      <c r="PPV261" s="694"/>
      <c r="PPW261" s="694"/>
      <c r="PPX261" s="694"/>
      <c r="PPY261" s="694"/>
      <c r="PPZ261" s="694"/>
      <c r="PQA261" s="694"/>
      <c r="PQB261" s="717"/>
      <c r="PQC261" s="694"/>
      <c r="PQD261" s="694"/>
      <c r="PQE261" s="694"/>
      <c r="PQF261" s="694"/>
      <c r="PQG261" s="694"/>
      <c r="PQH261" s="694"/>
      <c r="PQI261" s="694"/>
      <c r="PQJ261" s="694"/>
      <c r="PQK261" s="694"/>
      <c r="PQL261" s="694"/>
      <c r="PQM261" s="694"/>
      <c r="PQN261" s="694"/>
      <c r="PQO261" s="694"/>
      <c r="PQP261" s="694"/>
      <c r="PQQ261" s="694"/>
      <c r="PQR261" s="694"/>
      <c r="PQS261" s="694"/>
      <c r="PQT261" s="694"/>
      <c r="PQU261" s="694"/>
      <c r="PQV261" s="717"/>
      <c r="PQW261" s="694"/>
      <c r="PQX261" s="694"/>
      <c r="PQY261" s="694"/>
      <c r="PQZ261" s="694"/>
      <c r="PRA261" s="694"/>
      <c r="PRB261" s="694"/>
      <c r="PRC261" s="694"/>
      <c r="PRD261" s="694"/>
      <c r="PRE261" s="694"/>
      <c r="PRF261" s="694"/>
      <c r="PRG261" s="694"/>
      <c r="PRH261" s="694"/>
      <c r="PRI261" s="694"/>
      <c r="PRJ261" s="694"/>
      <c r="PRK261" s="694"/>
      <c r="PRL261" s="694"/>
      <c r="PRM261" s="694"/>
      <c r="PRN261" s="694"/>
      <c r="PRO261" s="694"/>
      <c r="PRP261" s="717"/>
      <c r="PRQ261" s="694"/>
      <c r="PRR261" s="694"/>
      <c r="PRS261" s="694"/>
      <c r="PRT261" s="694"/>
      <c r="PRU261" s="694"/>
      <c r="PRV261" s="694"/>
      <c r="PRW261" s="694"/>
      <c r="PRX261" s="694"/>
      <c r="PRY261" s="694"/>
      <c r="PRZ261" s="694"/>
      <c r="PSA261" s="694"/>
      <c r="PSB261" s="694"/>
      <c r="PSC261" s="694"/>
      <c r="PSD261" s="694"/>
      <c r="PSE261" s="694"/>
      <c r="PSF261" s="694"/>
      <c r="PSG261" s="694"/>
      <c r="PSH261" s="694"/>
      <c r="PSI261" s="694"/>
      <c r="PSJ261" s="717"/>
      <c r="PSK261" s="694"/>
      <c r="PSL261" s="694"/>
      <c r="PSM261" s="694"/>
      <c r="PSN261" s="694"/>
      <c r="PSO261" s="694"/>
      <c r="PSP261" s="694"/>
      <c r="PSQ261" s="694"/>
      <c r="PSR261" s="694"/>
      <c r="PSS261" s="694"/>
      <c r="PST261" s="694"/>
      <c r="PSU261" s="694"/>
      <c r="PSV261" s="694"/>
      <c r="PSW261" s="694"/>
      <c r="PSX261" s="694"/>
      <c r="PSY261" s="694"/>
      <c r="PSZ261" s="694"/>
      <c r="PTA261" s="694"/>
      <c r="PTB261" s="694"/>
      <c r="PTC261" s="694"/>
      <c r="PTD261" s="717"/>
      <c r="PTE261" s="694"/>
      <c r="PTF261" s="694"/>
      <c r="PTG261" s="694"/>
      <c r="PTH261" s="694"/>
      <c r="PTI261" s="694"/>
      <c r="PTJ261" s="694"/>
      <c r="PTK261" s="694"/>
      <c r="PTL261" s="694"/>
      <c r="PTM261" s="694"/>
      <c r="PTN261" s="694"/>
      <c r="PTO261" s="694"/>
      <c r="PTP261" s="694"/>
      <c r="PTQ261" s="694"/>
      <c r="PTR261" s="694"/>
      <c r="PTS261" s="694"/>
      <c r="PTT261" s="694"/>
      <c r="PTU261" s="694"/>
      <c r="PTV261" s="694"/>
      <c r="PTW261" s="694"/>
      <c r="PTX261" s="717"/>
      <c r="PTY261" s="694"/>
      <c r="PTZ261" s="694"/>
      <c r="PUA261" s="694"/>
      <c r="PUB261" s="694"/>
      <c r="PUC261" s="694"/>
      <c r="PUD261" s="694"/>
      <c r="PUE261" s="694"/>
      <c r="PUF261" s="694"/>
      <c r="PUG261" s="694"/>
      <c r="PUH261" s="694"/>
      <c r="PUI261" s="694"/>
      <c r="PUJ261" s="694"/>
      <c r="PUK261" s="694"/>
      <c r="PUL261" s="694"/>
      <c r="PUM261" s="694"/>
      <c r="PUN261" s="694"/>
      <c r="PUO261" s="694"/>
      <c r="PUP261" s="694"/>
      <c r="PUQ261" s="694"/>
      <c r="PUR261" s="717"/>
      <c r="PUS261" s="694"/>
      <c r="PUT261" s="694"/>
      <c r="PUU261" s="694"/>
      <c r="PUV261" s="694"/>
      <c r="PUW261" s="694"/>
      <c r="PUX261" s="694"/>
      <c r="PUY261" s="694"/>
      <c r="PUZ261" s="694"/>
      <c r="PVA261" s="694"/>
      <c r="PVB261" s="694"/>
      <c r="PVC261" s="694"/>
      <c r="PVD261" s="694"/>
      <c r="PVE261" s="694"/>
      <c r="PVF261" s="694"/>
      <c r="PVG261" s="694"/>
      <c r="PVH261" s="694"/>
      <c r="PVI261" s="694"/>
      <c r="PVJ261" s="694"/>
      <c r="PVK261" s="694"/>
      <c r="PVL261" s="717"/>
      <c r="PVM261" s="694"/>
      <c r="PVN261" s="694"/>
      <c r="PVO261" s="694"/>
      <c r="PVP261" s="694"/>
      <c r="PVQ261" s="694"/>
      <c r="PVR261" s="694"/>
      <c r="PVS261" s="694"/>
      <c r="PVT261" s="694"/>
      <c r="PVU261" s="694"/>
      <c r="PVV261" s="694"/>
      <c r="PVW261" s="694"/>
      <c r="PVX261" s="694"/>
      <c r="PVY261" s="694"/>
      <c r="PVZ261" s="694"/>
      <c r="PWA261" s="694"/>
      <c r="PWB261" s="694"/>
      <c r="PWC261" s="694"/>
      <c r="PWD261" s="694"/>
      <c r="PWE261" s="694"/>
      <c r="PWF261" s="717"/>
      <c r="PWG261" s="694"/>
      <c r="PWH261" s="694"/>
      <c r="PWI261" s="694"/>
      <c r="PWJ261" s="694"/>
      <c r="PWK261" s="694"/>
      <c r="PWL261" s="694"/>
      <c r="PWM261" s="694"/>
      <c r="PWN261" s="694"/>
      <c r="PWO261" s="694"/>
      <c r="PWP261" s="694"/>
      <c r="PWQ261" s="694"/>
      <c r="PWR261" s="694"/>
      <c r="PWS261" s="694"/>
      <c r="PWT261" s="694"/>
      <c r="PWU261" s="694"/>
      <c r="PWV261" s="694"/>
      <c r="PWW261" s="694"/>
      <c r="PWX261" s="694"/>
      <c r="PWY261" s="694"/>
      <c r="PWZ261" s="717"/>
      <c r="PXA261" s="694"/>
      <c r="PXB261" s="694"/>
      <c r="PXC261" s="694"/>
      <c r="PXD261" s="694"/>
      <c r="PXE261" s="694"/>
      <c r="PXF261" s="694"/>
      <c r="PXG261" s="694"/>
      <c r="PXH261" s="694"/>
      <c r="PXI261" s="694"/>
      <c r="PXJ261" s="694"/>
      <c r="PXK261" s="694"/>
      <c r="PXL261" s="694"/>
      <c r="PXM261" s="694"/>
      <c r="PXN261" s="694"/>
      <c r="PXO261" s="694"/>
      <c r="PXP261" s="694"/>
      <c r="PXQ261" s="694"/>
      <c r="PXR261" s="694"/>
      <c r="PXS261" s="694"/>
      <c r="PXT261" s="717"/>
      <c r="PXU261" s="694"/>
      <c r="PXV261" s="694"/>
      <c r="PXW261" s="694"/>
      <c r="PXX261" s="694"/>
      <c r="PXY261" s="694"/>
      <c r="PXZ261" s="694"/>
      <c r="PYA261" s="694"/>
      <c r="PYB261" s="694"/>
      <c r="PYC261" s="694"/>
      <c r="PYD261" s="694"/>
      <c r="PYE261" s="694"/>
      <c r="PYF261" s="694"/>
      <c r="PYG261" s="694"/>
      <c r="PYH261" s="694"/>
      <c r="PYI261" s="694"/>
      <c r="PYJ261" s="694"/>
      <c r="PYK261" s="694"/>
      <c r="PYL261" s="694"/>
      <c r="PYM261" s="694"/>
      <c r="PYN261" s="717"/>
      <c r="PYO261" s="694"/>
      <c r="PYP261" s="694"/>
      <c r="PYQ261" s="694"/>
      <c r="PYR261" s="694"/>
      <c r="PYS261" s="694"/>
      <c r="PYT261" s="694"/>
      <c r="PYU261" s="694"/>
      <c r="PYV261" s="694"/>
      <c r="PYW261" s="694"/>
      <c r="PYX261" s="694"/>
      <c r="PYY261" s="694"/>
      <c r="PYZ261" s="694"/>
      <c r="PZA261" s="694"/>
      <c r="PZB261" s="694"/>
      <c r="PZC261" s="694"/>
      <c r="PZD261" s="694"/>
      <c r="PZE261" s="694"/>
      <c r="PZF261" s="694"/>
      <c r="PZG261" s="694"/>
      <c r="PZH261" s="717"/>
      <c r="PZI261" s="694"/>
      <c r="PZJ261" s="694"/>
      <c r="PZK261" s="694"/>
      <c r="PZL261" s="694"/>
      <c r="PZM261" s="694"/>
      <c r="PZN261" s="694"/>
      <c r="PZO261" s="694"/>
      <c r="PZP261" s="694"/>
      <c r="PZQ261" s="694"/>
      <c r="PZR261" s="694"/>
      <c r="PZS261" s="694"/>
      <c r="PZT261" s="694"/>
      <c r="PZU261" s="694"/>
      <c r="PZV261" s="694"/>
      <c r="PZW261" s="694"/>
      <c r="PZX261" s="694"/>
      <c r="PZY261" s="694"/>
      <c r="PZZ261" s="694"/>
      <c r="QAA261" s="694"/>
      <c r="QAB261" s="717"/>
      <c r="QAC261" s="694"/>
      <c r="QAD261" s="694"/>
      <c r="QAE261" s="694"/>
      <c r="QAF261" s="694"/>
      <c r="QAG261" s="694"/>
      <c r="QAH261" s="694"/>
      <c r="QAI261" s="694"/>
      <c r="QAJ261" s="694"/>
      <c r="QAK261" s="694"/>
      <c r="QAL261" s="694"/>
      <c r="QAM261" s="694"/>
      <c r="QAN261" s="694"/>
      <c r="QAO261" s="694"/>
      <c r="QAP261" s="694"/>
      <c r="QAQ261" s="694"/>
      <c r="QAR261" s="694"/>
      <c r="QAS261" s="694"/>
      <c r="QAT261" s="694"/>
      <c r="QAU261" s="694"/>
      <c r="QAV261" s="717"/>
      <c r="QAW261" s="694"/>
      <c r="QAX261" s="694"/>
      <c r="QAY261" s="694"/>
      <c r="QAZ261" s="694"/>
      <c r="QBA261" s="694"/>
      <c r="QBB261" s="694"/>
      <c r="QBC261" s="694"/>
      <c r="QBD261" s="694"/>
      <c r="QBE261" s="694"/>
      <c r="QBF261" s="694"/>
      <c r="QBG261" s="694"/>
      <c r="QBH261" s="694"/>
      <c r="QBI261" s="694"/>
      <c r="QBJ261" s="694"/>
      <c r="QBK261" s="694"/>
      <c r="QBL261" s="694"/>
      <c r="QBM261" s="694"/>
      <c r="QBN261" s="694"/>
      <c r="QBO261" s="694"/>
      <c r="QBP261" s="717"/>
      <c r="QBQ261" s="694"/>
      <c r="QBR261" s="694"/>
      <c r="QBS261" s="694"/>
      <c r="QBT261" s="694"/>
      <c r="QBU261" s="694"/>
      <c r="QBV261" s="694"/>
      <c r="QBW261" s="694"/>
      <c r="QBX261" s="694"/>
      <c r="QBY261" s="694"/>
      <c r="QBZ261" s="694"/>
      <c r="QCA261" s="694"/>
      <c r="QCB261" s="694"/>
      <c r="QCC261" s="694"/>
      <c r="QCD261" s="694"/>
      <c r="QCE261" s="694"/>
      <c r="QCF261" s="694"/>
      <c r="QCG261" s="694"/>
      <c r="QCH261" s="694"/>
      <c r="QCI261" s="694"/>
      <c r="QCJ261" s="717"/>
      <c r="QCK261" s="694"/>
      <c r="QCL261" s="694"/>
      <c r="QCM261" s="694"/>
      <c r="QCN261" s="694"/>
      <c r="QCO261" s="694"/>
      <c r="QCP261" s="694"/>
      <c r="QCQ261" s="694"/>
      <c r="QCR261" s="694"/>
      <c r="QCS261" s="694"/>
      <c r="QCT261" s="694"/>
      <c r="QCU261" s="694"/>
      <c r="QCV261" s="694"/>
      <c r="QCW261" s="694"/>
      <c r="QCX261" s="694"/>
      <c r="QCY261" s="694"/>
      <c r="QCZ261" s="694"/>
      <c r="QDA261" s="694"/>
      <c r="QDB261" s="694"/>
      <c r="QDC261" s="694"/>
      <c r="QDD261" s="717"/>
      <c r="QDE261" s="694"/>
      <c r="QDF261" s="694"/>
      <c r="QDG261" s="694"/>
      <c r="QDH261" s="694"/>
      <c r="QDI261" s="694"/>
      <c r="QDJ261" s="694"/>
      <c r="QDK261" s="694"/>
      <c r="QDL261" s="694"/>
      <c r="QDM261" s="694"/>
      <c r="QDN261" s="694"/>
      <c r="QDO261" s="694"/>
      <c r="QDP261" s="694"/>
      <c r="QDQ261" s="694"/>
      <c r="QDR261" s="694"/>
      <c r="QDS261" s="694"/>
      <c r="QDT261" s="694"/>
      <c r="QDU261" s="694"/>
      <c r="QDV261" s="694"/>
      <c r="QDW261" s="694"/>
      <c r="QDX261" s="717"/>
      <c r="QDY261" s="694"/>
      <c r="QDZ261" s="694"/>
      <c r="QEA261" s="694"/>
      <c r="QEB261" s="694"/>
      <c r="QEC261" s="694"/>
      <c r="QED261" s="694"/>
      <c r="QEE261" s="694"/>
      <c r="QEF261" s="694"/>
      <c r="QEG261" s="694"/>
      <c r="QEH261" s="694"/>
      <c r="QEI261" s="694"/>
      <c r="QEJ261" s="694"/>
      <c r="QEK261" s="694"/>
      <c r="QEL261" s="694"/>
      <c r="QEM261" s="694"/>
      <c r="QEN261" s="694"/>
      <c r="QEO261" s="694"/>
      <c r="QEP261" s="694"/>
      <c r="QEQ261" s="694"/>
      <c r="QER261" s="717"/>
      <c r="QES261" s="694"/>
      <c r="QET261" s="694"/>
      <c r="QEU261" s="694"/>
      <c r="QEV261" s="694"/>
      <c r="QEW261" s="694"/>
      <c r="QEX261" s="694"/>
      <c r="QEY261" s="694"/>
      <c r="QEZ261" s="694"/>
      <c r="QFA261" s="694"/>
      <c r="QFB261" s="694"/>
      <c r="QFC261" s="694"/>
      <c r="QFD261" s="694"/>
      <c r="QFE261" s="694"/>
      <c r="QFF261" s="694"/>
      <c r="QFG261" s="694"/>
      <c r="QFH261" s="694"/>
      <c r="QFI261" s="694"/>
      <c r="QFJ261" s="694"/>
      <c r="QFK261" s="694"/>
      <c r="QFL261" s="717"/>
      <c r="QFM261" s="694"/>
      <c r="QFN261" s="694"/>
      <c r="QFO261" s="694"/>
      <c r="QFP261" s="694"/>
      <c r="QFQ261" s="694"/>
      <c r="QFR261" s="694"/>
      <c r="QFS261" s="694"/>
      <c r="QFT261" s="694"/>
      <c r="QFU261" s="694"/>
      <c r="QFV261" s="694"/>
      <c r="QFW261" s="694"/>
      <c r="QFX261" s="694"/>
      <c r="QFY261" s="694"/>
      <c r="QFZ261" s="694"/>
      <c r="QGA261" s="694"/>
      <c r="QGB261" s="694"/>
      <c r="QGC261" s="694"/>
      <c r="QGD261" s="694"/>
      <c r="QGE261" s="694"/>
      <c r="QGF261" s="717"/>
      <c r="QGG261" s="694"/>
      <c r="QGH261" s="694"/>
      <c r="QGI261" s="694"/>
      <c r="QGJ261" s="694"/>
      <c r="QGK261" s="694"/>
      <c r="QGL261" s="694"/>
      <c r="QGM261" s="694"/>
      <c r="QGN261" s="694"/>
      <c r="QGO261" s="694"/>
      <c r="QGP261" s="694"/>
      <c r="QGQ261" s="694"/>
      <c r="QGR261" s="694"/>
      <c r="QGS261" s="694"/>
      <c r="QGT261" s="694"/>
      <c r="QGU261" s="694"/>
      <c r="QGV261" s="694"/>
      <c r="QGW261" s="694"/>
      <c r="QGX261" s="694"/>
      <c r="QGY261" s="694"/>
      <c r="QGZ261" s="717"/>
      <c r="QHA261" s="694"/>
      <c r="QHB261" s="694"/>
      <c r="QHC261" s="694"/>
      <c r="QHD261" s="694"/>
      <c r="QHE261" s="694"/>
      <c r="QHF261" s="694"/>
      <c r="QHG261" s="694"/>
      <c r="QHH261" s="694"/>
      <c r="QHI261" s="694"/>
      <c r="QHJ261" s="694"/>
      <c r="QHK261" s="694"/>
      <c r="QHL261" s="694"/>
      <c r="QHM261" s="694"/>
      <c r="QHN261" s="694"/>
      <c r="QHO261" s="694"/>
      <c r="QHP261" s="694"/>
      <c r="QHQ261" s="694"/>
      <c r="QHR261" s="694"/>
      <c r="QHS261" s="694"/>
      <c r="QHT261" s="717"/>
      <c r="QHU261" s="694"/>
      <c r="QHV261" s="694"/>
      <c r="QHW261" s="694"/>
      <c r="QHX261" s="694"/>
      <c r="QHY261" s="694"/>
      <c r="QHZ261" s="694"/>
      <c r="QIA261" s="694"/>
      <c r="QIB261" s="694"/>
      <c r="QIC261" s="694"/>
      <c r="QID261" s="694"/>
      <c r="QIE261" s="694"/>
      <c r="QIF261" s="694"/>
      <c r="QIG261" s="694"/>
      <c r="QIH261" s="694"/>
      <c r="QII261" s="694"/>
      <c r="QIJ261" s="694"/>
      <c r="QIK261" s="694"/>
      <c r="QIL261" s="694"/>
      <c r="QIM261" s="694"/>
      <c r="QIN261" s="717"/>
      <c r="QIO261" s="694"/>
      <c r="QIP261" s="694"/>
      <c r="QIQ261" s="694"/>
      <c r="QIR261" s="694"/>
      <c r="QIS261" s="694"/>
      <c r="QIT261" s="694"/>
      <c r="QIU261" s="694"/>
      <c r="QIV261" s="694"/>
      <c r="QIW261" s="694"/>
      <c r="QIX261" s="694"/>
      <c r="QIY261" s="694"/>
      <c r="QIZ261" s="694"/>
      <c r="QJA261" s="694"/>
      <c r="QJB261" s="694"/>
      <c r="QJC261" s="694"/>
      <c r="QJD261" s="694"/>
      <c r="QJE261" s="694"/>
      <c r="QJF261" s="694"/>
      <c r="QJG261" s="694"/>
      <c r="QJH261" s="717"/>
      <c r="QJI261" s="694"/>
      <c r="QJJ261" s="694"/>
      <c r="QJK261" s="694"/>
      <c r="QJL261" s="694"/>
      <c r="QJM261" s="694"/>
      <c r="QJN261" s="694"/>
      <c r="QJO261" s="694"/>
      <c r="QJP261" s="694"/>
      <c r="QJQ261" s="694"/>
      <c r="QJR261" s="694"/>
      <c r="QJS261" s="694"/>
      <c r="QJT261" s="694"/>
      <c r="QJU261" s="694"/>
      <c r="QJV261" s="694"/>
      <c r="QJW261" s="694"/>
      <c r="QJX261" s="694"/>
      <c r="QJY261" s="694"/>
      <c r="QJZ261" s="694"/>
      <c r="QKA261" s="694"/>
      <c r="QKB261" s="717"/>
      <c r="QKC261" s="694"/>
      <c r="QKD261" s="694"/>
      <c r="QKE261" s="694"/>
      <c r="QKF261" s="694"/>
      <c r="QKG261" s="694"/>
      <c r="QKH261" s="694"/>
      <c r="QKI261" s="694"/>
      <c r="QKJ261" s="694"/>
      <c r="QKK261" s="694"/>
      <c r="QKL261" s="694"/>
      <c r="QKM261" s="694"/>
      <c r="QKN261" s="694"/>
      <c r="QKO261" s="694"/>
      <c r="QKP261" s="694"/>
      <c r="QKQ261" s="694"/>
      <c r="QKR261" s="694"/>
      <c r="QKS261" s="694"/>
      <c r="QKT261" s="694"/>
      <c r="QKU261" s="694"/>
      <c r="QKV261" s="717"/>
      <c r="QKW261" s="694"/>
      <c r="QKX261" s="694"/>
      <c r="QKY261" s="694"/>
      <c r="QKZ261" s="694"/>
      <c r="QLA261" s="694"/>
      <c r="QLB261" s="694"/>
      <c r="QLC261" s="694"/>
      <c r="QLD261" s="694"/>
      <c r="QLE261" s="694"/>
      <c r="QLF261" s="694"/>
      <c r="QLG261" s="694"/>
      <c r="QLH261" s="694"/>
      <c r="QLI261" s="694"/>
      <c r="QLJ261" s="694"/>
      <c r="QLK261" s="694"/>
      <c r="QLL261" s="694"/>
      <c r="QLM261" s="694"/>
      <c r="QLN261" s="694"/>
      <c r="QLO261" s="694"/>
      <c r="QLP261" s="717"/>
      <c r="QLQ261" s="694"/>
      <c r="QLR261" s="694"/>
      <c r="QLS261" s="694"/>
      <c r="QLT261" s="694"/>
      <c r="QLU261" s="694"/>
      <c r="QLV261" s="694"/>
      <c r="QLW261" s="694"/>
      <c r="QLX261" s="694"/>
      <c r="QLY261" s="694"/>
      <c r="QLZ261" s="694"/>
      <c r="QMA261" s="694"/>
      <c r="QMB261" s="694"/>
      <c r="QMC261" s="694"/>
      <c r="QMD261" s="694"/>
      <c r="QME261" s="694"/>
      <c r="QMF261" s="694"/>
      <c r="QMG261" s="694"/>
      <c r="QMH261" s="694"/>
      <c r="QMI261" s="694"/>
      <c r="QMJ261" s="717"/>
      <c r="QMK261" s="694"/>
      <c r="QML261" s="694"/>
      <c r="QMM261" s="694"/>
      <c r="QMN261" s="694"/>
      <c r="QMO261" s="694"/>
      <c r="QMP261" s="694"/>
      <c r="QMQ261" s="694"/>
      <c r="QMR261" s="694"/>
      <c r="QMS261" s="694"/>
      <c r="QMT261" s="694"/>
      <c r="QMU261" s="694"/>
      <c r="QMV261" s="694"/>
      <c r="QMW261" s="694"/>
      <c r="QMX261" s="694"/>
      <c r="QMY261" s="694"/>
      <c r="QMZ261" s="694"/>
      <c r="QNA261" s="694"/>
      <c r="QNB261" s="694"/>
      <c r="QNC261" s="694"/>
      <c r="QND261" s="717"/>
      <c r="QNE261" s="694"/>
      <c r="QNF261" s="694"/>
      <c r="QNG261" s="694"/>
      <c r="QNH261" s="694"/>
      <c r="QNI261" s="694"/>
      <c r="QNJ261" s="694"/>
      <c r="QNK261" s="694"/>
      <c r="QNL261" s="694"/>
      <c r="QNM261" s="694"/>
      <c r="QNN261" s="694"/>
      <c r="QNO261" s="694"/>
      <c r="QNP261" s="694"/>
      <c r="QNQ261" s="694"/>
      <c r="QNR261" s="694"/>
      <c r="QNS261" s="694"/>
      <c r="QNT261" s="694"/>
      <c r="QNU261" s="694"/>
      <c r="QNV261" s="694"/>
      <c r="QNW261" s="694"/>
      <c r="QNX261" s="717"/>
      <c r="QNY261" s="694"/>
      <c r="QNZ261" s="694"/>
      <c r="QOA261" s="694"/>
      <c r="QOB261" s="694"/>
      <c r="QOC261" s="694"/>
      <c r="QOD261" s="694"/>
      <c r="QOE261" s="694"/>
      <c r="QOF261" s="694"/>
      <c r="QOG261" s="694"/>
      <c r="QOH261" s="694"/>
      <c r="QOI261" s="694"/>
      <c r="QOJ261" s="694"/>
      <c r="QOK261" s="694"/>
      <c r="QOL261" s="694"/>
      <c r="QOM261" s="694"/>
      <c r="QON261" s="694"/>
      <c r="QOO261" s="694"/>
      <c r="QOP261" s="694"/>
      <c r="QOQ261" s="694"/>
      <c r="QOR261" s="717"/>
      <c r="QOS261" s="694"/>
      <c r="QOT261" s="694"/>
      <c r="QOU261" s="694"/>
      <c r="QOV261" s="694"/>
      <c r="QOW261" s="694"/>
      <c r="QOX261" s="694"/>
      <c r="QOY261" s="694"/>
      <c r="QOZ261" s="694"/>
      <c r="QPA261" s="694"/>
      <c r="QPB261" s="694"/>
      <c r="QPC261" s="694"/>
      <c r="QPD261" s="694"/>
      <c r="QPE261" s="694"/>
      <c r="QPF261" s="694"/>
      <c r="QPG261" s="694"/>
      <c r="QPH261" s="694"/>
      <c r="QPI261" s="694"/>
      <c r="QPJ261" s="694"/>
      <c r="QPK261" s="694"/>
      <c r="QPL261" s="717"/>
      <c r="QPM261" s="694"/>
      <c r="QPN261" s="694"/>
      <c r="QPO261" s="694"/>
      <c r="QPP261" s="694"/>
      <c r="QPQ261" s="694"/>
      <c r="QPR261" s="694"/>
      <c r="QPS261" s="694"/>
      <c r="QPT261" s="694"/>
      <c r="QPU261" s="694"/>
      <c r="QPV261" s="694"/>
      <c r="QPW261" s="694"/>
      <c r="QPX261" s="694"/>
      <c r="QPY261" s="694"/>
      <c r="QPZ261" s="694"/>
      <c r="QQA261" s="694"/>
      <c r="QQB261" s="694"/>
      <c r="QQC261" s="694"/>
      <c r="QQD261" s="694"/>
      <c r="QQE261" s="694"/>
      <c r="QQF261" s="717"/>
      <c r="QQG261" s="694"/>
      <c r="QQH261" s="694"/>
      <c r="QQI261" s="694"/>
      <c r="QQJ261" s="694"/>
      <c r="QQK261" s="694"/>
      <c r="QQL261" s="694"/>
      <c r="QQM261" s="694"/>
      <c r="QQN261" s="694"/>
      <c r="QQO261" s="694"/>
      <c r="QQP261" s="694"/>
      <c r="QQQ261" s="694"/>
      <c r="QQR261" s="694"/>
      <c r="QQS261" s="694"/>
      <c r="QQT261" s="694"/>
      <c r="QQU261" s="694"/>
      <c r="QQV261" s="694"/>
      <c r="QQW261" s="694"/>
      <c r="QQX261" s="694"/>
      <c r="QQY261" s="694"/>
      <c r="QQZ261" s="717"/>
      <c r="QRA261" s="694"/>
      <c r="QRB261" s="694"/>
      <c r="QRC261" s="694"/>
      <c r="QRD261" s="694"/>
      <c r="QRE261" s="694"/>
      <c r="QRF261" s="694"/>
      <c r="QRG261" s="694"/>
      <c r="QRH261" s="694"/>
      <c r="QRI261" s="694"/>
      <c r="QRJ261" s="694"/>
      <c r="QRK261" s="694"/>
      <c r="QRL261" s="694"/>
      <c r="QRM261" s="694"/>
      <c r="QRN261" s="694"/>
      <c r="QRO261" s="694"/>
      <c r="QRP261" s="694"/>
      <c r="QRQ261" s="694"/>
      <c r="QRR261" s="694"/>
      <c r="QRS261" s="694"/>
      <c r="QRT261" s="717"/>
      <c r="QRU261" s="694"/>
      <c r="QRV261" s="694"/>
      <c r="QRW261" s="694"/>
      <c r="QRX261" s="694"/>
      <c r="QRY261" s="694"/>
      <c r="QRZ261" s="694"/>
      <c r="QSA261" s="694"/>
      <c r="QSB261" s="694"/>
      <c r="QSC261" s="694"/>
      <c r="QSD261" s="694"/>
      <c r="QSE261" s="694"/>
      <c r="QSF261" s="694"/>
      <c r="QSG261" s="694"/>
      <c r="QSH261" s="694"/>
      <c r="QSI261" s="694"/>
      <c r="QSJ261" s="694"/>
      <c r="QSK261" s="694"/>
      <c r="QSL261" s="694"/>
      <c r="QSM261" s="694"/>
      <c r="QSN261" s="717"/>
      <c r="QSO261" s="694"/>
      <c r="QSP261" s="694"/>
      <c r="QSQ261" s="694"/>
      <c r="QSR261" s="694"/>
      <c r="QSS261" s="694"/>
      <c r="QST261" s="694"/>
      <c r="QSU261" s="694"/>
      <c r="QSV261" s="694"/>
      <c r="QSW261" s="694"/>
      <c r="QSX261" s="694"/>
      <c r="QSY261" s="694"/>
      <c r="QSZ261" s="694"/>
      <c r="QTA261" s="694"/>
      <c r="QTB261" s="694"/>
      <c r="QTC261" s="694"/>
      <c r="QTD261" s="694"/>
      <c r="QTE261" s="694"/>
      <c r="QTF261" s="694"/>
      <c r="QTG261" s="694"/>
      <c r="QTH261" s="717"/>
      <c r="QTI261" s="694"/>
      <c r="QTJ261" s="694"/>
      <c r="QTK261" s="694"/>
      <c r="QTL261" s="694"/>
      <c r="QTM261" s="694"/>
      <c r="QTN261" s="694"/>
      <c r="QTO261" s="694"/>
      <c r="QTP261" s="694"/>
      <c r="QTQ261" s="694"/>
      <c r="QTR261" s="694"/>
      <c r="QTS261" s="694"/>
      <c r="QTT261" s="694"/>
      <c r="QTU261" s="694"/>
      <c r="QTV261" s="694"/>
      <c r="QTW261" s="694"/>
      <c r="QTX261" s="694"/>
      <c r="QTY261" s="694"/>
      <c r="QTZ261" s="694"/>
      <c r="QUA261" s="694"/>
      <c r="QUB261" s="717"/>
      <c r="QUC261" s="694"/>
      <c r="QUD261" s="694"/>
      <c r="QUE261" s="694"/>
      <c r="QUF261" s="694"/>
      <c r="QUG261" s="694"/>
      <c r="QUH261" s="694"/>
      <c r="QUI261" s="694"/>
      <c r="QUJ261" s="694"/>
      <c r="QUK261" s="694"/>
      <c r="QUL261" s="694"/>
      <c r="QUM261" s="694"/>
      <c r="QUN261" s="694"/>
      <c r="QUO261" s="694"/>
      <c r="QUP261" s="694"/>
      <c r="QUQ261" s="694"/>
      <c r="QUR261" s="694"/>
      <c r="QUS261" s="694"/>
      <c r="QUT261" s="694"/>
      <c r="QUU261" s="694"/>
      <c r="QUV261" s="717"/>
      <c r="QUW261" s="694"/>
      <c r="QUX261" s="694"/>
      <c r="QUY261" s="694"/>
      <c r="QUZ261" s="694"/>
      <c r="QVA261" s="694"/>
      <c r="QVB261" s="694"/>
      <c r="QVC261" s="694"/>
      <c r="QVD261" s="694"/>
      <c r="QVE261" s="694"/>
      <c r="QVF261" s="694"/>
      <c r="QVG261" s="694"/>
      <c r="QVH261" s="694"/>
      <c r="QVI261" s="694"/>
      <c r="QVJ261" s="694"/>
      <c r="QVK261" s="694"/>
      <c r="QVL261" s="694"/>
      <c r="QVM261" s="694"/>
      <c r="QVN261" s="694"/>
      <c r="QVO261" s="694"/>
      <c r="QVP261" s="717"/>
      <c r="QVQ261" s="694"/>
      <c r="QVR261" s="694"/>
      <c r="QVS261" s="694"/>
      <c r="QVT261" s="694"/>
      <c r="QVU261" s="694"/>
      <c r="QVV261" s="694"/>
      <c r="QVW261" s="694"/>
      <c r="QVX261" s="694"/>
      <c r="QVY261" s="694"/>
      <c r="QVZ261" s="694"/>
      <c r="QWA261" s="694"/>
      <c r="QWB261" s="694"/>
      <c r="QWC261" s="694"/>
      <c r="QWD261" s="694"/>
      <c r="QWE261" s="694"/>
      <c r="QWF261" s="694"/>
      <c r="QWG261" s="694"/>
      <c r="QWH261" s="694"/>
      <c r="QWI261" s="694"/>
      <c r="QWJ261" s="717"/>
      <c r="QWK261" s="694"/>
      <c r="QWL261" s="694"/>
      <c r="QWM261" s="694"/>
      <c r="QWN261" s="694"/>
      <c r="QWO261" s="694"/>
      <c r="QWP261" s="694"/>
      <c r="QWQ261" s="694"/>
      <c r="QWR261" s="694"/>
      <c r="QWS261" s="694"/>
      <c r="QWT261" s="694"/>
      <c r="QWU261" s="694"/>
      <c r="QWV261" s="694"/>
      <c r="QWW261" s="694"/>
      <c r="QWX261" s="694"/>
      <c r="QWY261" s="694"/>
      <c r="QWZ261" s="694"/>
      <c r="QXA261" s="694"/>
      <c r="QXB261" s="694"/>
      <c r="QXC261" s="694"/>
      <c r="QXD261" s="717"/>
      <c r="QXE261" s="694"/>
      <c r="QXF261" s="694"/>
      <c r="QXG261" s="694"/>
      <c r="QXH261" s="694"/>
      <c r="QXI261" s="694"/>
      <c r="QXJ261" s="694"/>
      <c r="QXK261" s="694"/>
      <c r="QXL261" s="694"/>
      <c r="QXM261" s="694"/>
      <c r="QXN261" s="694"/>
      <c r="QXO261" s="694"/>
      <c r="QXP261" s="694"/>
      <c r="QXQ261" s="694"/>
      <c r="QXR261" s="694"/>
      <c r="QXS261" s="694"/>
      <c r="QXT261" s="694"/>
      <c r="QXU261" s="694"/>
      <c r="QXV261" s="694"/>
      <c r="QXW261" s="694"/>
      <c r="QXX261" s="717"/>
      <c r="QXY261" s="694"/>
      <c r="QXZ261" s="694"/>
      <c r="QYA261" s="694"/>
      <c r="QYB261" s="694"/>
      <c r="QYC261" s="694"/>
      <c r="QYD261" s="694"/>
      <c r="QYE261" s="694"/>
      <c r="QYF261" s="694"/>
      <c r="QYG261" s="694"/>
      <c r="QYH261" s="694"/>
      <c r="QYI261" s="694"/>
      <c r="QYJ261" s="694"/>
      <c r="QYK261" s="694"/>
      <c r="QYL261" s="694"/>
      <c r="QYM261" s="694"/>
      <c r="QYN261" s="694"/>
      <c r="QYO261" s="694"/>
      <c r="QYP261" s="694"/>
      <c r="QYQ261" s="694"/>
      <c r="QYR261" s="717"/>
      <c r="QYS261" s="694"/>
      <c r="QYT261" s="694"/>
      <c r="QYU261" s="694"/>
      <c r="QYV261" s="694"/>
      <c r="QYW261" s="694"/>
      <c r="QYX261" s="694"/>
      <c r="QYY261" s="694"/>
      <c r="QYZ261" s="694"/>
      <c r="QZA261" s="694"/>
      <c r="QZB261" s="694"/>
      <c r="QZC261" s="694"/>
      <c r="QZD261" s="694"/>
      <c r="QZE261" s="694"/>
      <c r="QZF261" s="694"/>
      <c r="QZG261" s="694"/>
      <c r="QZH261" s="694"/>
      <c r="QZI261" s="694"/>
      <c r="QZJ261" s="694"/>
      <c r="QZK261" s="694"/>
      <c r="QZL261" s="717"/>
      <c r="QZM261" s="694"/>
      <c r="QZN261" s="694"/>
      <c r="QZO261" s="694"/>
      <c r="QZP261" s="694"/>
      <c r="QZQ261" s="694"/>
      <c r="QZR261" s="694"/>
      <c r="QZS261" s="694"/>
      <c r="QZT261" s="694"/>
      <c r="QZU261" s="694"/>
      <c r="QZV261" s="694"/>
      <c r="QZW261" s="694"/>
      <c r="QZX261" s="694"/>
      <c r="QZY261" s="694"/>
      <c r="QZZ261" s="694"/>
      <c r="RAA261" s="694"/>
      <c r="RAB261" s="694"/>
      <c r="RAC261" s="694"/>
      <c r="RAD261" s="694"/>
      <c r="RAE261" s="694"/>
      <c r="RAF261" s="717"/>
      <c r="RAG261" s="694"/>
      <c r="RAH261" s="694"/>
      <c r="RAI261" s="694"/>
      <c r="RAJ261" s="694"/>
      <c r="RAK261" s="694"/>
      <c r="RAL261" s="694"/>
      <c r="RAM261" s="694"/>
      <c r="RAN261" s="694"/>
      <c r="RAO261" s="694"/>
      <c r="RAP261" s="694"/>
      <c r="RAQ261" s="694"/>
      <c r="RAR261" s="694"/>
      <c r="RAS261" s="694"/>
      <c r="RAT261" s="694"/>
      <c r="RAU261" s="694"/>
      <c r="RAV261" s="694"/>
      <c r="RAW261" s="694"/>
      <c r="RAX261" s="694"/>
      <c r="RAY261" s="694"/>
      <c r="RAZ261" s="717"/>
      <c r="RBA261" s="694"/>
      <c r="RBB261" s="694"/>
      <c r="RBC261" s="694"/>
      <c r="RBD261" s="694"/>
      <c r="RBE261" s="694"/>
      <c r="RBF261" s="694"/>
      <c r="RBG261" s="694"/>
      <c r="RBH261" s="694"/>
      <c r="RBI261" s="694"/>
      <c r="RBJ261" s="694"/>
      <c r="RBK261" s="694"/>
      <c r="RBL261" s="694"/>
      <c r="RBM261" s="694"/>
      <c r="RBN261" s="694"/>
      <c r="RBO261" s="694"/>
      <c r="RBP261" s="694"/>
      <c r="RBQ261" s="694"/>
      <c r="RBR261" s="694"/>
      <c r="RBS261" s="694"/>
      <c r="RBT261" s="717"/>
      <c r="RBU261" s="694"/>
      <c r="RBV261" s="694"/>
      <c r="RBW261" s="694"/>
      <c r="RBX261" s="694"/>
      <c r="RBY261" s="694"/>
      <c r="RBZ261" s="694"/>
      <c r="RCA261" s="694"/>
      <c r="RCB261" s="694"/>
      <c r="RCC261" s="694"/>
      <c r="RCD261" s="694"/>
      <c r="RCE261" s="694"/>
      <c r="RCF261" s="694"/>
      <c r="RCG261" s="694"/>
      <c r="RCH261" s="694"/>
      <c r="RCI261" s="694"/>
      <c r="RCJ261" s="694"/>
      <c r="RCK261" s="694"/>
      <c r="RCL261" s="694"/>
      <c r="RCM261" s="694"/>
      <c r="RCN261" s="717"/>
      <c r="RCO261" s="694"/>
      <c r="RCP261" s="694"/>
      <c r="RCQ261" s="694"/>
      <c r="RCR261" s="694"/>
      <c r="RCS261" s="694"/>
      <c r="RCT261" s="694"/>
      <c r="RCU261" s="694"/>
      <c r="RCV261" s="694"/>
      <c r="RCW261" s="694"/>
      <c r="RCX261" s="694"/>
      <c r="RCY261" s="694"/>
      <c r="RCZ261" s="694"/>
      <c r="RDA261" s="694"/>
      <c r="RDB261" s="694"/>
      <c r="RDC261" s="694"/>
      <c r="RDD261" s="694"/>
      <c r="RDE261" s="694"/>
      <c r="RDF261" s="694"/>
      <c r="RDG261" s="694"/>
      <c r="RDH261" s="717"/>
      <c r="RDI261" s="694"/>
      <c r="RDJ261" s="694"/>
      <c r="RDK261" s="694"/>
      <c r="RDL261" s="694"/>
      <c r="RDM261" s="694"/>
      <c r="RDN261" s="694"/>
      <c r="RDO261" s="694"/>
      <c r="RDP261" s="694"/>
      <c r="RDQ261" s="694"/>
      <c r="RDR261" s="694"/>
      <c r="RDS261" s="694"/>
      <c r="RDT261" s="694"/>
      <c r="RDU261" s="694"/>
      <c r="RDV261" s="694"/>
      <c r="RDW261" s="694"/>
      <c r="RDX261" s="694"/>
      <c r="RDY261" s="694"/>
      <c r="RDZ261" s="694"/>
      <c r="REA261" s="694"/>
      <c r="REB261" s="717"/>
      <c r="REC261" s="694"/>
      <c r="RED261" s="694"/>
      <c r="REE261" s="694"/>
      <c r="REF261" s="694"/>
      <c r="REG261" s="694"/>
      <c r="REH261" s="694"/>
      <c r="REI261" s="694"/>
      <c r="REJ261" s="694"/>
      <c r="REK261" s="694"/>
      <c r="REL261" s="694"/>
      <c r="REM261" s="694"/>
      <c r="REN261" s="694"/>
      <c r="REO261" s="694"/>
      <c r="REP261" s="694"/>
      <c r="REQ261" s="694"/>
      <c r="RER261" s="694"/>
      <c r="RES261" s="694"/>
      <c r="RET261" s="694"/>
      <c r="REU261" s="694"/>
      <c r="REV261" s="717"/>
      <c r="REW261" s="694"/>
      <c r="REX261" s="694"/>
      <c r="REY261" s="694"/>
      <c r="REZ261" s="694"/>
      <c r="RFA261" s="694"/>
      <c r="RFB261" s="694"/>
      <c r="RFC261" s="694"/>
      <c r="RFD261" s="694"/>
      <c r="RFE261" s="694"/>
      <c r="RFF261" s="694"/>
      <c r="RFG261" s="694"/>
      <c r="RFH261" s="694"/>
      <c r="RFI261" s="694"/>
      <c r="RFJ261" s="694"/>
      <c r="RFK261" s="694"/>
      <c r="RFL261" s="694"/>
      <c r="RFM261" s="694"/>
      <c r="RFN261" s="694"/>
      <c r="RFO261" s="694"/>
      <c r="RFP261" s="717"/>
      <c r="RFQ261" s="694"/>
      <c r="RFR261" s="694"/>
      <c r="RFS261" s="694"/>
      <c r="RFT261" s="694"/>
      <c r="RFU261" s="694"/>
      <c r="RFV261" s="694"/>
      <c r="RFW261" s="694"/>
      <c r="RFX261" s="694"/>
      <c r="RFY261" s="694"/>
      <c r="RFZ261" s="694"/>
      <c r="RGA261" s="694"/>
      <c r="RGB261" s="694"/>
      <c r="RGC261" s="694"/>
      <c r="RGD261" s="694"/>
      <c r="RGE261" s="694"/>
      <c r="RGF261" s="694"/>
      <c r="RGG261" s="694"/>
      <c r="RGH261" s="694"/>
      <c r="RGI261" s="694"/>
      <c r="RGJ261" s="717"/>
      <c r="RGK261" s="694"/>
      <c r="RGL261" s="694"/>
      <c r="RGM261" s="694"/>
      <c r="RGN261" s="694"/>
      <c r="RGO261" s="694"/>
      <c r="RGP261" s="694"/>
      <c r="RGQ261" s="694"/>
      <c r="RGR261" s="694"/>
      <c r="RGS261" s="694"/>
      <c r="RGT261" s="694"/>
      <c r="RGU261" s="694"/>
      <c r="RGV261" s="694"/>
      <c r="RGW261" s="694"/>
      <c r="RGX261" s="694"/>
      <c r="RGY261" s="694"/>
      <c r="RGZ261" s="694"/>
      <c r="RHA261" s="694"/>
      <c r="RHB261" s="694"/>
      <c r="RHC261" s="694"/>
      <c r="RHD261" s="717"/>
      <c r="RHE261" s="694"/>
      <c r="RHF261" s="694"/>
      <c r="RHG261" s="694"/>
      <c r="RHH261" s="694"/>
      <c r="RHI261" s="694"/>
      <c r="RHJ261" s="694"/>
      <c r="RHK261" s="694"/>
      <c r="RHL261" s="694"/>
      <c r="RHM261" s="694"/>
      <c r="RHN261" s="694"/>
      <c r="RHO261" s="694"/>
      <c r="RHP261" s="694"/>
      <c r="RHQ261" s="694"/>
      <c r="RHR261" s="694"/>
      <c r="RHS261" s="694"/>
      <c r="RHT261" s="694"/>
      <c r="RHU261" s="694"/>
      <c r="RHV261" s="694"/>
      <c r="RHW261" s="694"/>
      <c r="RHX261" s="717"/>
      <c r="RHY261" s="694"/>
      <c r="RHZ261" s="694"/>
      <c r="RIA261" s="694"/>
      <c r="RIB261" s="694"/>
      <c r="RIC261" s="694"/>
      <c r="RID261" s="694"/>
      <c r="RIE261" s="694"/>
      <c r="RIF261" s="694"/>
      <c r="RIG261" s="694"/>
      <c r="RIH261" s="694"/>
      <c r="RII261" s="694"/>
      <c r="RIJ261" s="694"/>
      <c r="RIK261" s="694"/>
      <c r="RIL261" s="694"/>
      <c r="RIM261" s="694"/>
      <c r="RIN261" s="694"/>
      <c r="RIO261" s="694"/>
      <c r="RIP261" s="694"/>
      <c r="RIQ261" s="694"/>
      <c r="RIR261" s="717"/>
      <c r="RIS261" s="694"/>
      <c r="RIT261" s="694"/>
      <c r="RIU261" s="694"/>
      <c r="RIV261" s="694"/>
      <c r="RIW261" s="694"/>
      <c r="RIX261" s="694"/>
      <c r="RIY261" s="694"/>
      <c r="RIZ261" s="694"/>
      <c r="RJA261" s="694"/>
      <c r="RJB261" s="694"/>
      <c r="RJC261" s="694"/>
      <c r="RJD261" s="694"/>
      <c r="RJE261" s="694"/>
      <c r="RJF261" s="694"/>
      <c r="RJG261" s="694"/>
      <c r="RJH261" s="694"/>
      <c r="RJI261" s="694"/>
      <c r="RJJ261" s="694"/>
      <c r="RJK261" s="694"/>
      <c r="RJL261" s="717"/>
      <c r="RJM261" s="694"/>
      <c r="RJN261" s="694"/>
      <c r="RJO261" s="694"/>
      <c r="RJP261" s="694"/>
      <c r="RJQ261" s="694"/>
      <c r="RJR261" s="694"/>
      <c r="RJS261" s="694"/>
      <c r="RJT261" s="694"/>
      <c r="RJU261" s="694"/>
      <c r="RJV261" s="694"/>
      <c r="RJW261" s="694"/>
      <c r="RJX261" s="694"/>
      <c r="RJY261" s="694"/>
      <c r="RJZ261" s="694"/>
      <c r="RKA261" s="694"/>
      <c r="RKB261" s="694"/>
      <c r="RKC261" s="694"/>
      <c r="RKD261" s="694"/>
      <c r="RKE261" s="694"/>
      <c r="RKF261" s="717"/>
      <c r="RKG261" s="694"/>
      <c r="RKH261" s="694"/>
      <c r="RKI261" s="694"/>
      <c r="RKJ261" s="694"/>
      <c r="RKK261" s="694"/>
      <c r="RKL261" s="694"/>
      <c r="RKM261" s="694"/>
      <c r="RKN261" s="694"/>
      <c r="RKO261" s="694"/>
      <c r="RKP261" s="694"/>
      <c r="RKQ261" s="694"/>
      <c r="RKR261" s="694"/>
      <c r="RKS261" s="694"/>
      <c r="RKT261" s="694"/>
      <c r="RKU261" s="694"/>
      <c r="RKV261" s="694"/>
      <c r="RKW261" s="694"/>
      <c r="RKX261" s="694"/>
      <c r="RKY261" s="694"/>
      <c r="RKZ261" s="717"/>
      <c r="RLA261" s="694"/>
      <c r="RLB261" s="694"/>
      <c r="RLC261" s="694"/>
      <c r="RLD261" s="694"/>
      <c r="RLE261" s="694"/>
      <c r="RLF261" s="694"/>
      <c r="RLG261" s="694"/>
      <c r="RLH261" s="694"/>
      <c r="RLI261" s="694"/>
      <c r="RLJ261" s="694"/>
      <c r="RLK261" s="694"/>
      <c r="RLL261" s="694"/>
      <c r="RLM261" s="694"/>
      <c r="RLN261" s="694"/>
      <c r="RLO261" s="694"/>
      <c r="RLP261" s="694"/>
      <c r="RLQ261" s="694"/>
      <c r="RLR261" s="694"/>
      <c r="RLS261" s="694"/>
      <c r="RLT261" s="717"/>
      <c r="RLU261" s="694"/>
      <c r="RLV261" s="694"/>
      <c r="RLW261" s="694"/>
      <c r="RLX261" s="694"/>
      <c r="RLY261" s="694"/>
      <c r="RLZ261" s="694"/>
      <c r="RMA261" s="694"/>
      <c r="RMB261" s="694"/>
      <c r="RMC261" s="694"/>
      <c r="RMD261" s="694"/>
      <c r="RME261" s="694"/>
      <c r="RMF261" s="694"/>
      <c r="RMG261" s="694"/>
      <c r="RMH261" s="694"/>
      <c r="RMI261" s="694"/>
      <c r="RMJ261" s="694"/>
      <c r="RMK261" s="694"/>
      <c r="RML261" s="694"/>
      <c r="RMM261" s="694"/>
      <c r="RMN261" s="717"/>
      <c r="RMO261" s="694"/>
      <c r="RMP261" s="694"/>
      <c r="RMQ261" s="694"/>
      <c r="RMR261" s="694"/>
      <c r="RMS261" s="694"/>
      <c r="RMT261" s="694"/>
      <c r="RMU261" s="694"/>
      <c r="RMV261" s="694"/>
      <c r="RMW261" s="694"/>
      <c r="RMX261" s="694"/>
      <c r="RMY261" s="694"/>
      <c r="RMZ261" s="694"/>
      <c r="RNA261" s="694"/>
      <c r="RNB261" s="694"/>
      <c r="RNC261" s="694"/>
      <c r="RND261" s="694"/>
      <c r="RNE261" s="694"/>
      <c r="RNF261" s="694"/>
      <c r="RNG261" s="694"/>
      <c r="RNH261" s="717"/>
      <c r="RNI261" s="694"/>
      <c r="RNJ261" s="694"/>
      <c r="RNK261" s="694"/>
      <c r="RNL261" s="694"/>
      <c r="RNM261" s="694"/>
      <c r="RNN261" s="694"/>
      <c r="RNO261" s="694"/>
      <c r="RNP261" s="694"/>
      <c r="RNQ261" s="694"/>
      <c r="RNR261" s="694"/>
      <c r="RNS261" s="694"/>
      <c r="RNT261" s="694"/>
      <c r="RNU261" s="694"/>
      <c r="RNV261" s="694"/>
      <c r="RNW261" s="694"/>
      <c r="RNX261" s="694"/>
      <c r="RNY261" s="694"/>
      <c r="RNZ261" s="694"/>
      <c r="ROA261" s="694"/>
      <c r="ROB261" s="717"/>
      <c r="ROC261" s="694"/>
      <c r="ROD261" s="694"/>
      <c r="ROE261" s="694"/>
      <c r="ROF261" s="694"/>
      <c r="ROG261" s="694"/>
      <c r="ROH261" s="694"/>
      <c r="ROI261" s="694"/>
      <c r="ROJ261" s="694"/>
      <c r="ROK261" s="694"/>
      <c r="ROL261" s="694"/>
      <c r="ROM261" s="694"/>
      <c r="RON261" s="694"/>
      <c r="ROO261" s="694"/>
      <c r="ROP261" s="694"/>
      <c r="ROQ261" s="694"/>
      <c r="ROR261" s="694"/>
      <c r="ROS261" s="694"/>
      <c r="ROT261" s="694"/>
      <c r="ROU261" s="694"/>
      <c r="ROV261" s="717"/>
      <c r="ROW261" s="694"/>
      <c r="ROX261" s="694"/>
      <c r="ROY261" s="694"/>
      <c r="ROZ261" s="694"/>
      <c r="RPA261" s="694"/>
      <c r="RPB261" s="694"/>
      <c r="RPC261" s="694"/>
      <c r="RPD261" s="694"/>
      <c r="RPE261" s="694"/>
      <c r="RPF261" s="694"/>
      <c r="RPG261" s="694"/>
      <c r="RPH261" s="694"/>
      <c r="RPI261" s="694"/>
      <c r="RPJ261" s="694"/>
      <c r="RPK261" s="694"/>
      <c r="RPL261" s="694"/>
      <c r="RPM261" s="694"/>
      <c r="RPN261" s="694"/>
      <c r="RPO261" s="694"/>
      <c r="RPP261" s="717"/>
      <c r="RPQ261" s="694"/>
      <c r="RPR261" s="694"/>
      <c r="RPS261" s="694"/>
      <c r="RPT261" s="694"/>
      <c r="RPU261" s="694"/>
      <c r="RPV261" s="694"/>
      <c r="RPW261" s="694"/>
      <c r="RPX261" s="694"/>
      <c r="RPY261" s="694"/>
      <c r="RPZ261" s="694"/>
      <c r="RQA261" s="694"/>
      <c r="RQB261" s="694"/>
      <c r="RQC261" s="694"/>
      <c r="RQD261" s="694"/>
      <c r="RQE261" s="694"/>
      <c r="RQF261" s="694"/>
      <c r="RQG261" s="694"/>
      <c r="RQH261" s="694"/>
      <c r="RQI261" s="694"/>
      <c r="RQJ261" s="717"/>
      <c r="RQK261" s="694"/>
      <c r="RQL261" s="694"/>
      <c r="RQM261" s="694"/>
      <c r="RQN261" s="694"/>
      <c r="RQO261" s="694"/>
      <c r="RQP261" s="694"/>
      <c r="RQQ261" s="694"/>
      <c r="RQR261" s="694"/>
      <c r="RQS261" s="694"/>
      <c r="RQT261" s="694"/>
      <c r="RQU261" s="694"/>
      <c r="RQV261" s="694"/>
      <c r="RQW261" s="694"/>
      <c r="RQX261" s="694"/>
      <c r="RQY261" s="694"/>
      <c r="RQZ261" s="694"/>
      <c r="RRA261" s="694"/>
      <c r="RRB261" s="694"/>
      <c r="RRC261" s="694"/>
      <c r="RRD261" s="717"/>
      <c r="RRE261" s="694"/>
      <c r="RRF261" s="694"/>
      <c r="RRG261" s="694"/>
      <c r="RRH261" s="694"/>
      <c r="RRI261" s="694"/>
      <c r="RRJ261" s="694"/>
      <c r="RRK261" s="694"/>
      <c r="RRL261" s="694"/>
      <c r="RRM261" s="694"/>
      <c r="RRN261" s="694"/>
      <c r="RRO261" s="694"/>
      <c r="RRP261" s="694"/>
      <c r="RRQ261" s="694"/>
      <c r="RRR261" s="694"/>
      <c r="RRS261" s="694"/>
      <c r="RRT261" s="694"/>
      <c r="RRU261" s="694"/>
      <c r="RRV261" s="694"/>
      <c r="RRW261" s="694"/>
      <c r="RRX261" s="717"/>
      <c r="RRY261" s="694"/>
      <c r="RRZ261" s="694"/>
      <c r="RSA261" s="694"/>
      <c r="RSB261" s="694"/>
      <c r="RSC261" s="694"/>
      <c r="RSD261" s="694"/>
      <c r="RSE261" s="694"/>
      <c r="RSF261" s="694"/>
      <c r="RSG261" s="694"/>
      <c r="RSH261" s="694"/>
      <c r="RSI261" s="694"/>
      <c r="RSJ261" s="694"/>
      <c r="RSK261" s="694"/>
      <c r="RSL261" s="694"/>
      <c r="RSM261" s="694"/>
      <c r="RSN261" s="694"/>
      <c r="RSO261" s="694"/>
      <c r="RSP261" s="694"/>
      <c r="RSQ261" s="694"/>
      <c r="RSR261" s="717"/>
      <c r="RSS261" s="694"/>
      <c r="RST261" s="694"/>
      <c r="RSU261" s="694"/>
      <c r="RSV261" s="694"/>
      <c r="RSW261" s="694"/>
      <c r="RSX261" s="694"/>
      <c r="RSY261" s="694"/>
      <c r="RSZ261" s="694"/>
      <c r="RTA261" s="694"/>
      <c r="RTB261" s="694"/>
      <c r="RTC261" s="694"/>
      <c r="RTD261" s="694"/>
      <c r="RTE261" s="694"/>
      <c r="RTF261" s="694"/>
      <c r="RTG261" s="694"/>
      <c r="RTH261" s="694"/>
      <c r="RTI261" s="694"/>
      <c r="RTJ261" s="694"/>
      <c r="RTK261" s="694"/>
      <c r="RTL261" s="717"/>
      <c r="RTM261" s="694"/>
      <c r="RTN261" s="694"/>
      <c r="RTO261" s="694"/>
      <c r="RTP261" s="694"/>
      <c r="RTQ261" s="694"/>
      <c r="RTR261" s="694"/>
      <c r="RTS261" s="694"/>
      <c r="RTT261" s="694"/>
      <c r="RTU261" s="694"/>
      <c r="RTV261" s="694"/>
      <c r="RTW261" s="694"/>
      <c r="RTX261" s="694"/>
      <c r="RTY261" s="694"/>
      <c r="RTZ261" s="694"/>
      <c r="RUA261" s="694"/>
      <c r="RUB261" s="694"/>
      <c r="RUC261" s="694"/>
      <c r="RUD261" s="694"/>
      <c r="RUE261" s="694"/>
      <c r="RUF261" s="717"/>
      <c r="RUG261" s="694"/>
      <c r="RUH261" s="694"/>
      <c r="RUI261" s="694"/>
      <c r="RUJ261" s="694"/>
      <c r="RUK261" s="694"/>
      <c r="RUL261" s="694"/>
      <c r="RUM261" s="694"/>
      <c r="RUN261" s="694"/>
      <c r="RUO261" s="694"/>
      <c r="RUP261" s="694"/>
      <c r="RUQ261" s="694"/>
      <c r="RUR261" s="694"/>
      <c r="RUS261" s="694"/>
      <c r="RUT261" s="694"/>
      <c r="RUU261" s="694"/>
      <c r="RUV261" s="694"/>
      <c r="RUW261" s="694"/>
      <c r="RUX261" s="694"/>
      <c r="RUY261" s="694"/>
      <c r="RUZ261" s="717"/>
      <c r="RVA261" s="694"/>
      <c r="RVB261" s="694"/>
      <c r="RVC261" s="694"/>
      <c r="RVD261" s="694"/>
      <c r="RVE261" s="694"/>
      <c r="RVF261" s="694"/>
      <c r="RVG261" s="694"/>
      <c r="RVH261" s="694"/>
      <c r="RVI261" s="694"/>
      <c r="RVJ261" s="694"/>
      <c r="RVK261" s="694"/>
      <c r="RVL261" s="694"/>
      <c r="RVM261" s="694"/>
      <c r="RVN261" s="694"/>
      <c r="RVO261" s="694"/>
      <c r="RVP261" s="694"/>
      <c r="RVQ261" s="694"/>
      <c r="RVR261" s="694"/>
      <c r="RVS261" s="694"/>
      <c r="RVT261" s="717"/>
      <c r="RVU261" s="694"/>
      <c r="RVV261" s="694"/>
      <c r="RVW261" s="694"/>
      <c r="RVX261" s="694"/>
      <c r="RVY261" s="694"/>
      <c r="RVZ261" s="694"/>
      <c r="RWA261" s="694"/>
      <c r="RWB261" s="694"/>
      <c r="RWC261" s="694"/>
      <c r="RWD261" s="694"/>
      <c r="RWE261" s="694"/>
      <c r="RWF261" s="694"/>
      <c r="RWG261" s="694"/>
      <c r="RWH261" s="694"/>
      <c r="RWI261" s="694"/>
      <c r="RWJ261" s="694"/>
      <c r="RWK261" s="694"/>
      <c r="RWL261" s="694"/>
      <c r="RWM261" s="694"/>
      <c r="RWN261" s="717"/>
      <c r="RWO261" s="694"/>
      <c r="RWP261" s="694"/>
      <c r="RWQ261" s="694"/>
      <c r="RWR261" s="694"/>
      <c r="RWS261" s="694"/>
      <c r="RWT261" s="694"/>
      <c r="RWU261" s="694"/>
      <c r="RWV261" s="694"/>
      <c r="RWW261" s="694"/>
      <c r="RWX261" s="694"/>
      <c r="RWY261" s="694"/>
      <c r="RWZ261" s="694"/>
      <c r="RXA261" s="694"/>
      <c r="RXB261" s="694"/>
      <c r="RXC261" s="694"/>
      <c r="RXD261" s="694"/>
      <c r="RXE261" s="694"/>
      <c r="RXF261" s="694"/>
      <c r="RXG261" s="694"/>
      <c r="RXH261" s="717"/>
      <c r="RXI261" s="694"/>
      <c r="RXJ261" s="694"/>
      <c r="RXK261" s="694"/>
      <c r="RXL261" s="694"/>
      <c r="RXM261" s="694"/>
      <c r="RXN261" s="694"/>
      <c r="RXO261" s="694"/>
      <c r="RXP261" s="694"/>
      <c r="RXQ261" s="694"/>
      <c r="RXR261" s="694"/>
      <c r="RXS261" s="694"/>
      <c r="RXT261" s="694"/>
      <c r="RXU261" s="694"/>
      <c r="RXV261" s="694"/>
      <c r="RXW261" s="694"/>
      <c r="RXX261" s="694"/>
      <c r="RXY261" s="694"/>
      <c r="RXZ261" s="694"/>
      <c r="RYA261" s="694"/>
      <c r="RYB261" s="717"/>
      <c r="RYC261" s="694"/>
      <c r="RYD261" s="694"/>
      <c r="RYE261" s="694"/>
      <c r="RYF261" s="694"/>
      <c r="RYG261" s="694"/>
      <c r="RYH261" s="694"/>
      <c r="RYI261" s="694"/>
      <c r="RYJ261" s="694"/>
      <c r="RYK261" s="694"/>
      <c r="RYL261" s="694"/>
      <c r="RYM261" s="694"/>
      <c r="RYN261" s="694"/>
      <c r="RYO261" s="694"/>
      <c r="RYP261" s="694"/>
      <c r="RYQ261" s="694"/>
      <c r="RYR261" s="694"/>
      <c r="RYS261" s="694"/>
      <c r="RYT261" s="694"/>
      <c r="RYU261" s="694"/>
      <c r="RYV261" s="717"/>
      <c r="RYW261" s="694"/>
      <c r="RYX261" s="694"/>
      <c r="RYY261" s="694"/>
      <c r="RYZ261" s="694"/>
      <c r="RZA261" s="694"/>
      <c r="RZB261" s="694"/>
      <c r="RZC261" s="694"/>
      <c r="RZD261" s="694"/>
      <c r="RZE261" s="694"/>
      <c r="RZF261" s="694"/>
      <c r="RZG261" s="694"/>
      <c r="RZH261" s="694"/>
      <c r="RZI261" s="694"/>
      <c r="RZJ261" s="694"/>
      <c r="RZK261" s="694"/>
      <c r="RZL261" s="694"/>
      <c r="RZM261" s="694"/>
      <c r="RZN261" s="694"/>
      <c r="RZO261" s="694"/>
      <c r="RZP261" s="717"/>
      <c r="RZQ261" s="694"/>
      <c r="RZR261" s="694"/>
      <c r="RZS261" s="694"/>
      <c r="RZT261" s="694"/>
      <c r="RZU261" s="694"/>
      <c r="RZV261" s="694"/>
      <c r="RZW261" s="694"/>
      <c r="RZX261" s="694"/>
      <c r="RZY261" s="694"/>
      <c r="RZZ261" s="694"/>
      <c r="SAA261" s="694"/>
      <c r="SAB261" s="694"/>
      <c r="SAC261" s="694"/>
      <c r="SAD261" s="694"/>
      <c r="SAE261" s="694"/>
      <c r="SAF261" s="694"/>
      <c r="SAG261" s="694"/>
      <c r="SAH261" s="694"/>
      <c r="SAI261" s="694"/>
      <c r="SAJ261" s="717"/>
      <c r="SAK261" s="694"/>
      <c r="SAL261" s="694"/>
      <c r="SAM261" s="694"/>
      <c r="SAN261" s="694"/>
      <c r="SAO261" s="694"/>
      <c r="SAP261" s="694"/>
      <c r="SAQ261" s="694"/>
      <c r="SAR261" s="694"/>
      <c r="SAS261" s="694"/>
      <c r="SAT261" s="694"/>
      <c r="SAU261" s="694"/>
      <c r="SAV261" s="694"/>
      <c r="SAW261" s="694"/>
      <c r="SAX261" s="694"/>
      <c r="SAY261" s="694"/>
      <c r="SAZ261" s="694"/>
      <c r="SBA261" s="694"/>
      <c r="SBB261" s="694"/>
      <c r="SBC261" s="694"/>
      <c r="SBD261" s="717"/>
      <c r="SBE261" s="694"/>
      <c r="SBF261" s="694"/>
      <c r="SBG261" s="694"/>
      <c r="SBH261" s="694"/>
      <c r="SBI261" s="694"/>
      <c r="SBJ261" s="694"/>
      <c r="SBK261" s="694"/>
      <c r="SBL261" s="694"/>
      <c r="SBM261" s="694"/>
      <c r="SBN261" s="694"/>
      <c r="SBO261" s="694"/>
      <c r="SBP261" s="694"/>
      <c r="SBQ261" s="694"/>
      <c r="SBR261" s="694"/>
      <c r="SBS261" s="694"/>
      <c r="SBT261" s="694"/>
      <c r="SBU261" s="694"/>
      <c r="SBV261" s="694"/>
      <c r="SBW261" s="694"/>
      <c r="SBX261" s="717"/>
      <c r="SBY261" s="694"/>
      <c r="SBZ261" s="694"/>
      <c r="SCA261" s="694"/>
      <c r="SCB261" s="694"/>
      <c r="SCC261" s="694"/>
      <c r="SCD261" s="694"/>
      <c r="SCE261" s="694"/>
      <c r="SCF261" s="694"/>
      <c r="SCG261" s="694"/>
      <c r="SCH261" s="694"/>
      <c r="SCI261" s="694"/>
      <c r="SCJ261" s="694"/>
      <c r="SCK261" s="694"/>
      <c r="SCL261" s="694"/>
      <c r="SCM261" s="694"/>
      <c r="SCN261" s="694"/>
      <c r="SCO261" s="694"/>
      <c r="SCP261" s="694"/>
      <c r="SCQ261" s="694"/>
      <c r="SCR261" s="717"/>
      <c r="SCS261" s="694"/>
      <c r="SCT261" s="694"/>
      <c r="SCU261" s="694"/>
      <c r="SCV261" s="694"/>
      <c r="SCW261" s="694"/>
      <c r="SCX261" s="694"/>
      <c r="SCY261" s="694"/>
      <c r="SCZ261" s="694"/>
      <c r="SDA261" s="694"/>
      <c r="SDB261" s="694"/>
      <c r="SDC261" s="694"/>
      <c r="SDD261" s="694"/>
      <c r="SDE261" s="694"/>
      <c r="SDF261" s="694"/>
      <c r="SDG261" s="694"/>
      <c r="SDH261" s="694"/>
      <c r="SDI261" s="694"/>
      <c r="SDJ261" s="694"/>
      <c r="SDK261" s="694"/>
      <c r="SDL261" s="717"/>
      <c r="SDM261" s="694"/>
      <c r="SDN261" s="694"/>
      <c r="SDO261" s="694"/>
      <c r="SDP261" s="694"/>
      <c r="SDQ261" s="694"/>
      <c r="SDR261" s="694"/>
      <c r="SDS261" s="694"/>
      <c r="SDT261" s="694"/>
      <c r="SDU261" s="694"/>
      <c r="SDV261" s="694"/>
      <c r="SDW261" s="694"/>
      <c r="SDX261" s="694"/>
      <c r="SDY261" s="694"/>
      <c r="SDZ261" s="694"/>
      <c r="SEA261" s="694"/>
      <c r="SEB261" s="694"/>
      <c r="SEC261" s="694"/>
      <c r="SED261" s="694"/>
      <c r="SEE261" s="694"/>
      <c r="SEF261" s="717"/>
      <c r="SEG261" s="694"/>
      <c r="SEH261" s="694"/>
      <c r="SEI261" s="694"/>
      <c r="SEJ261" s="694"/>
      <c r="SEK261" s="694"/>
      <c r="SEL261" s="694"/>
      <c r="SEM261" s="694"/>
      <c r="SEN261" s="694"/>
      <c r="SEO261" s="694"/>
      <c r="SEP261" s="694"/>
      <c r="SEQ261" s="694"/>
      <c r="SER261" s="694"/>
      <c r="SES261" s="694"/>
      <c r="SET261" s="694"/>
      <c r="SEU261" s="694"/>
      <c r="SEV261" s="694"/>
      <c r="SEW261" s="694"/>
      <c r="SEX261" s="694"/>
      <c r="SEY261" s="694"/>
      <c r="SEZ261" s="717"/>
      <c r="SFA261" s="694"/>
      <c r="SFB261" s="694"/>
      <c r="SFC261" s="694"/>
      <c r="SFD261" s="694"/>
      <c r="SFE261" s="694"/>
      <c r="SFF261" s="694"/>
      <c r="SFG261" s="694"/>
      <c r="SFH261" s="694"/>
      <c r="SFI261" s="694"/>
      <c r="SFJ261" s="694"/>
      <c r="SFK261" s="694"/>
      <c r="SFL261" s="694"/>
      <c r="SFM261" s="694"/>
      <c r="SFN261" s="694"/>
      <c r="SFO261" s="694"/>
      <c r="SFP261" s="694"/>
      <c r="SFQ261" s="694"/>
      <c r="SFR261" s="694"/>
      <c r="SFS261" s="694"/>
      <c r="SFT261" s="717"/>
      <c r="SFU261" s="694"/>
      <c r="SFV261" s="694"/>
      <c r="SFW261" s="694"/>
      <c r="SFX261" s="694"/>
      <c r="SFY261" s="694"/>
      <c r="SFZ261" s="694"/>
      <c r="SGA261" s="694"/>
      <c r="SGB261" s="694"/>
      <c r="SGC261" s="694"/>
      <c r="SGD261" s="694"/>
      <c r="SGE261" s="694"/>
      <c r="SGF261" s="694"/>
      <c r="SGG261" s="694"/>
      <c r="SGH261" s="694"/>
      <c r="SGI261" s="694"/>
      <c r="SGJ261" s="694"/>
      <c r="SGK261" s="694"/>
      <c r="SGL261" s="694"/>
      <c r="SGM261" s="694"/>
      <c r="SGN261" s="717"/>
      <c r="SGO261" s="694"/>
      <c r="SGP261" s="694"/>
      <c r="SGQ261" s="694"/>
      <c r="SGR261" s="694"/>
      <c r="SGS261" s="694"/>
      <c r="SGT261" s="694"/>
      <c r="SGU261" s="694"/>
      <c r="SGV261" s="694"/>
      <c r="SGW261" s="694"/>
      <c r="SGX261" s="694"/>
      <c r="SGY261" s="694"/>
      <c r="SGZ261" s="694"/>
      <c r="SHA261" s="694"/>
      <c r="SHB261" s="694"/>
      <c r="SHC261" s="694"/>
      <c r="SHD261" s="694"/>
      <c r="SHE261" s="694"/>
      <c r="SHF261" s="694"/>
      <c r="SHG261" s="694"/>
      <c r="SHH261" s="717"/>
      <c r="SHI261" s="694"/>
      <c r="SHJ261" s="694"/>
      <c r="SHK261" s="694"/>
      <c r="SHL261" s="694"/>
      <c r="SHM261" s="694"/>
      <c r="SHN261" s="694"/>
      <c r="SHO261" s="694"/>
      <c r="SHP261" s="694"/>
      <c r="SHQ261" s="694"/>
      <c r="SHR261" s="694"/>
      <c r="SHS261" s="694"/>
      <c r="SHT261" s="694"/>
      <c r="SHU261" s="694"/>
      <c r="SHV261" s="694"/>
      <c r="SHW261" s="694"/>
      <c r="SHX261" s="694"/>
      <c r="SHY261" s="694"/>
      <c r="SHZ261" s="694"/>
      <c r="SIA261" s="694"/>
      <c r="SIB261" s="717"/>
      <c r="SIC261" s="694"/>
      <c r="SID261" s="694"/>
      <c r="SIE261" s="694"/>
      <c r="SIF261" s="694"/>
      <c r="SIG261" s="694"/>
      <c r="SIH261" s="694"/>
      <c r="SII261" s="694"/>
      <c r="SIJ261" s="694"/>
      <c r="SIK261" s="694"/>
      <c r="SIL261" s="694"/>
      <c r="SIM261" s="694"/>
      <c r="SIN261" s="694"/>
      <c r="SIO261" s="694"/>
      <c r="SIP261" s="694"/>
      <c r="SIQ261" s="694"/>
      <c r="SIR261" s="694"/>
      <c r="SIS261" s="694"/>
      <c r="SIT261" s="694"/>
      <c r="SIU261" s="694"/>
      <c r="SIV261" s="717"/>
      <c r="SIW261" s="694"/>
      <c r="SIX261" s="694"/>
      <c r="SIY261" s="694"/>
      <c r="SIZ261" s="694"/>
      <c r="SJA261" s="694"/>
      <c r="SJB261" s="694"/>
      <c r="SJC261" s="694"/>
      <c r="SJD261" s="694"/>
      <c r="SJE261" s="694"/>
      <c r="SJF261" s="694"/>
      <c r="SJG261" s="694"/>
      <c r="SJH261" s="694"/>
      <c r="SJI261" s="694"/>
      <c r="SJJ261" s="694"/>
      <c r="SJK261" s="694"/>
      <c r="SJL261" s="694"/>
      <c r="SJM261" s="694"/>
      <c r="SJN261" s="694"/>
      <c r="SJO261" s="694"/>
      <c r="SJP261" s="717"/>
      <c r="SJQ261" s="694"/>
      <c r="SJR261" s="694"/>
      <c r="SJS261" s="694"/>
      <c r="SJT261" s="694"/>
      <c r="SJU261" s="694"/>
      <c r="SJV261" s="694"/>
      <c r="SJW261" s="694"/>
      <c r="SJX261" s="694"/>
      <c r="SJY261" s="694"/>
      <c r="SJZ261" s="694"/>
      <c r="SKA261" s="694"/>
      <c r="SKB261" s="694"/>
      <c r="SKC261" s="694"/>
      <c r="SKD261" s="694"/>
      <c r="SKE261" s="694"/>
      <c r="SKF261" s="694"/>
      <c r="SKG261" s="694"/>
      <c r="SKH261" s="694"/>
      <c r="SKI261" s="694"/>
      <c r="SKJ261" s="717"/>
      <c r="SKK261" s="694"/>
      <c r="SKL261" s="694"/>
      <c r="SKM261" s="694"/>
      <c r="SKN261" s="694"/>
      <c r="SKO261" s="694"/>
      <c r="SKP261" s="694"/>
      <c r="SKQ261" s="694"/>
      <c r="SKR261" s="694"/>
      <c r="SKS261" s="694"/>
      <c r="SKT261" s="694"/>
      <c r="SKU261" s="694"/>
      <c r="SKV261" s="694"/>
      <c r="SKW261" s="694"/>
      <c r="SKX261" s="694"/>
      <c r="SKY261" s="694"/>
      <c r="SKZ261" s="694"/>
      <c r="SLA261" s="694"/>
      <c r="SLB261" s="694"/>
      <c r="SLC261" s="694"/>
      <c r="SLD261" s="717"/>
      <c r="SLE261" s="694"/>
      <c r="SLF261" s="694"/>
      <c r="SLG261" s="694"/>
      <c r="SLH261" s="694"/>
      <c r="SLI261" s="694"/>
      <c r="SLJ261" s="694"/>
      <c r="SLK261" s="694"/>
      <c r="SLL261" s="694"/>
      <c r="SLM261" s="694"/>
      <c r="SLN261" s="694"/>
      <c r="SLO261" s="694"/>
      <c r="SLP261" s="694"/>
      <c r="SLQ261" s="694"/>
      <c r="SLR261" s="694"/>
      <c r="SLS261" s="694"/>
      <c r="SLT261" s="694"/>
      <c r="SLU261" s="694"/>
      <c r="SLV261" s="694"/>
      <c r="SLW261" s="694"/>
      <c r="SLX261" s="717"/>
      <c r="SLY261" s="694"/>
      <c r="SLZ261" s="694"/>
      <c r="SMA261" s="694"/>
      <c r="SMB261" s="694"/>
      <c r="SMC261" s="694"/>
      <c r="SMD261" s="694"/>
      <c r="SME261" s="694"/>
      <c r="SMF261" s="694"/>
      <c r="SMG261" s="694"/>
      <c r="SMH261" s="694"/>
      <c r="SMI261" s="694"/>
      <c r="SMJ261" s="694"/>
      <c r="SMK261" s="694"/>
      <c r="SML261" s="694"/>
      <c r="SMM261" s="694"/>
      <c r="SMN261" s="694"/>
      <c r="SMO261" s="694"/>
      <c r="SMP261" s="694"/>
      <c r="SMQ261" s="694"/>
      <c r="SMR261" s="717"/>
      <c r="SMS261" s="694"/>
      <c r="SMT261" s="694"/>
      <c r="SMU261" s="694"/>
      <c r="SMV261" s="694"/>
      <c r="SMW261" s="694"/>
      <c r="SMX261" s="694"/>
      <c r="SMY261" s="694"/>
      <c r="SMZ261" s="694"/>
      <c r="SNA261" s="694"/>
      <c r="SNB261" s="694"/>
      <c r="SNC261" s="694"/>
      <c r="SND261" s="694"/>
      <c r="SNE261" s="694"/>
      <c r="SNF261" s="694"/>
      <c r="SNG261" s="694"/>
      <c r="SNH261" s="694"/>
      <c r="SNI261" s="694"/>
      <c r="SNJ261" s="694"/>
      <c r="SNK261" s="694"/>
      <c r="SNL261" s="717"/>
      <c r="SNM261" s="694"/>
      <c r="SNN261" s="694"/>
      <c r="SNO261" s="694"/>
      <c r="SNP261" s="694"/>
      <c r="SNQ261" s="694"/>
      <c r="SNR261" s="694"/>
      <c r="SNS261" s="694"/>
      <c r="SNT261" s="694"/>
      <c r="SNU261" s="694"/>
      <c r="SNV261" s="694"/>
      <c r="SNW261" s="694"/>
      <c r="SNX261" s="694"/>
      <c r="SNY261" s="694"/>
      <c r="SNZ261" s="694"/>
      <c r="SOA261" s="694"/>
      <c r="SOB261" s="694"/>
      <c r="SOC261" s="694"/>
      <c r="SOD261" s="694"/>
      <c r="SOE261" s="694"/>
      <c r="SOF261" s="717"/>
      <c r="SOG261" s="694"/>
      <c r="SOH261" s="694"/>
      <c r="SOI261" s="694"/>
      <c r="SOJ261" s="694"/>
      <c r="SOK261" s="694"/>
      <c r="SOL261" s="694"/>
      <c r="SOM261" s="694"/>
      <c r="SON261" s="694"/>
      <c r="SOO261" s="694"/>
      <c r="SOP261" s="694"/>
      <c r="SOQ261" s="694"/>
      <c r="SOR261" s="694"/>
      <c r="SOS261" s="694"/>
      <c r="SOT261" s="694"/>
      <c r="SOU261" s="694"/>
      <c r="SOV261" s="694"/>
      <c r="SOW261" s="694"/>
      <c r="SOX261" s="694"/>
      <c r="SOY261" s="694"/>
      <c r="SOZ261" s="717"/>
      <c r="SPA261" s="694"/>
      <c r="SPB261" s="694"/>
      <c r="SPC261" s="694"/>
      <c r="SPD261" s="694"/>
      <c r="SPE261" s="694"/>
      <c r="SPF261" s="694"/>
      <c r="SPG261" s="694"/>
      <c r="SPH261" s="694"/>
      <c r="SPI261" s="694"/>
      <c r="SPJ261" s="694"/>
      <c r="SPK261" s="694"/>
      <c r="SPL261" s="694"/>
      <c r="SPM261" s="694"/>
      <c r="SPN261" s="694"/>
      <c r="SPO261" s="694"/>
      <c r="SPP261" s="694"/>
      <c r="SPQ261" s="694"/>
      <c r="SPR261" s="694"/>
      <c r="SPS261" s="694"/>
      <c r="SPT261" s="717"/>
      <c r="SPU261" s="694"/>
      <c r="SPV261" s="694"/>
      <c r="SPW261" s="694"/>
      <c r="SPX261" s="694"/>
      <c r="SPY261" s="694"/>
      <c r="SPZ261" s="694"/>
      <c r="SQA261" s="694"/>
      <c r="SQB261" s="694"/>
      <c r="SQC261" s="694"/>
      <c r="SQD261" s="694"/>
      <c r="SQE261" s="694"/>
      <c r="SQF261" s="694"/>
      <c r="SQG261" s="694"/>
      <c r="SQH261" s="694"/>
      <c r="SQI261" s="694"/>
      <c r="SQJ261" s="694"/>
      <c r="SQK261" s="694"/>
      <c r="SQL261" s="694"/>
      <c r="SQM261" s="694"/>
      <c r="SQN261" s="717"/>
      <c r="SQO261" s="694"/>
      <c r="SQP261" s="694"/>
      <c r="SQQ261" s="694"/>
      <c r="SQR261" s="694"/>
      <c r="SQS261" s="694"/>
      <c r="SQT261" s="694"/>
      <c r="SQU261" s="694"/>
      <c r="SQV261" s="694"/>
      <c r="SQW261" s="694"/>
      <c r="SQX261" s="694"/>
      <c r="SQY261" s="694"/>
      <c r="SQZ261" s="694"/>
      <c r="SRA261" s="694"/>
      <c r="SRB261" s="694"/>
      <c r="SRC261" s="694"/>
      <c r="SRD261" s="694"/>
      <c r="SRE261" s="694"/>
      <c r="SRF261" s="694"/>
      <c r="SRG261" s="694"/>
      <c r="SRH261" s="717"/>
      <c r="SRI261" s="694"/>
      <c r="SRJ261" s="694"/>
      <c r="SRK261" s="694"/>
      <c r="SRL261" s="694"/>
      <c r="SRM261" s="694"/>
      <c r="SRN261" s="694"/>
      <c r="SRO261" s="694"/>
      <c r="SRP261" s="694"/>
      <c r="SRQ261" s="694"/>
      <c r="SRR261" s="694"/>
      <c r="SRS261" s="694"/>
      <c r="SRT261" s="694"/>
      <c r="SRU261" s="694"/>
      <c r="SRV261" s="694"/>
      <c r="SRW261" s="694"/>
      <c r="SRX261" s="694"/>
      <c r="SRY261" s="694"/>
      <c r="SRZ261" s="694"/>
      <c r="SSA261" s="694"/>
      <c r="SSB261" s="717"/>
      <c r="SSC261" s="694"/>
      <c r="SSD261" s="694"/>
      <c r="SSE261" s="694"/>
      <c r="SSF261" s="694"/>
      <c r="SSG261" s="694"/>
      <c r="SSH261" s="694"/>
      <c r="SSI261" s="694"/>
      <c r="SSJ261" s="694"/>
      <c r="SSK261" s="694"/>
      <c r="SSL261" s="694"/>
      <c r="SSM261" s="694"/>
      <c r="SSN261" s="694"/>
      <c r="SSO261" s="694"/>
      <c r="SSP261" s="694"/>
      <c r="SSQ261" s="694"/>
      <c r="SSR261" s="694"/>
      <c r="SSS261" s="694"/>
      <c r="SST261" s="694"/>
      <c r="SSU261" s="694"/>
      <c r="SSV261" s="717"/>
      <c r="SSW261" s="694"/>
      <c r="SSX261" s="694"/>
      <c r="SSY261" s="694"/>
      <c r="SSZ261" s="694"/>
      <c r="STA261" s="694"/>
      <c r="STB261" s="694"/>
      <c r="STC261" s="694"/>
      <c r="STD261" s="694"/>
      <c r="STE261" s="694"/>
      <c r="STF261" s="694"/>
      <c r="STG261" s="694"/>
      <c r="STH261" s="694"/>
      <c r="STI261" s="694"/>
      <c r="STJ261" s="694"/>
      <c r="STK261" s="694"/>
      <c r="STL261" s="694"/>
      <c r="STM261" s="694"/>
      <c r="STN261" s="694"/>
      <c r="STO261" s="694"/>
      <c r="STP261" s="717"/>
      <c r="STQ261" s="694"/>
      <c r="STR261" s="694"/>
      <c r="STS261" s="694"/>
      <c r="STT261" s="694"/>
      <c r="STU261" s="694"/>
      <c r="STV261" s="694"/>
      <c r="STW261" s="694"/>
      <c r="STX261" s="694"/>
      <c r="STY261" s="694"/>
      <c r="STZ261" s="694"/>
      <c r="SUA261" s="694"/>
      <c r="SUB261" s="694"/>
      <c r="SUC261" s="694"/>
      <c r="SUD261" s="694"/>
      <c r="SUE261" s="694"/>
      <c r="SUF261" s="694"/>
      <c r="SUG261" s="694"/>
      <c r="SUH261" s="694"/>
      <c r="SUI261" s="694"/>
      <c r="SUJ261" s="717"/>
      <c r="SUK261" s="694"/>
      <c r="SUL261" s="694"/>
      <c r="SUM261" s="694"/>
      <c r="SUN261" s="694"/>
      <c r="SUO261" s="694"/>
      <c r="SUP261" s="694"/>
      <c r="SUQ261" s="694"/>
      <c r="SUR261" s="694"/>
      <c r="SUS261" s="694"/>
      <c r="SUT261" s="694"/>
      <c r="SUU261" s="694"/>
      <c r="SUV261" s="694"/>
      <c r="SUW261" s="694"/>
      <c r="SUX261" s="694"/>
      <c r="SUY261" s="694"/>
      <c r="SUZ261" s="694"/>
      <c r="SVA261" s="694"/>
      <c r="SVB261" s="694"/>
      <c r="SVC261" s="694"/>
      <c r="SVD261" s="717"/>
      <c r="SVE261" s="694"/>
      <c r="SVF261" s="694"/>
      <c r="SVG261" s="694"/>
      <c r="SVH261" s="694"/>
      <c r="SVI261" s="694"/>
      <c r="SVJ261" s="694"/>
      <c r="SVK261" s="694"/>
      <c r="SVL261" s="694"/>
      <c r="SVM261" s="694"/>
      <c r="SVN261" s="694"/>
      <c r="SVO261" s="694"/>
      <c r="SVP261" s="694"/>
      <c r="SVQ261" s="694"/>
      <c r="SVR261" s="694"/>
      <c r="SVS261" s="694"/>
      <c r="SVT261" s="694"/>
      <c r="SVU261" s="694"/>
      <c r="SVV261" s="694"/>
      <c r="SVW261" s="694"/>
      <c r="SVX261" s="717"/>
      <c r="SVY261" s="694"/>
      <c r="SVZ261" s="694"/>
      <c r="SWA261" s="694"/>
      <c r="SWB261" s="694"/>
      <c r="SWC261" s="694"/>
      <c r="SWD261" s="694"/>
      <c r="SWE261" s="694"/>
      <c r="SWF261" s="694"/>
      <c r="SWG261" s="694"/>
      <c r="SWH261" s="694"/>
      <c r="SWI261" s="694"/>
      <c r="SWJ261" s="694"/>
      <c r="SWK261" s="694"/>
      <c r="SWL261" s="694"/>
      <c r="SWM261" s="694"/>
      <c r="SWN261" s="694"/>
      <c r="SWO261" s="694"/>
      <c r="SWP261" s="694"/>
      <c r="SWQ261" s="694"/>
      <c r="SWR261" s="717"/>
      <c r="SWS261" s="694"/>
      <c r="SWT261" s="694"/>
      <c r="SWU261" s="694"/>
      <c r="SWV261" s="694"/>
      <c r="SWW261" s="694"/>
      <c r="SWX261" s="694"/>
      <c r="SWY261" s="694"/>
      <c r="SWZ261" s="694"/>
      <c r="SXA261" s="694"/>
      <c r="SXB261" s="694"/>
      <c r="SXC261" s="694"/>
      <c r="SXD261" s="694"/>
      <c r="SXE261" s="694"/>
      <c r="SXF261" s="694"/>
      <c r="SXG261" s="694"/>
      <c r="SXH261" s="694"/>
      <c r="SXI261" s="694"/>
      <c r="SXJ261" s="694"/>
      <c r="SXK261" s="694"/>
      <c r="SXL261" s="717"/>
      <c r="SXM261" s="694"/>
      <c r="SXN261" s="694"/>
      <c r="SXO261" s="694"/>
      <c r="SXP261" s="694"/>
      <c r="SXQ261" s="694"/>
      <c r="SXR261" s="694"/>
      <c r="SXS261" s="694"/>
      <c r="SXT261" s="694"/>
      <c r="SXU261" s="694"/>
      <c r="SXV261" s="694"/>
      <c r="SXW261" s="694"/>
      <c r="SXX261" s="694"/>
      <c r="SXY261" s="694"/>
      <c r="SXZ261" s="694"/>
      <c r="SYA261" s="694"/>
      <c r="SYB261" s="694"/>
      <c r="SYC261" s="694"/>
      <c r="SYD261" s="694"/>
      <c r="SYE261" s="694"/>
      <c r="SYF261" s="717"/>
      <c r="SYG261" s="694"/>
      <c r="SYH261" s="694"/>
      <c r="SYI261" s="694"/>
      <c r="SYJ261" s="694"/>
      <c r="SYK261" s="694"/>
      <c r="SYL261" s="694"/>
      <c r="SYM261" s="694"/>
      <c r="SYN261" s="694"/>
      <c r="SYO261" s="694"/>
      <c r="SYP261" s="694"/>
      <c r="SYQ261" s="694"/>
      <c r="SYR261" s="694"/>
      <c r="SYS261" s="694"/>
      <c r="SYT261" s="694"/>
      <c r="SYU261" s="694"/>
      <c r="SYV261" s="694"/>
      <c r="SYW261" s="694"/>
      <c r="SYX261" s="694"/>
      <c r="SYY261" s="694"/>
      <c r="SYZ261" s="717"/>
      <c r="SZA261" s="694"/>
      <c r="SZB261" s="694"/>
      <c r="SZC261" s="694"/>
      <c r="SZD261" s="694"/>
      <c r="SZE261" s="694"/>
      <c r="SZF261" s="694"/>
      <c r="SZG261" s="694"/>
      <c r="SZH261" s="694"/>
      <c r="SZI261" s="694"/>
      <c r="SZJ261" s="694"/>
      <c r="SZK261" s="694"/>
      <c r="SZL261" s="694"/>
      <c r="SZM261" s="694"/>
      <c r="SZN261" s="694"/>
      <c r="SZO261" s="694"/>
      <c r="SZP261" s="694"/>
      <c r="SZQ261" s="694"/>
      <c r="SZR261" s="694"/>
      <c r="SZS261" s="694"/>
      <c r="SZT261" s="717"/>
      <c r="SZU261" s="694"/>
      <c r="SZV261" s="694"/>
      <c r="SZW261" s="694"/>
      <c r="SZX261" s="694"/>
      <c r="SZY261" s="694"/>
      <c r="SZZ261" s="694"/>
      <c r="TAA261" s="694"/>
      <c r="TAB261" s="694"/>
      <c r="TAC261" s="694"/>
      <c r="TAD261" s="694"/>
      <c r="TAE261" s="694"/>
      <c r="TAF261" s="694"/>
      <c r="TAG261" s="694"/>
      <c r="TAH261" s="694"/>
      <c r="TAI261" s="694"/>
      <c r="TAJ261" s="694"/>
      <c r="TAK261" s="694"/>
      <c r="TAL261" s="694"/>
      <c r="TAM261" s="694"/>
      <c r="TAN261" s="717"/>
      <c r="TAO261" s="694"/>
      <c r="TAP261" s="694"/>
      <c r="TAQ261" s="694"/>
      <c r="TAR261" s="694"/>
      <c r="TAS261" s="694"/>
      <c r="TAT261" s="694"/>
      <c r="TAU261" s="694"/>
      <c r="TAV261" s="694"/>
      <c r="TAW261" s="694"/>
      <c r="TAX261" s="694"/>
      <c r="TAY261" s="694"/>
      <c r="TAZ261" s="694"/>
      <c r="TBA261" s="694"/>
      <c r="TBB261" s="694"/>
      <c r="TBC261" s="694"/>
      <c r="TBD261" s="694"/>
      <c r="TBE261" s="694"/>
      <c r="TBF261" s="694"/>
      <c r="TBG261" s="694"/>
      <c r="TBH261" s="717"/>
      <c r="TBI261" s="694"/>
      <c r="TBJ261" s="694"/>
      <c r="TBK261" s="694"/>
      <c r="TBL261" s="694"/>
      <c r="TBM261" s="694"/>
      <c r="TBN261" s="694"/>
      <c r="TBO261" s="694"/>
      <c r="TBP261" s="694"/>
      <c r="TBQ261" s="694"/>
      <c r="TBR261" s="694"/>
      <c r="TBS261" s="694"/>
      <c r="TBT261" s="694"/>
      <c r="TBU261" s="694"/>
      <c r="TBV261" s="694"/>
      <c r="TBW261" s="694"/>
      <c r="TBX261" s="694"/>
      <c r="TBY261" s="694"/>
      <c r="TBZ261" s="694"/>
      <c r="TCA261" s="694"/>
      <c r="TCB261" s="717"/>
      <c r="TCC261" s="694"/>
      <c r="TCD261" s="694"/>
      <c r="TCE261" s="694"/>
      <c r="TCF261" s="694"/>
      <c r="TCG261" s="694"/>
      <c r="TCH261" s="694"/>
      <c r="TCI261" s="694"/>
      <c r="TCJ261" s="694"/>
      <c r="TCK261" s="694"/>
      <c r="TCL261" s="694"/>
      <c r="TCM261" s="694"/>
      <c r="TCN261" s="694"/>
      <c r="TCO261" s="694"/>
      <c r="TCP261" s="694"/>
      <c r="TCQ261" s="694"/>
      <c r="TCR261" s="694"/>
      <c r="TCS261" s="694"/>
      <c r="TCT261" s="694"/>
      <c r="TCU261" s="694"/>
      <c r="TCV261" s="717"/>
      <c r="TCW261" s="694"/>
      <c r="TCX261" s="694"/>
      <c r="TCY261" s="694"/>
      <c r="TCZ261" s="694"/>
      <c r="TDA261" s="694"/>
      <c r="TDB261" s="694"/>
      <c r="TDC261" s="694"/>
      <c r="TDD261" s="694"/>
      <c r="TDE261" s="694"/>
      <c r="TDF261" s="694"/>
      <c r="TDG261" s="694"/>
      <c r="TDH261" s="694"/>
      <c r="TDI261" s="694"/>
      <c r="TDJ261" s="694"/>
      <c r="TDK261" s="694"/>
      <c r="TDL261" s="694"/>
      <c r="TDM261" s="694"/>
      <c r="TDN261" s="694"/>
      <c r="TDO261" s="694"/>
      <c r="TDP261" s="717"/>
      <c r="TDQ261" s="694"/>
      <c r="TDR261" s="694"/>
      <c r="TDS261" s="694"/>
      <c r="TDT261" s="694"/>
      <c r="TDU261" s="694"/>
      <c r="TDV261" s="694"/>
      <c r="TDW261" s="694"/>
      <c r="TDX261" s="694"/>
      <c r="TDY261" s="694"/>
      <c r="TDZ261" s="694"/>
      <c r="TEA261" s="694"/>
      <c r="TEB261" s="694"/>
      <c r="TEC261" s="694"/>
      <c r="TED261" s="694"/>
      <c r="TEE261" s="694"/>
      <c r="TEF261" s="694"/>
      <c r="TEG261" s="694"/>
      <c r="TEH261" s="694"/>
      <c r="TEI261" s="694"/>
      <c r="TEJ261" s="717"/>
      <c r="TEK261" s="694"/>
      <c r="TEL261" s="694"/>
      <c r="TEM261" s="694"/>
      <c r="TEN261" s="694"/>
      <c r="TEO261" s="694"/>
      <c r="TEP261" s="694"/>
      <c r="TEQ261" s="694"/>
      <c r="TER261" s="694"/>
      <c r="TES261" s="694"/>
      <c r="TET261" s="694"/>
      <c r="TEU261" s="694"/>
      <c r="TEV261" s="694"/>
      <c r="TEW261" s="694"/>
      <c r="TEX261" s="694"/>
      <c r="TEY261" s="694"/>
      <c r="TEZ261" s="694"/>
      <c r="TFA261" s="694"/>
      <c r="TFB261" s="694"/>
      <c r="TFC261" s="694"/>
      <c r="TFD261" s="717"/>
      <c r="TFE261" s="694"/>
      <c r="TFF261" s="694"/>
      <c r="TFG261" s="694"/>
      <c r="TFH261" s="694"/>
      <c r="TFI261" s="694"/>
      <c r="TFJ261" s="694"/>
      <c r="TFK261" s="694"/>
      <c r="TFL261" s="694"/>
      <c r="TFM261" s="694"/>
      <c r="TFN261" s="694"/>
      <c r="TFO261" s="694"/>
      <c r="TFP261" s="694"/>
      <c r="TFQ261" s="694"/>
      <c r="TFR261" s="694"/>
      <c r="TFS261" s="694"/>
      <c r="TFT261" s="694"/>
      <c r="TFU261" s="694"/>
      <c r="TFV261" s="694"/>
      <c r="TFW261" s="694"/>
      <c r="TFX261" s="717"/>
      <c r="TFY261" s="694"/>
      <c r="TFZ261" s="694"/>
      <c r="TGA261" s="694"/>
      <c r="TGB261" s="694"/>
      <c r="TGC261" s="694"/>
      <c r="TGD261" s="694"/>
      <c r="TGE261" s="694"/>
      <c r="TGF261" s="694"/>
      <c r="TGG261" s="694"/>
      <c r="TGH261" s="694"/>
      <c r="TGI261" s="694"/>
      <c r="TGJ261" s="694"/>
      <c r="TGK261" s="694"/>
      <c r="TGL261" s="694"/>
      <c r="TGM261" s="694"/>
      <c r="TGN261" s="694"/>
      <c r="TGO261" s="694"/>
      <c r="TGP261" s="694"/>
      <c r="TGQ261" s="694"/>
      <c r="TGR261" s="717"/>
      <c r="TGS261" s="694"/>
      <c r="TGT261" s="694"/>
      <c r="TGU261" s="694"/>
      <c r="TGV261" s="694"/>
      <c r="TGW261" s="694"/>
      <c r="TGX261" s="694"/>
      <c r="TGY261" s="694"/>
      <c r="TGZ261" s="694"/>
      <c r="THA261" s="694"/>
      <c r="THB261" s="694"/>
      <c r="THC261" s="694"/>
      <c r="THD261" s="694"/>
      <c r="THE261" s="694"/>
      <c r="THF261" s="694"/>
      <c r="THG261" s="694"/>
      <c r="THH261" s="694"/>
      <c r="THI261" s="694"/>
      <c r="THJ261" s="694"/>
      <c r="THK261" s="694"/>
      <c r="THL261" s="717"/>
      <c r="THM261" s="694"/>
      <c r="THN261" s="694"/>
      <c r="THO261" s="694"/>
      <c r="THP261" s="694"/>
      <c r="THQ261" s="694"/>
      <c r="THR261" s="694"/>
      <c r="THS261" s="694"/>
      <c r="THT261" s="694"/>
      <c r="THU261" s="694"/>
      <c r="THV261" s="694"/>
      <c r="THW261" s="694"/>
      <c r="THX261" s="694"/>
      <c r="THY261" s="694"/>
      <c r="THZ261" s="694"/>
      <c r="TIA261" s="694"/>
      <c r="TIB261" s="694"/>
      <c r="TIC261" s="694"/>
      <c r="TID261" s="694"/>
      <c r="TIE261" s="694"/>
      <c r="TIF261" s="717"/>
      <c r="TIG261" s="694"/>
      <c r="TIH261" s="694"/>
      <c r="TII261" s="694"/>
      <c r="TIJ261" s="694"/>
      <c r="TIK261" s="694"/>
      <c r="TIL261" s="694"/>
      <c r="TIM261" s="694"/>
      <c r="TIN261" s="694"/>
      <c r="TIO261" s="694"/>
      <c r="TIP261" s="694"/>
      <c r="TIQ261" s="694"/>
      <c r="TIR261" s="694"/>
      <c r="TIS261" s="694"/>
      <c r="TIT261" s="694"/>
      <c r="TIU261" s="694"/>
      <c r="TIV261" s="694"/>
      <c r="TIW261" s="694"/>
      <c r="TIX261" s="694"/>
      <c r="TIY261" s="694"/>
      <c r="TIZ261" s="717"/>
      <c r="TJA261" s="694"/>
      <c r="TJB261" s="694"/>
      <c r="TJC261" s="694"/>
      <c r="TJD261" s="694"/>
      <c r="TJE261" s="694"/>
      <c r="TJF261" s="694"/>
      <c r="TJG261" s="694"/>
      <c r="TJH261" s="694"/>
      <c r="TJI261" s="694"/>
      <c r="TJJ261" s="694"/>
      <c r="TJK261" s="694"/>
      <c r="TJL261" s="694"/>
      <c r="TJM261" s="694"/>
      <c r="TJN261" s="694"/>
      <c r="TJO261" s="694"/>
      <c r="TJP261" s="694"/>
      <c r="TJQ261" s="694"/>
      <c r="TJR261" s="694"/>
      <c r="TJS261" s="694"/>
      <c r="TJT261" s="717"/>
      <c r="TJU261" s="694"/>
      <c r="TJV261" s="694"/>
      <c r="TJW261" s="694"/>
      <c r="TJX261" s="694"/>
      <c r="TJY261" s="694"/>
      <c r="TJZ261" s="694"/>
      <c r="TKA261" s="694"/>
      <c r="TKB261" s="694"/>
      <c r="TKC261" s="694"/>
      <c r="TKD261" s="694"/>
      <c r="TKE261" s="694"/>
      <c r="TKF261" s="694"/>
      <c r="TKG261" s="694"/>
      <c r="TKH261" s="694"/>
      <c r="TKI261" s="694"/>
      <c r="TKJ261" s="694"/>
      <c r="TKK261" s="694"/>
      <c r="TKL261" s="694"/>
      <c r="TKM261" s="694"/>
      <c r="TKN261" s="717"/>
      <c r="TKO261" s="694"/>
      <c r="TKP261" s="694"/>
      <c r="TKQ261" s="694"/>
      <c r="TKR261" s="694"/>
      <c r="TKS261" s="694"/>
      <c r="TKT261" s="694"/>
      <c r="TKU261" s="694"/>
      <c r="TKV261" s="694"/>
      <c r="TKW261" s="694"/>
      <c r="TKX261" s="694"/>
      <c r="TKY261" s="694"/>
      <c r="TKZ261" s="694"/>
      <c r="TLA261" s="694"/>
      <c r="TLB261" s="694"/>
      <c r="TLC261" s="694"/>
      <c r="TLD261" s="694"/>
      <c r="TLE261" s="694"/>
      <c r="TLF261" s="694"/>
      <c r="TLG261" s="694"/>
      <c r="TLH261" s="717"/>
      <c r="TLI261" s="694"/>
      <c r="TLJ261" s="694"/>
      <c r="TLK261" s="694"/>
      <c r="TLL261" s="694"/>
      <c r="TLM261" s="694"/>
      <c r="TLN261" s="694"/>
      <c r="TLO261" s="694"/>
      <c r="TLP261" s="694"/>
      <c r="TLQ261" s="694"/>
      <c r="TLR261" s="694"/>
      <c r="TLS261" s="694"/>
      <c r="TLT261" s="694"/>
      <c r="TLU261" s="694"/>
      <c r="TLV261" s="694"/>
      <c r="TLW261" s="694"/>
      <c r="TLX261" s="694"/>
      <c r="TLY261" s="694"/>
      <c r="TLZ261" s="694"/>
      <c r="TMA261" s="694"/>
      <c r="TMB261" s="717"/>
      <c r="TMC261" s="694"/>
      <c r="TMD261" s="694"/>
      <c r="TME261" s="694"/>
      <c r="TMF261" s="694"/>
      <c r="TMG261" s="694"/>
      <c r="TMH261" s="694"/>
      <c r="TMI261" s="694"/>
      <c r="TMJ261" s="694"/>
      <c r="TMK261" s="694"/>
      <c r="TML261" s="694"/>
      <c r="TMM261" s="694"/>
      <c r="TMN261" s="694"/>
      <c r="TMO261" s="694"/>
      <c r="TMP261" s="694"/>
      <c r="TMQ261" s="694"/>
      <c r="TMR261" s="694"/>
      <c r="TMS261" s="694"/>
      <c r="TMT261" s="694"/>
      <c r="TMU261" s="694"/>
      <c r="TMV261" s="717"/>
      <c r="TMW261" s="694"/>
      <c r="TMX261" s="694"/>
      <c r="TMY261" s="694"/>
      <c r="TMZ261" s="694"/>
      <c r="TNA261" s="694"/>
      <c r="TNB261" s="694"/>
      <c r="TNC261" s="694"/>
      <c r="TND261" s="694"/>
      <c r="TNE261" s="694"/>
      <c r="TNF261" s="694"/>
      <c r="TNG261" s="694"/>
      <c r="TNH261" s="694"/>
      <c r="TNI261" s="694"/>
      <c r="TNJ261" s="694"/>
      <c r="TNK261" s="694"/>
      <c r="TNL261" s="694"/>
      <c r="TNM261" s="694"/>
      <c r="TNN261" s="694"/>
      <c r="TNO261" s="694"/>
      <c r="TNP261" s="717"/>
      <c r="TNQ261" s="694"/>
      <c r="TNR261" s="694"/>
      <c r="TNS261" s="694"/>
      <c r="TNT261" s="694"/>
      <c r="TNU261" s="694"/>
      <c r="TNV261" s="694"/>
      <c r="TNW261" s="694"/>
      <c r="TNX261" s="694"/>
      <c r="TNY261" s="694"/>
      <c r="TNZ261" s="694"/>
      <c r="TOA261" s="694"/>
      <c r="TOB261" s="694"/>
      <c r="TOC261" s="694"/>
      <c r="TOD261" s="694"/>
      <c r="TOE261" s="694"/>
      <c r="TOF261" s="694"/>
      <c r="TOG261" s="694"/>
      <c r="TOH261" s="694"/>
      <c r="TOI261" s="694"/>
      <c r="TOJ261" s="717"/>
      <c r="TOK261" s="694"/>
      <c r="TOL261" s="694"/>
      <c r="TOM261" s="694"/>
      <c r="TON261" s="694"/>
      <c r="TOO261" s="694"/>
      <c r="TOP261" s="694"/>
      <c r="TOQ261" s="694"/>
      <c r="TOR261" s="694"/>
      <c r="TOS261" s="694"/>
      <c r="TOT261" s="694"/>
      <c r="TOU261" s="694"/>
      <c r="TOV261" s="694"/>
      <c r="TOW261" s="694"/>
      <c r="TOX261" s="694"/>
      <c r="TOY261" s="694"/>
      <c r="TOZ261" s="694"/>
      <c r="TPA261" s="694"/>
      <c r="TPB261" s="694"/>
      <c r="TPC261" s="694"/>
      <c r="TPD261" s="717"/>
      <c r="TPE261" s="694"/>
      <c r="TPF261" s="694"/>
      <c r="TPG261" s="694"/>
      <c r="TPH261" s="694"/>
      <c r="TPI261" s="694"/>
      <c r="TPJ261" s="694"/>
      <c r="TPK261" s="694"/>
      <c r="TPL261" s="694"/>
      <c r="TPM261" s="694"/>
      <c r="TPN261" s="694"/>
      <c r="TPO261" s="694"/>
      <c r="TPP261" s="694"/>
      <c r="TPQ261" s="694"/>
      <c r="TPR261" s="694"/>
      <c r="TPS261" s="694"/>
      <c r="TPT261" s="694"/>
      <c r="TPU261" s="694"/>
      <c r="TPV261" s="694"/>
      <c r="TPW261" s="694"/>
      <c r="TPX261" s="717"/>
      <c r="TPY261" s="694"/>
      <c r="TPZ261" s="694"/>
      <c r="TQA261" s="694"/>
      <c r="TQB261" s="694"/>
      <c r="TQC261" s="694"/>
      <c r="TQD261" s="694"/>
      <c r="TQE261" s="694"/>
      <c r="TQF261" s="694"/>
      <c r="TQG261" s="694"/>
      <c r="TQH261" s="694"/>
      <c r="TQI261" s="694"/>
      <c r="TQJ261" s="694"/>
      <c r="TQK261" s="694"/>
      <c r="TQL261" s="694"/>
      <c r="TQM261" s="694"/>
      <c r="TQN261" s="694"/>
      <c r="TQO261" s="694"/>
      <c r="TQP261" s="694"/>
      <c r="TQQ261" s="694"/>
      <c r="TQR261" s="717"/>
      <c r="TQS261" s="694"/>
      <c r="TQT261" s="694"/>
      <c r="TQU261" s="694"/>
      <c r="TQV261" s="694"/>
      <c r="TQW261" s="694"/>
      <c r="TQX261" s="694"/>
      <c r="TQY261" s="694"/>
      <c r="TQZ261" s="694"/>
      <c r="TRA261" s="694"/>
      <c r="TRB261" s="694"/>
      <c r="TRC261" s="694"/>
      <c r="TRD261" s="694"/>
      <c r="TRE261" s="694"/>
      <c r="TRF261" s="694"/>
      <c r="TRG261" s="694"/>
      <c r="TRH261" s="694"/>
      <c r="TRI261" s="694"/>
      <c r="TRJ261" s="694"/>
      <c r="TRK261" s="694"/>
      <c r="TRL261" s="717"/>
      <c r="TRM261" s="694"/>
      <c r="TRN261" s="694"/>
      <c r="TRO261" s="694"/>
      <c r="TRP261" s="694"/>
      <c r="TRQ261" s="694"/>
      <c r="TRR261" s="694"/>
      <c r="TRS261" s="694"/>
      <c r="TRT261" s="694"/>
      <c r="TRU261" s="694"/>
      <c r="TRV261" s="694"/>
      <c r="TRW261" s="694"/>
      <c r="TRX261" s="694"/>
      <c r="TRY261" s="694"/>
      <c r="TRZ261" s="694"/>
      <c r="TSA261" s="694"/>
      <c r="TSB261" s="694"/>
      <c r="TSC261" s="694"/>
      <c r="TSD261" s="694"/>
      <c r="TSE261" s="694"/>
      <c r="TSF261" s="717"/>
      <c r="TSG261" s="694"/>
      <c r="TSH261" s="694"/>
      <c r="TSI261" s="694"/>
      <c r="TSJ261" s="694"/>
      <c r="TSK261" s="694"/>
      <c r="TSL261" s="694"/>
      <c r="TSM261" s="694"/>
      <c r="TSN261" s="694"/>
      <c r="TSO261" s="694"/>
      <c r="TSP261" s="694"/>
      <c r="TSQ261" s="694"/>
      <c r="TSR261" s="694"/>
      <c r="TSS261" s="694"/>
      <c r="TST261" s="694"/>
      <c r="TSU261" s="694"/>
      <c r="TSV261" s="694"/>
      <c r="TSW261" s="694"/>
      <c r="TSX261" s="694"/>
      <c r="TSY261" s="694"/>
      <c r="TSZ261" s="717"/>
      <c r="TTA261" s="694"/>
      <c r="TTB261" s="694"/>
      <c r="TTC261" s="694"/>
      <c r="TTD261" s="694"/>
      <c r="TTE261" s="694"/>
      <c r="TTF261" s="694"/>
      <c r="TTG261" s="694"/>
      <c r="TTH261" s="694"/>
      <c r="TTI261" s="694"/>
      <c r="TTJ261" s="694"/>
      <c r="TTK261" s="694"/>
      <c r="TTL261" s="694"/>
      <c r="TTM261" s="694"/>
      <c r="TTN261" s="694"/>
      <c r="TTO261" s="694"/>
      <c r="TTP261" s="694"/>
      <c r="TTQ261" s="694"/>
      <c r="TTR261" s="694"/>
      <c r="TTS261" s="694"/>
      <c r="TTT261" s="717"/>
      <c r="TTU261" s="694"/>
      <c r="TTV261" s="694"/>
      <c r="TTW261" s="694"/>
      <c r="TTX261" s="694"/>
      <c r="TTY261" s="694"/>
      <c r="TTZ261" s="694"/>
      <c r="TUA261" s="694"/>
      <c r="TUB261" s="694"/>
      <c r="TUC261" s="694"/>
      <c r="TUD261" s="694"/>
      <c r="TUE261" s="694"/>
      <c r="TUF261" s="694"/>
      <c r="TUG261" s="694"/>
      <c r="TUH261" s="694"/>
      <c r="TUI261" s="694"/>
      <c r="TUJ261" s="694"/>
      <c r="TUK261" s="694"/>
      <c r="TUL261" s="694"/>
      <c r="TUM261" s="694"/>
      <c r="TUN261" s="717"/>
      <c r="TUO261" s="694"/>
      <c r="TUP261" s="694"/>
      <c r="TUQ261" s="694"/>
      <c r="TUR261" s="694"/>
      <c r="TUS261" s="694"/>
      <c r="TUT261" s="694"/>
      <c r="TUU261" s="694"/>
      <c r="TUV261" s="694"/>
      <c r="TUW261" s="694"/>
      <c r="TUX261" s="694"/>
      <c r="TUY261" s="694"/>
      <c r="TUZ261" s="694"/>
      <c r="TVA261" s="694"/>
      <c r="TVB261" s="694"/>
      <c r="TVC261" s="694"/>
      <c r="TVD261" s="694"/>
      <c r="TVE261" s="694"/>
      <c r="TVF261" s="694"/>
      <c r="TVG261" s="694"/>
      <c r="TVH261" s="717"/>
      <c r="TVI261" s="694"/>
      <c r="TVJ261" s="694"/>
      <c r="TVK261" s="694"/>
      <c r="TVL261" s="694"/>
      <c r="TVM261" s="694"/>
      <c r="TVN261" s="694"/>
      <c r="TVO261" s="694"/>
      <c r="TVP261" s="694"/>
      <c r="TVQ261" s="694"/>
      <c r="TVR261" s="694"/>
      <c r="TVS261" s="694"/>
      <c r="TVT261" s="694"/>
      <c r="TVU261" s="694"/>
      <c r="TVV261" s="694"/>
      <c r="TVW261" s="694"/>
      <c r="TVX261" s="694"/>
      <c r="TVY261" s="694"/>
      <c r="TVZ261" s="694"/>
      <c r="TWA261" s="694"/>
      <c r="TWB261" s="717"/>
      <c r="TWC261" s="694"/>
      <c r="TWD261" s="694"/>
      <c r="TWE261" s="694"/>
      <c r="TWF261" s="694"/>
      <c r="TWG261" s="694"/>
      <c r="TWH261" s="694"/>
      <c r="TWI261" s="694"/>
      <c r="TWJ261" s="694"/>
      <c r="TWK261" s="694"/>
      <c r="TWL261" s="694"/>
      <c r="TWM261" s="694"/>
      <c r="TWN261" s="694"/>
      <c r="TWO261" s="694"/>
      <c r="TWP261" s="694"/>
      <c r="TWQ261" s="694"/>
      <c r="TWR261" s="694"/>
      <c r="TWS261" s="694"/>
      <c r="TWT261" s="694"/>
      <c r="TWU261" s="694"/>
      <c r="TWV261" s="717"/>
      <c r="TWW261" s="694"/>
      <c r="TWX261" s="694"/>
      <c r="TWY261" s="694"/>
      <c r="TWZ261" s="694"/>
      <c r="TXA261" s="694"/>
      <c r="TXB261" s="694"/>
      <c r="TXC261" s="694"/>
      <c r="TXD261" s="694"/>
      <c r="TXE261" s="694"/>
      <c r="TXF261" s="694"/>
      <c r="TXG261" s="694"/>
      <c r="TXH261" s="694"/>
      <c r="TXI261" s="694"/>
      <c r="TXJ261" s="694"/>
      <c r="TXK261" s="694"/>
      <c r="TXL261" s="694"/>
      <c r="TXM261" s="694"/>
      <c r="TXN261" s="694"/>
      <c r="TXO261" s="694"/>
      <c r="TXP261" s="717"/>
      <c r="TXQ261" s="694"/>
      <c r="TXR261" s="694"/>
      <c r="TXS261" s="694"/>
      <c r="TXT261" s="694"/>
      <c r="TXU261" s="694"/>
      <c r="TXV261" s="694"/>
      <c r="TXW261" s="694"/>
      <c r="TXX261" s="694"/>
      <c r="TXY261" s="694"/>
      <c r="TXZ261" s="694"/>
      <c r="TYA261" s="694"/>
      <c r="TYB261" s="694"/>
      <c r="TYC261" s="694"/>
      <c r="TYD261" s="694"/>
      <c r="TYE261" s="694"/>
      <c r="TYF261" s="694"/>
      <c r="TYG261" s="694"/>
      <c r="TYH261" s="694"/>
      <c r="TYI261" s="694"/>
      <c r="TYJ261" s="717"/>
      <c r="TYK261" s="694"/>
      <c r="TYL261" s="694"/>
      <c r="TYM261" s="694"/>
      <c r="TYN261" s="694"/>
      <c r="TYO261" s="694"/>
      <c r="TYP261" s="694"/>
      <c r="TYQ261" s="694"/>
      <c r="TYR261" s="694"/>
      <c r="TYS261" s="694"/>
      <c r="TYT261" s="694"/>
      <c r="TYU261" s="694"/>
      <c r="TYV261" s="694"/>
      <c r="TYW261" s="694"/>
      <c r="TYX261" s="694"/>
      <c r="TYY261" s="694"/>
      <c r="TYZ261" s="694"/>
      <c r="TZA261" s="694"/>
      <c r="TZB261" s="694"/>
      <c r="TZC261" s="694"/>
      <c r="TZD261" s="717"/>
      <c r="TZE261" s="694"/>
      <c r="TZF261" s="694"/>
      <c r="TZG261" s="694"/>
      <c r="TZH261" s="694"/>
      <c r="TZI261" s="694"/>
      <c r="TZJ261" s="694"/>
      <c r="TZK261" s="694"/>
      <c r="TZL261" s="694"/>
      <c r="TZM261" s="694"/>
      <c r="TZN261" s="694"/>
      <c r="TZO261" s="694"/>
      <c r="TZP261" s="694"/>
      <c r="TZQ261" s="694"/>
      <c r="TZR261" s="694"/>
      <c r="TZS261" s="694"/>
      <c r="TZT261" s="694"/>
      <c r="TZU261" s="694"/>
      <c r="TZV261" s="694"/>
      <c r="TZW261" s="694"/>
      <c r="TZX261" s="717"/>
      <c r="TZY261" s="694"/>
      <c r="TZZ261" s="694"/>
      <c r="UAA261" s="694"/>
      <c r="UAB261" s="694"/>
      <c r="UAC261" s="694"/>
      <c r="UAD261" s="694"/>
      <c r="UAE261" s="694"/>
      <c r="UAF261" s="694"/>
      <c r="UAG261" s="694"/>
      <c r="UAH261" s="694"/>
      <c r="UAI261" s="694"/>
      <c r="UAJ261" s="694"/>
      <c r="UAK261" s="694"/>
      <c r="UAL261" s="694"/>
      <c r="UAM261" s="694"/>
      <c r="UAN261" s="694"/>
      <c r="UAO261" s="694"/>
      <c r="UAP261" s="694"/>
      <c r="UAQ261" s="694"/>
      <c r="UAR261" s="717"/>
      <c r="UAS261" s="694"/>
      <c r="UAT261" s="694"/>
      <c r="UAU261" s="694"/>
      <c r="UAV261" s="694"/>
      <c r="UAW261" s="694"/>
      <c r="UAX261" s="694"/>
      <c r="UAY261" s="694"/>
      <c r="UAZ261" s="694"/>
      <c r="UBA261" s="694"/>
      <c r="UBB261" s="694"/>
      <c r="UBC261" s="694"/>
      <c r="UBD261" s="694"/>
      <c r="UBE261" s="694"/>
      <c r="UBF261" s="694"/>
      <c r="UBG261" s="694"/>
      <c r="UBH261" s="694"/>
      <c r="UBI261" s="694"/>
      <c r="UBJ261" s="694"/>
      <c r="UBK261" s="694"/>
      <c r="UBL261" s="717"/>
      <c r="UBM261" s="694"/>
      <c r="UBN261" s="694"/>
      <c r="UBO261" s="694"/>
      <c r="UBP261" s="694"/>
      <c r="UBQ261" s="694"/>
      <c r="UBR261" s="694"/>
      <c r="UBS261" s="694"/>
      <c r="UBT261" s="694"/>
      <c r="UBU261" s="694"/>
      <c r="UBV261" s="694"/>
      <c r="UBW261" s="694"/>
      <c r="UBX261" s="694"/>
      <c r="UBY261" s="694"/>
      <c r="UBZ261" s="694"/>
      <c r="UCA261" s="694"/>
      <c r="UCB261" s="694"/>
      <c r="UCC261" s="694"/>
      <c r="UCD261" s="694"/>
      <c r="UCE261" s="694"/>
      <c r="UCF261" s="717"/>
      <c r="UCG261" s="694"/>
      <c r="UCH261" s="694"/>
      <c r="UCI261" s="694"/>
      <c r="UCJ261" s="694"/>
      <c r="UCK261" s="694"/>
      <c r="UCL261" s="694"/>
      <c r="UCM261" s="694"/>
      <c r="UCN261" s="694"/>
      <c r="UCO261" s="694"/>
      <c r="UCP261" s="694"/>
      <c r="UCQ261" s="694"/>
      <c r="UCR261" s="694"/>
      <c r="UCS261" s="694"/>
      <c r="UCT261" s="694"/>
      <c r="UCU261" s="694"/>
      <c r="UCV261" s="694"/>
      <c r="UCW261" s="694"/>
      <c r="UCX261" s="694"/>
      <c r="UCY261" s="694"/>
      <c r="UCZ261" s="717"/>
      <c r="UDA261" s="694"/>
      <c r="UDB261" s="694"/>
      <c r="UDC261" s="694"/>
      <c r="UDD261" s="694"/>
      <c r="UDE261" s="694"/>
      <c r="UDF261" s="694"/>
      <c r="UDG261" s="694"/>
      <c r="UDH261" s="694"/>
      <c r="UDI261" s="694"/>
      <c r="UDJ261" s="694"/>
      <c r="UDK261" s="694"/>
      <c r="UDL261" s="694"/>
      <c r="UDM261" s="694"/>
      <c r="UDN261" s="694"/>
      <c r="UDO261" s="694"/>
      <c r="UDP261" s="694"/>
      <c r="UDQ261" s="694"/>
      <c r="UDR261" s="694"/>
      <c r="UDS261" s="694"/>
      <c r="UDT261" s="717"/>
      <c r="UDU261" s="694"/>
      <c r="UDV261" s="694"/>
      <c r="UDW261" s="694"/>
      <c r="UDX261" s="694"/>
      <c r="UDY261" s="694"/>
      <c r="UDZ261" s="694"/>
      <c r="UEA261" s="694"/>
      <c r="UEB261" s="694"/>
      <c r="UEC261" s="694"/>
      <c r="UED261" s="694"/>
      <c r="UEE261" s="694"/>
      <c r="UEF261" s="694"/>
      <c r="UEG261" s="694"/>
      <c r="UEH261" s="694"/>
      <c r="UEI261" s="694"/>
      <c r="UEJ261" s="694"/>
      <c r="UEK261" s="694"/>
      <c r="UEL261" s="694"/>
      <c r="UEM261" s="694"/>
      <c r="UEN261" s="717"/>
      <c r="UEO261" s="694"/>
      <c r="UEP261" s="694"/>
      <c r="UEQ261" s="694"/>
      <c r="UER261" s="694"/>
      <c r="UES261" s="694"/>
      <c r="UET261" s="694"/>
      <c r="UEU261" s="694"/>
      <c r="UEV261" s="694"/>
      <c r="UEW261" s="694"/>
      <c r="UEX261" s="694"/>
      <c r="UEY261" s="694"/>
      <c r="UEZ261" s="694"/>
      <c r="UFA261" s="694"/>
      <c r="UFB261" s="694"/>
      <c r="UFC261" s="694"/>
      <c r="UFD261" s="694"/>
      <c r="UFE261" s="694"/>
      <c r="UFF261" s="694"/>
      <c r="UFG261" s="694"/>
      <c r="UFH261" s="717"/>
      <c r="UFI261" s="694"/>
      <c r="UFJ261" s="694"/>
      <c r="UFK261" s="694"/>
      <c r="UFL261" s="694"/>
      <c r="UFM261" s="694"/>
      <c r="UFN261" s="694"/>
      <c r="UFO261" s="694"/>
      <c r="UFP261" s="694"/>
      <c r="UFQ261" s="694"/>
      <c r="UFR261" s="694"/>
      <c r="UFS261" s="694"/>
      <c r="UFT261" s="694"/>
      <c r="UFU261" s="694"/>
      <c r="UFV261" s="694"/>
      <c r="UFW261" s="694"/>
      <c r="UFX261" s="694"/>
      <c r="UFY261" s="694"/>
      <c r="UFZ261" s="694"/>
      <c r="UGA261" s="694"/>
      <c r="UGB261" s="717"/>
      <c r="UGC261" s="694"/>
      <c r="UGD261" s="694"/>
      <c r="UGE261" s="694"/>
      <c r="UGF261" s="694"/>
      <c r="UGG261" s="694"/>
      <c r="UGH261" s="694"/>
      <c r="UGI261" s="694"/>
      <c r="UGJ261" s="694"/>
      <c r="UGK261" s="694"/>
      <c r="UGL261" s="694"/>
      <c r="UGM261" s="694"/>
      <c r="UGN261" s="694"/>
      <c r="UGO261" s="694"/>
      <c r="UGP261" s="694"/>
      <c r="UGQ261" s="694"/>
      <c r="UGR261" s="694"/>
      <c r="UGS261" s="694"/>
      <c r="UGT261" s="694"/>
      <c r="UGU261" s="694"/>
      <c r="UGV261" s="717"/>
      <c r="UGW261" s="694"/>
      <c r="UGX261" s="694"/>
      <c r="UGY261" s="694"/>
      <c r="UGZ261" s="694"/>
      <c r="UHA261" s="694"/>
      <c r="UHB261" s="694"/>
      <c r="UHC261" s="694"/>
      <c r="UHD261" s="694"/>
      <c r="UHE261" s="694"/>
      <c r="UHF261" s="694"/>
      <c r="UHG261" s="694"/>
      <c r="UHH261" s="694"/>
      <c r="UHI261" s="694"/>
      <c r="UHJ261" s="694"/>
      <c r="UHK261" s="694"/>
      <c r="UHL261" s="694"/>
      <c r="UHM261" s="694"/>
      <c r="UHN261" s="694"/>
      <c r="UHO261" s="694"/>
      <c r="UHP261" s="717"/>
      <c r="UHQ261" s="694"/>
      <c r="UHR261" s="694"/>
      <c r="UHS261" s="694"/>
      <c r="UHT261" s="694"/>
      <c r="UHU261" s="694"/>
      <c r="UHV261" s="694"/>
      <c r="UHW261" s="694"/>
      <c r="UHX261" s="694"/>
      <c r="UHY261" s="694"/>
      <c r="UHZ261" s="694"/>
      <c r="UIA261" s="694"/>
      <c r="UIB261" s="694"/>
      <c r="UIC261" s="694"/>
      <c r="UID261" s="694"/>
      <c r="UIE261" s="694"/>
      <c r="UIF261" s="694"/>
      <c r="UIG261" s="694"/>
      <c r="UIH261" s="694"/>
      <c r="UII261" s="694"/>
      <c r="UIJ261" s="717"/>
      <c r="UIK261" s="694"/>
      <c r="UIL261" s="694"/>
      <c r="UIM261" s="694"/>
      <c r="UIN261" s="694"/>
      <c r="UIO261" s="694"/>
      <c r="UIP261" s="694"/>
      <c r="UIQ261" s="694"/>
      <c r="UIR261" s="694"/>
      <c r="UIS261" s="694"/>
      <c r="UIT261" s="694"/>
      <c r="UIU261" s="694"/>
      <c r="UIV261" s="694"/>
      <c r="UIW261" s="694"/>
      <c r="UIX261" s="694"/>
      <c r="UIY261" s="694"/>
      <c r="UIZ261" s="694"/>
      <c r="UJA261" s="694"/>
      <c r="UJB261" s="694"/>
      <c r="UJC261" s="694"/>
      <c r="UJD261" s="717"/>
      <c r="UJE261" s="694"/>
      <c r="UJF261" s="694"/>
      <c r="UJG261" s="694"/>
      <c r="UJH261" s="694"/>
      <c r="UJI261" s="694"/>
      <c r="UJJ261" s="694"/>
      <c r="UJK261" s="694"/>
      <c r="UJL261" s="694"/>
      <c r="UJM261" s="694"/>
      <c r="UJN261" s="694"/>
      <c r="UJO261" s="694"/>
      <c r="UJP261" s="694"/>
      <c r="UJQ261" s="694"/>
      <c r="UJR261" s="694"/>
      <c r="UJS261" s="694"/>
      <c r="UJT261" s="694"/>
      <c r="UJU261" s="694"/>
      <c r="UJV261" s="694"/>
      <c r="UJW261" s="694"/>
      <c r="UJX261" s="717"/>
      <c r="UJY261" s="694"/>
      <c r="UJZ261" s="694"/>
      <c r="UKA261" s="694"/>
      <c r="UKB261" s="694"/>
      <c r="UKC261" s="694"/>
      <c r="UKD261" s="694"/>
      <c r="UKE261" s="694"/>
      <c r="UKF261" s="694"/>
      <c r="UKG261" s="694"/>
      <c r="UKH261" s="694"/>
      <c r="UKI261" s="694"/>
      <c r="UKJ261" s="694"/>
      <c r="UKK261" s="694"/>
      <c r="UKL261" s="694"/>
      <c r="UKM261" s="694"/>
      <c r="UKN261" s="694"/>
      <c r="UKO261" s="694"/>
      <c r="UKP261" s="694"/>
      <c r="UKQ261" s="694"/>
      <c r="UKR261" s="717"/>
      <c r="UKS261" s="694"/>
      <c r="UKT261" s="694"/>
      <c r="UKU261" s="694"/>
      <c r="UKV261" s="694"/>
      <c r="UKW261" s="694"/>
      <c r="UKX261" s="694"/>
      <c r="UKY261" s="694"/>
      <c r="UKZ261" s="694"/>
      <c r="ULA261" s="694"/>
      <c r="ULB261" s="694"/>
      <c r="ULC261" s="694"/>
      <c r="ULD261" s="694"/>
      <c r="ULE261" s="694"/>
      <c r="ULF261" s="694"/>
      <c r="ULG261" s="694"/>
      <c r="ULH261" s="694"/>
      <c r="ULI261" s="694"/>
      <c r="ULJ261" s="694"/>
      <c r="ULK261" s="694"/>
      <c r="ULL261" s="717"/>
      <c r="ULM261" s="694"/>
      <c r="ULN261" s="694"/>
      <c r="ULO261" s="694"/>
      <c r="ULP261" s="694"/>
      <c r="ULQ261" s="694"/>
      <c r="ULR261" s="694"/>
      <c r="ULS261" s="694"/>
      <c r="ULT261" s="694"/>
      <c r="ULU261" s="694"/>
      <c r="ULV261" s="694"/>
      <c r="ULW261" s="694"/>
      <c r="ULX261" s="694"/>
      <c r="ULY261" s="694"/>
      <c r="ULZ261" s="694"/>
      <c r="UMA261" s="694"/>
      <c r="UMB261" s="694"/>
      <c r="UMC261" s="694"/>
      <c r="UMD261" s="694"/>
      <c r="UME261" s="694"/>
      <c r="UMF261" s="717"/>
      <c r="UMG261" s="694"/>
      <c r="UMH261" s="694"/>
      <c r="UMI261" s="694"/>
      <c r="UMJ261" s="694"/>
      <c r="UMK261" s="694"/>
      <c r="UML261" s="694"/>
      <c r="UMM261" s="694"/>
      <c r="UMN261" s="694"/>
      <c r="UMO261" s="694"/>
      <c r="UMP261" s="694"/>
      <c r="UMQ261" s="694"/>
      <c r="UMR261" s="694"/>
      <c r="UMS261" s="694"/>
      <c r="UMT261" s="694"/>
      <c r="UMU261" s="694"/>
      <c r="UMV261" s="694"/>
      <c r="UMW261" s="694"/>
      <c r="UMX261" s="694"/>
      <c r="UMY261" s="694"/>
      <c r="UMZ261" s="717"/>
      <c r="UNA261" s="694"/>
      <c r="UNB261" s="694"/>
      <c r="UNC261" s="694"/>
      <c r="UND261" s="694"/>
      <c r="UNE261" s="694"/>
      <c r="UNF261" s="694"/>
      <c r="UNG261" s="694"/>
      <c r="UNH261" s="694"/>
      <c r="UNI261" s="694"/>
      <c r="UNJ261" s="694"/>
      <c r="UNK261" s="694"/>
      <c r="UNL261" s="694"/>
      <c r="UNM261" s="694"/>
      <c r="UNN261" s="694"/>
      <c r="UNO261" s="694"/>
      <c r="UNP261" s="694"/>
      <c r="UNQ261" s="694"/>
      <c r="UNR261" s="694"/>
      <c r="UNS261" s="694"/>
      <c r="UNT261" s="717"/>
      <c r="UNU261" s="694"/>
      <c r="UNV261" s="694"/>
      <c r="UNW261" s="694"/>
      <c r="UNX261" s="694"/>
      <c r="UNY261" s="694"/>
      <c r="UNZ261" s="694"/>
      <c r="UOA261" s="694"/>
      <c r="UOB261" s="694"/>
      <c r="UOC261" s="694"/>
      <c r="UOD261" s="694"/>
      <c r="UOE261" s="694"/>
      <c r="UOF261" s="694"/>
      <c r="UOG261" s="694"/>
      <c r="UOH261" s="694"/>
      <c r="UOI261" s="694"/>
      <c r="UOJ261" s="694"/>
      <c r="UOK261" s="694"/>
      <c r="UOL261" s="694"/>
      <c r="UOM261" s="694"/>
      <c r="UON261" s="717"/>
      <c r="UOO261" s="694"/>
      <c r="UOP261" s="694"/>
      <c r="UOQ261" s="694"/>
      <c r="UOR261" s="694"/>
      <c r="UOS261" s="694"/>
      <c r="UOT261" s="694"/>
      <c r="UOU261" s="694"/>
      <c r="UOV261" s="694"/>
      <c r="UOW261" s="694"/>
      <c r="UOX261" s="694"/>
      <c r="UOY261" s="694"/>
      <c r="UOZ261" s="694"/>
      <c r="UPA261" s="694"/>
      <c r="UPB261" s="694"/>
      <c r="UPC261" s="694"/>
      <c r="UPD261" s="694"/>
      <c r="UPE261" s="694"/>
      <c r="UPF261" s="694"/>
      <c r="UPG261" s="694"/>
      <c r="UPH261" s="717"/>
      <c r="UPI261" s="694"/>
      <c r="UPJ261" s="694"/>
      <c r="UPK261" s="694"/>
      <c r="UPL261" s="694"/>
      <c r="UPM261" s="694"/>
      <c r="UPN261" s="694"/>
      <c r="UPO261" s="694"/>
      <c r="UPP261" s="694"/>
      <c r="UPQ261" s="694"/>
      <c r="UPR261" s="694"/>
      <c r="UPS261" s="694"/>
      <c r="UPT261" s="694"/>
      <c r="UPU261" s="694"/>
      <c r="UPV261" s="694"/>
      <c r="UPW261" s="694"/>
      <c r="UPX261" s="694"/>
      <c r="UPY261" s="694"/>
      <c r="UPZ261" s="694"/>
      <c r="UQA261" s="694"/>
      <c r="UQB261" s="717"/>
      <c r="UQC261" s="694"/>
      <c r="UQD261" s="694"/>
      <c r="UQE261" s="694"/>
      <c r="UQF261" s="694"/>
      <c r="UQG261" s="694"/>
      <c r="UQH261" s="694"/>
      <c r="UQI261" s="694"/>
      <c r="UQJ261" s="694"/>
      <c r="UQK261" s="694"/>
      <c r="UQL261" s="694"/>
      <c r="UQM261" s="694"/>
      <c r="UQN261" s="694"/>
      <c r="UQO261" s="694"/>
      <c r="UQP261" s="694"/>
      <c r="UQQ261" s="694"/>
      <c r="UQR261" s="694"/>
      <c r="UQS261" s="694"/>
      <c r="UQT261" s="694"/>
      <c r="UQU261" s="694"/>
      <c r="UQV261" s="717"/>
      <c r="UQW261" s="694"/>
      <c r="UQX261" s="694"/>
      <c r="UQY261" s="694"/>
      <c r="UQZ261" s="694"/>
      <c r="URA261" s="694"/>
      <c r="URB261" s="694"/>
      <c r="URC261" s="694"/>
      <c r="URD261" s="694"/>
      <c r="URE261" s="694"/>
      <c r="URF261" s="694"/>
      <c r="URG261" s="694"/>
      <c r="URH261" s="694"/>
      <c r="URI261" s="694"/>
      <c r="URJ261" s="694"/>
      <c r="URK261" s="694"/>
      <c r="URL261" s="694"/>
      <c r="URM261" s="694"/>
      <c r="URN261" s="694"/>
      <c r="URO261" s="694"/>
      <c r="URP261" s="717"/>
      <c r="URQ261" s="694"/>
      <c r="URR261" s="694"/>
      <c r="URS261" s="694"/>
      <c r="URT261" s="694"/>
      <c r="URU261" s="694"/>
      <c r="URV261" s="694"/>
      <c r="URW261" s="694"/>
      <c r="URX261" s="694"/>
      <c r="URY261" s="694"/>
      <c r="URZ261" s="694"/>
      <c r="USA261" s="694"/>
      <c r="USB261" s="694"/>
      <c r="USC261" s="694"/>
      <c r="USD261" s="694"/>
      <c r="USE261" s="694"/>
      <c r="USF261" s="694"/>
      <c r="USG261" s="694"/>
      <c r="USH261" s="694"/>
      <c r="USI261" s="694"/>
      <c r="USJ261" s="717"/>
      <c r="USK261" s="694"/>
      <c r="USL261" s="694"/>
      <c r="USM261" s="694"/>
      <c r="USN261" s="694"/>
      <c r="USO261" s="694"/>
      <c r="USP261" s="694"/>
      <c r="USQ261" s="694"/>
      <c r="USR261" s="694"/>
      <c r="USS261" s="694"/>
      <c r="UST261" s="694"/>
      <c r="USU261" s="694"/>
      <c r="USV261" s="694"/>
      <c r="USW261" s="694"/>
      <c r="USX261" s="694"/>
      <c r="USY261" s="694"/>
      <c r="USZ261" s="694"/>
      <c r="UTA261" s="694"/>
      <c r="UTB261" s="694"/>
      <c r="UTC261" s="694"/>
      <c r="UTD261" s="717"/>
      <c r="UTE261" s="694"/>
      <c r="UTF261" s="694"/>
      <c r="UTG261" s="694"/>
      <c r="UTH261" s="694"/>
      <c r="UTI261" s="694"/>
      <c r="UTJ261" s="694"/>
      <c r="UTK261" s="694"/>
      <c r="UTL261" s="694"/>
      <c r="UTM261" s="694"/>
      <c r="UTN261" s="694"/>
      <c r="UTO261" s="694"/>
      <c r="UTP261" s="694"/>
      <c r="UTQ261" s="694"/>
      <c r="UTR261" s="694"/>
      <c r="UTS261" s="694"/>
      <c r="UTT261" s="694"/>
      <c r="UTU261" s="694"/>
      <c r="UTV261" s="694"/>
      <c r="UTW261" s="694"/>
      <c r="UTX261" s="717"/>
      <c r="UTY261" s="694"/>
      <c r="UTZ261" s="694"/>
      <c r="UUA261" s="694"/>
      <c r="UUB261" s="694"/>
      <c r="UUC261" s="694"/>
      <c r="UUD261" s="694"/>
      <c r="UUE261" s="694"/>
      <c r="UUF261" s="694"/>
      <c r="UUG261" s="694"/>
      <c r="UUH261" s="694"/>
      <c r="UUI261" s="694"/>
      <c r="UUJ261" s="694"/>
      <c r="UUK261" s="694"/>
      <c r="UUL261" s="694"/>
      <c r="UUM261" s="694"/>
      <c r="UUN261" s="694"/>
      <c r="UUO261" s="694"/>
      <c r="UUP261" s="694"/>
      <c r="UUQ261" s="694"/>
      <c r="UUR261" s="717"/>
      <c r="UUS261" s="694"/>
      <c r="UUT261" s="694"/>
      <c r="UUU261" s="694"/>
      <c r="UUV261" s="694"/>
      <c r="UUW261" s="694"/>
      <c r="UUX261" s="694"/>
      <c r="UUY261" s="694"/>
      <c r="UUZ261" s="694"/>
      <c r="UVA261" s="694"/>
      <c r="UVB261" s="694"/>
      <c r="UVC261" s="694"/>
      <c r="UVD261" s="694"/>
      <c r="UVE261" s="694"/>
      <c r="UVF261" s="694"/>
      <c r="UVG261" s="694"/>
      <c r="UVH261" s="694"/>
      <c r="UVI261" s="694"/>
      <c r="UVJ261" s="694"/>
      <c r="UVK261" s="694"/>
      <c r="UVL261" s="717"/>
      <c r="UVM261" s="694"/>
      <c r="UVN261" s="694"/>
      <c r="UVO261" s="694"/>
      <c r="UVP261" s="694"/>
      <c r="UVQ261" s="694"/>
      <c r="UVR261" s="694"/>
      <c r="UVS261" s="694"/>
      <c r="UVT261" s="694"/>
      <c r="UVU261" s="694"/>
      <c r="UVV261" s="694"/>
      <c r="UVW261" s="694"/>
      <c r="UVX261" s="694"/>
      <c r="UVY261" s="694"/>
      <c r="UVZ261" s="694"/>
      <c r="UWA261" s="694"/>
      <c r="UWB261" s="694"/>
      <c r="UWC261" s="694"/>
      <c r="UWD261" s="694"/>
      <c r="UWE261" s="694"/>
      <c r="UWF261" s="717"/>
      <c r="UWG261" s="694"/>
      <c r="UWH261" s="694"/>
      <c r="UWI261" s="694"/>
      <c r="UWJ261" s="694"/>
      <c r="UWK261" s="694"/>
      <c r="UWL261" s="694"/>
      <c r="UWM261" s="694"/>
      <c r="UWN261" s="694"/>
      <c r="UWO261" s="694"/>
      <c r="UWP261" s="694"/>
      <c r="UWQ261" s="694"/>
      <c r="UWR261" s="694"/>
      <c r="UWS261" s="694"/>
      <c r="UWT261" s="694"/>
      <c r="UWU261" s="694"/>
      <c r="UWV261" s="694"/>
      <c r="UWW261" s="694"/>
      <c r="UWX261" s="694"/>
      <c r="UWY261" s="694"/>
      <c r="UWZ261" s="717"/>
      <c r="UXA261" s="694"/>
      <c r="UXB261" s="694"/>
      <c r="UXC261" s="694"/>
      <c r="UXD261" s="694"/>
      <c r="UXE261" s="694"/>
      <c r="UXF261" s="694"/>
      <c r="UXG261" s="694"/>
      <c r="UXH261" s="694"/>
      <c r="UXI261" s="694"/>
      <c r="UXJ261" s="694"/>
      <c r="UXK261" s="694"/>
      <c r="UXL261" s="694"/>
      <c r="UXM261" s="694"/>
      <c r="UXN261" s="694"/>
      <c r="UXO261" s="694"/>
      <c r="UXP261" s="694"/>
      <c r="UXQ261" s="694"/>
      <c r="UXR261" s="694"/>
      <c r="UXS261" s="694"/>
      <c r="UXT261" s="717"/>
      <c r="UXU261" s="694"/>
      <c r="UXV261" s="694"/>
      <c r="UXW261" s="694"/>
      <c r="UXX261" s="694"/>
      <c r="UXY261" s="694"/>
      <c r="UXZ261" s="694"/>
      <c r="UYA261" s="694"/>
      <c r="UYB261" s="694"/>
      <c r="UYC261" s="694"/>
      <c r="UYD261" s="694"/>
      <c r="UYE261" s="694"/>
      <c r="UYF261" s="694"/>
      <c r="UYG261" s="694"/>
      <c r="UYH261" s="694"/>
      <c r="UYI261" s="694"/>
      <c r="UYJ261" s="694"/>
      <c r="UYK261" s="694"/>
      <c r="UYL261" s="694"/>
      <c r="UYM261" s="694"/>
      <c r="UYN261" s="717"/>
      <c r="UYO261" s="694"/>
      <c r="UYP261" s="694"/>
      <c r="UYQ261" s="694"/>
      <c r="UYR261" s="694"/>
      <c r="UYS261" s="694"/>
      <c r="UYT261" s="694"/>
      <c r="UYU261" s="694"/>
      <c r="UYV261" s="694"/>
      <c r="UYW261" s="694"/>
      <c r="UYX261" s="694"/>
      <c r="UYY261" s="694"/>
      <c r="UYZ261" s="694"/>
      <c r="UZA261" s="694"/>
      <c r="UZB261" s="694"/>
      <c r="UZC261" s="694"/>
      <c r="UZD261" s="694"/>
      <c r="UZE261" s="694"/>
      <c r="UZF261" s="694"/>
      <c r="UZG261" s="694"/>
      <c r="UZH261" s="717"/>
      <c r="UZI261" s="694"/>
      <c r="UZJ261" s="694"/>
      <c r="UZK261" s="694"/>
      <c r="UZL261" s="694"/>
      <c r="UZM261" s="694"/>
      <c r="UZN261" s="694"/>
      <c r="UZO261" s="694"/>
      <c r="UZP261" s="694"/>
      <c r="UZQ261" s="694"/>
      <c r="UZR261" s="694"/>
      <c r="UZS261" s="694"/>
      <c r="UZT261" s="694"/>
      <c r="UZU261" s="694"/>
      <c r="UZV261" s="694"/>
      <c r="UZW261" s="694"/>
      <c r="UZX261" s="694"/>
      <c r="UZY261" s="694"/>
      <c r="UZZ261" s="694"/>
      <c r="VAA261" s="694"/>
      <c r="VAB261" s="717"/>
      <c r="VAC261" s="694"/>
      <c r="VAD261" s="694"/>
      <c r="VAE261" s="694"/>
      <c r="VAF261" s="694"/>
      <c r="VAG261" s="694"/>
      <c r="VAH261" s="694"/>
      <c r="VAI261" s="694"/>
      <c r="VAJ261" s="694"/>
      <c r="VAK261" s="694"/>
      <c r="VAL261" s="694"/>
      <c r="VAM261" s="694"/>
      <c r="VAN261" s="694"/>
      <c r="VAO261" s="694"/>
      <c r="VAP261" s="694"/>
      <c r="VAQ261" s="694"/>
      <c r="VAR261" s="694"/>
      <c r="VAS261" s="694"/>
      <c r="VAT261" s="694"/>
      <c r="VAU261" s="694"/>
      <c r="VAV261" s="717"/>
      <c r="VAW261" s="694"/>
      <c r="VAX261" s="694"/>
      <c r="VAY261" s="694"/>
      <c r="VAZ261" s="694"/>
      <c r="VBA261" s="694"/>
      <c r="VBB261" s="694"/>
      <c r="VBC261" s="694"/>
      <c r="VBD261" s="694"/>
      <c r="VBE261" s="694"/>
      <c r="VBF261" s="694"/>
      <c r="VBG261" s="694"/>
      <c r="VBH261" s="694"/>
      <c r="VBI261" s="694"/>
      <c r="VBJ261" s="694"/>
      <c r="VBK261" s="694"/>
      <c r="VBL261" s="694"/>
      <c r="VBM261" s="694"/>
      <c r="VBN261" s="694"/>
      <c r="VBO261" s="694"/>
      <c r="VBP261" s="717"/>
      <c r="VBQ261" s="694"/>
      <c r="VBR261" s="694"/>
      <c r="VBS261" s="694"/>
      <c r="VBT261" s="694"/>
      <c r="VBU261" s="694"/>
      <c r="VBV261" s="694"/>
      <c r="VBW261" s="694"/>
      <c r="VBX261" s="694"/>
      <c r="VBY261" s="694"/>
      <c r="VBZ261" s="694"/>
      <c r="VCA261" s="694"/>
      <c r="VCB261" s="694"/>
      <c r="VCC261" s="694"/>
      <c r="VCD261" s="694"/>
      <c r="VCE261" s="694"/>
      <c r="VCF261" s="694"/>
      <c r="VCG261" s="694"/>
      <c r="VCH261" s="694"/>
      <c r="VCI261" s="694"/>
      <c r="VCJ261" s="717"/>
      <c r="VCK261" s="694"/>
      <c r="VCL261" s="694"/>
      <c r="VCM261" s="694"/>
      <c r="VCN261" s="694"/>
      <c r="VCO261" s="694"/>
      <c r="VCP261" s="694"/>
      <c r="VCQ261" s="694"/>
      <c r="VCR261" s="694"/>
      <c r="VCS261" s="694"/>
      <c r="VCT261" s="694"/>
      <c r="VCU261" s="694"/>
      <c r="VCV261" s="694"/>
      <c r="VCW261" s="694"/>
      <c r="VCX261" s="694"/>
      <c r="VCY261" s="694"/>
      <c r="VCZ261" s="694"/>
      <c r="VDA261" s="694"/>
      <c r="VDB261" s="694"/>
      <c r="VDC261" s="694"/>
      <c r="VDD261" s="717"/>
      <c r="VDE261" s="694"/>
      <c r="VDF261" s="694"/>
      <c r="VDG261" s="694"/>
      <c r="VDH261" s="694"/>
      <c r="VDI261" s="694"/>
      <c r="VDJ261" s="694"/>
      <c r="VDK261" s="694"/>
      <c r="VDL261" s="694"/>
      <c r="VDM261" s="694"/>
      <c r="VDN261" s="694"/>
      <c r="VDO261" s="694"/>
      <c r="VDP261" s="694"/>
      <c r="VDQ261" s="694"/>
      <c r="VDR261" s="694"/>
      <c r="VDS261" s="694"/>
      <c r="VDT261" s="694"/>
      <c r="VDU261" s="694"/>
      <c r="VDV261" s="694"/>
      <c r="VDW261" s="694"/>
      <c r="VDX261" s="717"/>
      <c r="VDY261" s="694"/>
      <c r="VDZ261" s="694"/>
      <c r="VEA261" s="694"/>
      <c r="VEB261" s="694"/>
      <c r="VEC261" s="694"/>
      <c r="VED261" s="694"/>
      <c r="VEE261" s="694"/>
      <c r="VEF261" s="694"/>
      <c r="VEG261" s="694"/>
      <c r="VEH261" s="694"/>
      <c r="VEI261" s="694"/>
      <c r="VEJ261" s="694"/>
      <c r="VEK261" s="694"/>
      <c r="VEL261" s="694"/>
      <c r="VEM261" s="694"/>
      <c r="VEN261" s="694"/>
      <c r="VEO261" s="694"/>
      <c r="VEP261" s="694"/>
      <c r="VEQ261" s="694"/>
      <c r="VER261" s="717"/>
      <c r="VES261" s="694"/>
      <c r="VET261" s="694"/>
      <c r="VEU261" s="694"/>
      <c r="VEV261" s="694"/>
      <c r="VEW261" s="694"/>
      <c r="VEX261" s="694"/>
      <c r="VEY261" s="694"/>
      <c r="VEZ261" s="694"/>
      <c r="VFA261" s="694"/>
      <c r="VFB261" s="694"/>
      <c r="VFC261" s="694"/>
      <c r="VFD261" s="694"/>
      <c r="VFE261" s="694"/>
      <c r="VFF261" s="694"/>
      <c r="VFG261" s="694"/>
      <c r="VFH261" s="694"/>
      <c r="VFI261" s="694"/>
      <c r="VFJ261" s="694"/>
      <c r="VFK261" s="694"/>
      <c r="VFL261" s="717"/>
      <c r="VFM261" s="694"/>
      <c r="VFN261" s="694"/>
      <c r="VFO261" s="694"/>
      <c r="VFP261" s="694"/>
      <c r="VFQ261" s="694"/>
      <c r="VFR261" s="694"/>
      <c r="VFS261" s="694"/>
      <c r="VFT261" s="694"/>
      <c r="VFU261" s="694"/>
      <c r="VFV261" s="694"/>
      <c r="VFW261" s="694"/>
      <c r="VFX261" s="694"/>
      <c r="VFY261" s="694"/>
      <c r="VFZ261" s="694"/>
      <c r="VGA261" s="694"/>
      <c r="VGB261" s="694"/>
      <c r="VGC261" s="694"/>
      <c r="VGD261" s="694"/>
      <c r="VGE261" s="694"/>
      <c r="VGF261" s="717"/>
      <c r="VGG261" s="694"/>
      <c r="VGH261" s="694"/>
      <c r="VGI261" s="694"/>
      <c r="VGJ261" s="694"/>
      <c r="VGK261" s="694"/>
      <c r="VGL261" s="694"/>
      <c r="VGM261" s="694"/>
      <c r="VGN261" s="694"/>
      <c r="VGO261" s="694"/>
      <c r="VGP261" s="694"/>
      <c r="VGQ261" s="694"/>
      <c r="VGR261" s="694"/>
      <c r="VGS261" s="694"/>
      <c r="VGT261" s="694"/>
      <c r="VGU261" s="694"/>
      <c r="VGV261" s="694"/>
      <c r="VGW261" s="694"/>
      <c r="VGX261" s="694"/>
      <c r="VGY261" s="694"/>
      <c r="VGZ261" s="717"/>
      <c r="VHA261" s="694"/>
      <c r="VHB261" s="694"/>
      <c r="VHC261" s="694"/>
      <c r="VHD261" s="694"/>
      <c r="VHE261" s="694"/>
      <c r="VHF261" s="694"/>
      <c r="VHG261" s="694"/>
      <c r="VHH261" s="694"/>
      <c r="VHI261" s="694"/>
      <c r="VHJ261" s="694"/>
      <c r="VHK261" s="694"/>
      <c r="VHL261" s="694"/>
      <c r="VHM261" s="694"/>
      <c r="VHN261" s="694"/>
      <c r="VHO261" s="694"/>
      <c r="VHP261" s="694"/>
      <c r="VHQ261" s="694"/>
      <c r="VHR261" s="694"/>
      <c r="VHS261" s="694"/>
      <c r="VHT261" s="717"/>
      <c r="VHU261" s="694"/>
      <c r="VHV261" s="694"/>
      <c r="VHW261" s="694"/>
      <c r="VHX261" s="694"/>
      <c r="VHY261" s="694"/>
      <c r="VHZ261" s="694"/>
      <c r="VIA261" s="694"/>
      <c r="VIB261" s="694"/>
      <c r="VIC261" s="694"/>
      <c r="VID261" s="694"/>
      <c r="VIE261" s="694"/>
      <c r="VIF261" s="694"/>
      <c r="VIG261" s="694"/>
      <c r="VIH261" s="694"/>
      <c r="VII261" s="694"/>
      <c r="VIJ261" s="694"/>
      <c r="VIK261" s="694"/>
      <c r="VIL261" s="694"/>
      <c r="VIM261" s="694"/>
      <c r="VIN261" s="717"/>
      <c r="VIO261" s="694"/>
      <c r="VIP261" s="694"/>
      <c r="VIQ261" s="694"/>
      <c r="VIR261" s="694"/>
      <c r="VIS261" s="694"/>
      <c r="VIT261" s="694"/>
      <c r="VIU261" s="694"/>
      <c r="VIV261" s="694"/>
      <c r="VIW261" s="694"/>
      <c r="VIX261" s="694"/>
      <c r="VIY261" s="694"/>
      <c r="VIZ261" s="694"/>
      <c r="VJA261" s="694"/>
      <c r="VJB261" s="694"/>
      <c r="VJC261" s="694"/>
      <c r="VJD261" s="694"/>
      <c r="VJE261" s="694"/>
      <c r="VJF261" s="694"/>
      <c r="VJG261" s="694"/>
      <c r="VJH261" s="717"/>
      <c r="VJI261" s="694"/>
      <c r="VJJ261" s="694"/>
      <c r="VJK261" s="694"/>
      <c r="VJL261" s="694"/>
      <c r="VJM261" s="694"/>
      <c r="VJN261" s="694"/>
      <c r="VJO261" s="694"/>
      <c r="VJP261" s="694"/>
      <c r="VJQ261" s="694"/>
      <c r="VJR261" s="694"/>
      <c r="VJS261" s="694"/>
      <c r="VJT261" s="694"/>
      <c r="VJU261" s="694"/>
      <c r="VJV261" s="694"/>
      <c r="VJW261" s="694"/>
      <c r="VJX261" s="694"/>
      <c r="VJY261" s="694"/>
      <c r="VJZ261" s="694"/>
      <c r="VKA261" s="694"/>
      <c r="VKB261" s="717"/>
      <c r="VKC261" s="694"/>
      <c r="VKD261" s="694"/>
      <c r="VKE261" s="694"/>
      <c r="VKF261" s="694"/>
      <c r="VKG261" s="694"/>
      <c r="VKH261" s="694"/>
      <c r="VKI261" s="694"/>
      <c r="VKJ261" s="694"/>
      <c r="VKK261" s="694"/>
      <c r="VKL261" s="694"/>
      <c r="VKM261" s="694"/>
      <c r="VKN261" s="694"/>
      <c r="VKO261" s="694"/>
      <c r="VKP261" s="694"/>
      <c r="VKQ261" s="694"/>
      <c r="VKR261" s="694"/>
      <c r="VKS261" s="694"/>
      <c r="VKT261" s="694"/>
      <c r="VKU261" s="694"/>
      <c r="VKV261" s="717"/>
      <c r="VKW261" s="694"/>
      <c r="VKX261" s="694"/>
      <c r="VKY261" s="694"/>
      <c r="VKZ261" s="694"/>
      <c r="VLA261" s="694"/>
      <c r="VLB261" s="694"/>
      <c r="VLC261" s="694"/>
      <c r="VLD261" s="694"/>
      <c r="VLE261" s="694"/>
      <c r="VLF261" s="694"/>
      <c r="VLG261" s="694"/>
      <c r="VLH261" s="694"/>
      <c r="VLI261" s="694"/>
      <c r="VLJ261" s="694"/>
      <c r="VLK261" s="694"/>
      <c r="VLL261" s="694"/>
      <c r="VLM261" s="694"/>
      <c r="VLN261" s="694"/>
      <c r="VLO261" s="694"/>
      <c r="VLP261" s="717"/>
      <c r="VLQ261" s="694"/>
      <c r="VLR261" s="694"/>
      <c r="VLS261" s="694"/>
      <c r="VLT261" s="694"/>
      <c r="VLU261" s="694"/>
      <c r="VLV261" s="694"/>
      <c r="VLW261" s="694"/>
      <c r="VLX261" s="694"/>
      <c r="VLY261" s="694"/>
      <c r="VLZ261" s="694"/>
      <c r="VMA261" s="694"/>
      <c r="VMB261" s="694"/>
      <c r="VMC261" s="694"/>
      <c r="VMD261" s="694"/>
      <c r="VME261" s="694"/>
      <c r="VMF261" s="694"/>
      <c r="VMG261" s="694"/>
      <c r="VMH261" s="694"/>
      <c r="VMI261" s="694"/>
      <c r="VMJ261" s="717"/>
      <c r="VMK261" s="694"/>
      <c r="VML261" s="694"/>
      <c r="VMM261" s="694"/>
      <c r="VMN261" s="694"/>
      <c r="VMO261" s="694"/>
      <c r="VMP261" s="694"/>
      <c r="VMQ261" s="694"/>
      <c r="VMR261" s="694"/>
      <c r="VMS261" s="694"/>
      <c r="VMT261" s="694"/>
      <c r="VMU261" s="694"/>
      <c r="VMV261" s="694"/>
      <c r="VMW261" s="694"/>
      <c r="VMX261" s="694"/>
      <c r="VMY261" s="694"/>
      <c r="VMZ261" s="694"/>
      <c r="VNA261" s="694"/>
      <c r="VNB261" s="694"/>
      <c r="VNC261" s="694"/>
      <c r="VND261" s="717"/>
      <c r="VNE261" s="694"/>
      <c r="VNF261" s="694"/>
      <c r="VNG261" s="694"/>
      <c r="VNH261" s="694"/>
      <c r="VNI261" s="694"/>
      <c r="VNJ261" s="694"/>
      <c r="VNK261" s="694"/>
      <c r="VNL261" s="694"/>
      <c r="VNM261" s="694"/>
      <c r="VNN261" s="694"/>
      <c r="VNO261" s="694"/>
      <c r="VNP261" s="694"/>
      <c r="VNQ261" s="694"/>
      <c r="VNR261" s="694"/>
      <c r="VNS261" s="694"/>
      <c r="VNT261" s="694"/>
      <c r="VNU261" s="694"/>
      <c r="VNV261" s="694"/>
      <c r="VNW261" s="694"/>
      <c r="VNX261" s="717"/>
      <c r="VNY261" s="694"/>
      <c r="VNZ261" s="694"/>
      <c r="VOA261" s="694"/>
      <c r="VOB261" s="694"/>
      <c r="VOC261" s="694"/>
      <c r="VOD261" s="694"/>
      <c r="VOE261" s="694"/>
      <c r="VOF261" s="694"/>
      <c r="VOG261" s="694"/>
      <c r="VOH261" s="694"/>
      <c r="VOI261" s="694"/>
      <c r="VOJ261" s="694"/>
      <c r="VOK261" s="694"/>
      <c r="VOL261" s="694"/>
      <c r="VOM261" s="694"/>
      <c r="VON261" s="694"/>
      <c r="VOO261" s="694"/>
      <c r="VOP261" s="694"/>
      <c r="VOQ261" s="694"/>
      <c r="VOR261" s="717"/>
      <c r="VOS261" s="694"/>
      <c r="VOT261" s="694"/>
      <c r="VOU261" s="694"/>
      <c r="VOV261" s="694"/>
      <c r="VOW261" s="694"/>
      <c r="VOX261" s="694"/>
      <c r="VOY261" s="694"/>
      <c r="VOZ261" s="694"/>
      <c r="VPA261" s="694"/>
      <c r="VPB261" s="694"/>
      <c r="VPC261" s="694"/>
      <c r="VPD261" s="694"/>
      <c r="VPE261" s="694"/>
      <c r="VPF261" s="694"/>
      <c r="VPG261" s="694"/>
      <c r="VPH261" s="694"/>
      <c r="VPI261" s="694"/>
      <c r="VPJ261" s="694"/>
      <c r="VPK261" s="694"/>
      <c r="VPL261" s="717"/>
      <c r="VPM261" s="694"/>
      <c r="VPN261" s="694"/>
      <c r="VPO261" s="694"/>
      <c r="VPP261" s="694"/>
      <c r="VPQ261" s="694"/>
      <c r="VPR261" s="694"/>
      <c r="VPS261" s="694"/>
      <c r="VPT261" s="694"/>
      <c r="VPU261" s="694"/>
      <c r="VPV261" s="694"/>
      <c r="VPW261" s="694"/>
      <c r="VPX261" s="694"/>
      <c r="VPY261" s="694"/>
      <c r="VPZ261" s="694"/>
      <c r="VQA261" s="694"/>
      <c r="VQB261" s="694"/>
      <c r="VQC261" s="694"/>
      <c r="VQD261" s="694"/>
      <c r="VQE261" s="694"/>
      <c r="VQF261" s="717"/>
      <c r="VQG261" s="694"/>
      <c r="VQH261" s="694"/>
      <c r="VQI261" s="694"/>
      <c r="VQJ261" s="694"/>
      <c r="VQK261" s="694"/>
      <c r="VQL261" s="694"/>
      <c r="VQM261" s="694"/>
      <c r="VQN261" s="694"/>
      <c r="VQO261" s="694"/>
      <c r="VQP261" s="694"/>
      <c r="VQQ261" s="694"/>
      <c r="VQR261" s="694"/>
      <c r="VQS261" s="694"/>
      <c r="VQT261" s="694"/>
      <c r="VQU261" s="694"/>
      <c r="VQV261" s="694"/>
      <c r="VQW261" s="694"/>
      <c r="VQX261" s="694"/>
      <c r="VQY261" s="694"/>
      <c r="VQZ261" s="717"/>
      <c r="VRA261" s="694"/>
      <c r="VRB261" s="694"/>
      <c r="VRC261" s="694"/>
      <c r="VRD261" s="694"/>
      <c r="VRE261" s="694"/>
      <c r="VRF261" s="694"/>
      <c r="VRG261" s="694"/>
      <c r="VRH261" s="694"/>
      <c r="VRI261" s="694"/>
      <c r="VRJ261" s="694"/>
      <c r="VRK261" s="694"/>
      <c r="VRL261" s="694"/>
      <c r="VRM261" s="694"/>
      <c r="VRN261" s="694"/>
      <c r="VRO261" s="694"/>
      <c r="VRP261" s="694"/>
      <c r="VRQ261" s="694"/>
      <c r="VRR261" s="694"/>
      <c r="VRS261" s="694"/>
      <c r="VRT261" s="717"/>
      <c r="VRU261" s="694"/>
      <c r="VRV261" s="694"/>
      <c r="VRW261" s="694"/>
      <c r="VRX261" s="694"/>
      <c r="VRY261" s="694"/>
      <c r="VRZ261" s="694"/>
      <c r="VSA261" s="694"/>
      <c r="VSB261" s="694"/>
      <c r="VSC261" s="694"/>
      <c r="VSD261" s="694"/>
      <c r="VSE261" s="694"/>
      <c r="VSF261" s="694"/>
      <c r="VSG261" s="694"/>
      <c r="VSH261" s="694"/>
      <c r="VSI261" s="694"/>
      <c r="VSJ261" s="694"/>
      <c r="VSK261" s="694"/>
      <c r="VSL261" s="694"/>
      <c r="VSM261" s="694"/>
      <c r="VSN261" s="717"/>
      <c r="VSO261" s="694"/>
      <c r="VSP261" s="694"/>
      <c r="VSQ261" s="694"/>
      <c r="VSR261" s="694"/>
      <c r="VSS261" s="694"/>
      <c r="VST261" s="694"/>
      <c r="VSU261" s="694"/>
      <c r="VSV261" s="694"/>
      <c r="VSW261" s="694"/>
      <c r="VSX261" s="694"/>
      <c r="VSY261" s="694"/>
      <c r="VSZ261" s="694"/>
      <c r="VTA261" s="694"/>
      <c r="VTB261" s="694"/>
      <c r="VTC261" s="694"/>
      <c r="VTD261" s="694"/>
      <c r="VTE261" s="694"/>
      <c r="VTF261" s="694"/>
      <c r="VTG261" s="694"/>
      <c r="VTH261" s="717"/>
      <c r="VTI261" s="694"/>
      <c r="VTJ261" s="694"/>
      <c r="VTK261" s="694"/>
      <c r="VTL261" s="694"/>
      <c r="VTM261" s="694"/>
      <c r="VTN261" s="694"/>
      <c r="VTO261" s="694"/>
      <c r="VTP261" s="694"/>
      <c r="VTQ261" s="694"/>
      <c r="VTR261" s="694"/>
      <c r="VTS261" s="694"/>
      <c r="VTT261" s="694"/>
      <c r="VTU261" s="694"/>
      <c r="VTV261" s="694"/>
      <c r="VTW261" s="694"/>
      <c r="VTX261" s="694"/>
      <c r="VTY261" s="694"/>
      <c r="VTZ261" s="694"/>
      <c r="VUA261" s="694"/>
      <c r="VUB261" s="717"/>
      <c r="VUC261" s="694"/>
      <c r="VUD261" s="694"/>
      <c r="VUE261" s="694"/>
      <c r="VUF261" s="694"/>
      <c r="VUG261" s="694"/>
      <c r="VUH261" s="694"/>
      <c r="VUI261" s="694"/>
      <c r="VUJ261" s="694"/>
      <c r="VUK261" s="694"/>
      <c r="VUL261" s="694"/>
      <c r="VUM261" s="694"/>
      <c r="VUN261" s="694"/>
      <c r="VUO261" s="694"/>
      <c r="VUP261" s="694"/>
      <c r="VUQ261" s="694"/>
      <c r="VUR261" s="694"/>
      <c r="VUS261" s="694"/>
      <c r="VUT261" s="694"/>
      <c r="VUU261" s="694"/>
      <c r="VUV261" s="717"/>
      <c r="VUW261" s="694"/>
      <c r="VUX261" s="694"/>
      <c r="VUY261" s="694"/>
      <c r="VUZ261" s="694"/>
      <c r="VVA261" s="694"/>
      <c r="VVB261" s="694"/>
      <c r="VVC261" s="694"/>
      <c r="VVD261" s="694"/>
      <c r="VVE261" s="694"/>
      <c r="VVF261" s="694"/>
      <c r="VVG261" s="694"/>
      <c r="VVH261" s="694"/>
      <c r="VVI261" s="694"/>
      <c r="VVJ261" s="694"/>
      <c r="VVK261" s="694"/>
      <c r="VVL261" s="694"/>
      <c r="VVM261" s="694"/>
      <c r="VVN261" s="694"/>
      <c r="VVO261" s="694"/>
      <c r="VVP261" s="717"/>
      <c r="VVQ261" s="694"/>
      <c r="VVR261" s="694"/>
      <c r="VVS261" s="694"/>
      <c r="VVT261" s="694"/>
      <c r="VVU261" s="694"/>
      <c r="VVV261" s="694"/>
      <c r="VVW261" s="694"/>
      <c r="VVX261" s="694"/>
      <c r="VVY261" s="694"/>
      <c r="VVZ261" s="694"/>
      <c r="VWA261" s="694"/>
      <c r="VWB261" s="694"/>
      <c r="VWC261" s="694"/>
      <c r="VWD261" s="694"/>
      <c r="VWE261" s="694"/>
      <c r="VWF261" s="694"/>
      <c r="VWG261" s="694"/>
      <c r="VWH261" s="694"/>
      <c r="VWI261" s="694"/>
      <c r="VWJ261" s="717"/>
      <c r="VWK261" s="694"/>
      <c r="VWL261" s="694"/>
      <c r="VWM261" s="694"/>
      <c r="VWN261" s="694"/>
      <c r="VWO261" s="694"/>
      <c r="VWP261" s="694"/>
      <c r="VWQ261" s="694"/>
      <c r="VWR261" s="694"/>
      <c r="VWS261" s="694"/>
      <c r="VWT261" s="694"/>
      <c r="VWU261" s="694"/>
      <c r="VWV261" s="694"/>
      <c r="VWW261" s="694"/>
      <c r="VWX261" s="694"/>
      <c r="VWY261" s="694"/>
      <c r="VWZ261" s="694"/>
      <c r="VXA261" s="694"/>
      <c r="VXB261" s="694"/>
      <c r="VXC261" s="694"/>
      <c r="VXD261" s="717"/>
      <c r="VXE261" s="694"/>
      <c r="VXF261" s="694"/>
      <c r="VXG261" s="694"/>
      <c r="VXH261" s="694"/>
      <c r="VXI261" s="694"/>
      <c r="VXJ261" s="694"/>
      <c r="VXK261" s="694"/>
      <c r="VXL261" s="694"/>
      <c r="VXM261" s="694"/>
      <c r="VXN261" s="694"/>
      <c r="VXO261" s="694"/>
      <c r="VXP261" s="694"/>
      <c r="VXQ261" s="694"/>
      <c r="VXR261" s="694"/>
      <c r="VXS261" s="694"/>
      <c r="VXT261" s="694"/>
      <c r="VXU261" s="694"/>
      <c r="VXV261" s="694"/>
      <c r="VXW261" s="694"/>
      <c r="VXX261" s="717"/>
      <c r="VXY261" s="694"/>
      <c r="VXZ261" s="694"/>
      <c r="VYA261" s="694"/>
      <c r="VYB261" s="694"/>
      <c r="VYC261" s="694"/>
      <c r="VYD261" s="694"/>
      <c r="VYE261" s="694"/>
      <c r="VYF261" s="694"/>
      <c r="VYG261" s="694"/>
      <c r="VYH261" s="694"/>
      <c r="VYI261" s="694"/>
      <c r="VYJ261" s="694"/>
      <c r="VYK261" s="694"/>
      <c r="VYL261" s="694"/>
      <c r="VYM261" s="694"/>
      <c r="VYN261" s="694"/>
      <c r="VYO261" s="694"/>
      <c r="VYP261" s="694"/>
      <c r="VYQ261" s="694"/>
      <c r="VYR261" s="717"/>
      <c r="VYS261" s="694"/>
      <c r="VYT261" s="694"/>
      <c r="VYU261" s="694"/>
      <c r="VYV261" s="694"/>
      <c r="VYW261" s="694"/>
      <c r="VYX261" s="694"/>
      <c r="VYY261" s="694"/>
      <c r="VYZ261" s="694"/>
      <c r="VZA261" s="694"/>
      <c r="VZB261" s="694"/>
      <c r="VZC261" s="694"/>
      <c r="VZD261" s="694"/>
      <c r="VZE261" s="694"/>
      <c r="VZF261" s="694"/>
      <c r="VZG261" s="694"/>
      <c r="VZH261" s="694"/>
      <c r="VZI261" s="694"/>
      <c r="VZJ261" s="694"/>
      <c r="VZK261" s="694"/>
      <c r="VZL261" s="717"/>
      <c r="VZM261" s="694"/>
      <c r="VZN261" s="694"/>
      <c r="VZO261" s="694"/>
      <c r="VZP261" s="694"/>
      <c r="VZQ261" s="694"/>
      <c r="VZR261" s="694"/>
      <c r="VZS261" s="694"/>
      <c r="VZT261" s="694"/>
      <c r="VZU261" s="694"/>
      <c r="VZV261" s="694"/>
      <c r="VZW261" s="694"/>
      <c r="VZX261" s="694"/>
      <c r="VZY261" s="694"/>
      <c r="VZZ261" s="694"/>
      <c r="WAA261" s="694"/>
      <c r="WAB261" s="694"/>
      <c r="WAC261" s="694"/>
      <c r="WAD261" s="694"/>
      <c r="WAE261" s="694"/>
      <c r="WAF261" s="717"/>
      <c r="WAG261" s="694"/>
      <c r="WAH261" s="694"/>
      <c r="WAI261" s="694"/>
      <c r="WAJ261" s="694"/>
      <c r="WAK261" s="694"/>
      <c r="WAL261" s="694"/>
      <c r="WAM261" s="694"/>
      <c r="WAN261" s="694"/>
      <c r="WAO261" s="694"/>
      <c r="WAP261" s="694"/>
      <c r="WAQ261" s="694"/>
      <c r="WAR261" s="694"/>
      <c r="WAS261" s="694"/>
      <c r="WAT261" s="694"/>
      <c r="WAU261" s="694"/>
      <c r="WAV261" s="694"/>
      <c r="WAW261" s="694"/>
      <c r="WAX261" s="694"/>
      <c r="WAY261" s="694"/>
      <c r="WAZ261" s="717"/>
      <c r="WBA261" s="694"/>
      <c r="WBB261" s="694"/>
      <c r="WBC261" s="694"/>
      <c r="WBD261" s="694"/>
      <c r="WBE261" s="694"/>
      <c r="WBF261" s="694"/>
      <c r="WBG261" s="694"/>
      <c r="WBH261" s="694"/>
      <c r="WBI261" s="694"/>
      <c r="WBJ261" s="694"/>
      <c r="WBK261" s="694"/>
      <c r="WBL261" s="694"/>
      <c r="WBM261" s="694"/>
      <c r="WBN261" s="694"/>
      <c r="WBO261" s="694"/>
      <c r="WBP261" s="694"/>
      <c r="WBQ261" s="694"/>
      <c r="WBR261" s="694"/>
      <c r="WBS261" s="694"/>
      <c r="WBT261" s="717"/>
      <c r="WBU261" s="694"/>
      <c r="WBV261" s="694"/>
      <c r="WBW261" s="694"/>
      <c r="WBX261" s="694"/>
      <c r="WBY261" s="694"/>
      <c r="WBZ261" s="694"/>
      <c r="WCA261" s="694"/>
      <c r="WCB261" s="694"/>
      <c r="WCC261" s="694"/>
      <c r="WCD261" s="694"/>
      <c r="WCE261" s="694"/>
      <c r="WCF261" s="694"/>
      <c r="WCG261" s="694"/>
      <c r="WCH261" s="694"/>
      <c r="WCI261" s="694"/>
      <c r="WCJ261" s="694"/>
      <c r="WCK261" s="694"/>
      <c r="WCL261" s="694"/>
      <c r="WCM261" s="694"/>
      <c r="WCN261" s="717"/>
      <c r="WCO261" s="694"/>
      <c r="WCP261" s="694"/>
      <c r="WCQ261" s="694"/>
      <c r="WCR261" s="694"/>
      <c r="WCS261" s="694"/>
      <c r="WCT261" s="694"/>
      <c r="WCU261" s="694"/>
      <c r="WCV261" s="694"/>
      <c r="WCW261" s="694"/>
      <c r="WCX261" s="694"/>
      <c r="WCY261" s="694"/>
      <c r="WCZ261" s="694"/>
      <c r="WDA261" s="694"/>
      <c r="WDB261" s="694"/>
      <c r="WDC261" s="694"/>
      <c r="WDD261" s="694"/>
      <c r="WDE261" s="694"/>
      <c r="WDF261" s="694"/>
      <c r="WDG261" s="694"/>
      <c r="WDH261" s="717"/>
      <c r="WDI261" s="694"/>
      <c r="WDJ261" s="694"/>
      <c r="WDK261" s="694"/>
      <c r="WDL261" s="694"/>
      <c r="WDM261" s="694"/>
      <c r="WDN261" s="694"/>
      <c r="WDO261" s="694"/>
      <c r="WDP261" s="694"/>
      <c r="WDQ261" s="694"/>
      <c r="WDR261" s="694"/>
      <c r="WDS261" s="694"/>
      <c r="WDT261" s="694"/>
      <c r="WDU261" s="694"/>
      <c r="WDV261" s="694"/>
      <c r="WDW261" s="694"/>
      <c r="WDX261" s="694"/>
      <c r="WDY261" s="694"/>
      <c r="WDZ261" s="694"/>
      <c r="WEA261" s="694"/>
      <c r="WEB261" s="717"/>
      <c r="WEC261" s="694"/>
      <c r="WED261" s="694"/>
      <c r="WEE261" s="694"/>
      <c r="WEF261" s="694"/>
      <c r="WEG261" s="694"/>
      <c r="WEH261" s="694"/>
      <c r="WEI261" s="694"/>
      <c r="WEJ261" s="694"/>
      <c r="WEK261" s="694"/>
      <c r="WEL261" s="694"/>
      <c r="WEM261" s="694"/>
      <c r="WEN261" s="694"/>
      <c r="WEO261" s="694"/>
      <c r="WEP261" s="694"/>
      <c r="WEQ261" s="694"/>
      <c r="WER261" s="694"/>
      <c r="WES261" s="694"/>
      <c r="WET261" s="694"/>
      <c r="WEU261" s="694"/>
      <c r="WEV261" s="717"/>
      <c r="WEW261" s="694"/>
      <c r="WEX261" s="694"/>
      <c r="WEY261" s="694"/>
      <c r="WEZ261" s="694"/>
      <c r="WFA261" s="694"/>
      <c r="WFB261" s="694"/>
      <c r="WFC261" s="694"/>
      <c r="WFD261" s="694"/>
      <c r="WFE261" s="694"/>
      <c r="WFF261" s="694"/>
      <c r="WFG261" s="694"/>
      <c r="WFH261" s="694"/>
      <c r="WFI261" s="694"/>
      <c r="WFJ261" s="694"/>
      <c r="WFK261" s="694"/>
      <c r="WFL261" s="694"/>
      <c r="WFM261" s="694"/>
      <c r="WFN261" s="694"/>
      <c r="WFO261" s="694"/>
      <c r="WFP261" s="717"/>
      <c r="WFQ261" s="694"/>
      <c r="WFR261" s="694"/>
      <c r="WFS261" s="694"/>
      <c r="WFT261" s="694"/>
      <c r="WFU261" s="694"/>
      <c r="WFV261" s="694"/>
      <c r="WFW261" s="694"/>
      <c r="WFX261" s="694"/>
      <c r="WFY261" s="694"/>
      <c r="WFZ261" s="694"/>
      <c r="WGA261" s="694"/>
      <c r="WGB261" s="694"/>
      <c r="WGC261" s="694"/>
      <c r="WGD261" s="694"/>
      <c r="WGE261" s="694"/>
      <c r="WGF261" s="694"/>
      <c r="WGG261" s="694"/>
      <c r="WGH261" s="694"/>
      <c r="WGI261" s="694"/>
      <c r="WGJ261" s="717"/>
      <c r="WGK261" s="694"/>
      <c r="WGL261" s="694"/>
      <c r="WGM261" s="694"/>
      <c r="WGN261" s="694"/>
      <c r="WGO261" s="694"/>
      <c r="WGP261" s="694"/>
      <c r="WGQ261" s="694"/>
      <c r="WGR261" s="694"/>
      <c r="WGS261" s="694"/>
      <c r="WGT261" s="694"/>
      <c r="WGU261" s="694"/>
      <c r="WGV261" s="694"/>
      <c r="WGW261" s="694"/>
      <c r="WGX261" s="694"/>
      <c r="WGY261" s="694"/>
      <c r="WGZ261" s="694"/>
      <c r="WHA261" s="694"/>
      <c r="WHB261" s="694"/>
      <c r="WHC261" s="694"/>
      <c r="WHD261" s="717"/>
      <c r="WHE261" s="694"/>
      <c r="WHF261" s="694"/>
      <c r="WHG261" s="694"/>
      <c r="WHH261" s="694"/>
      <c r="WHI261" s="694"/>
      <c r="WHJ261" s="694"/>
      <c r="WHK261" s="694"/>
      <c r="WHL261" s="694"/>
      <c r="WHM261" s="694"/>
      <c r="WHN261" s="694"/>
      <c r="WHO261" s="694"/>
      <c r="WHP261" s="694"/>
      <c r="WHQ261" s="694"/>
      <c r="WHR261" s="694"/>
      <c r="WHS261" s="694"/>
      <c r="WHT261" s="694"/>
      <c r="WHU261" s="694"/>
      <c r="WHV261" s="694"/>
      <c r="WHW261" s="694"/>
      <c r="WHX261" s="717"/>
      <c r="WHY261" s="694"/>
      <c r="WHZ261" s="694"/>
      <c r="WIA261" s="694"/>
      <c r="WIB261" s="694"/>
      <c r="WIC261" s="694"/>
      <c r="WID261" s="694"/>
      <c r="WIE261" s="694"/>
      <c r="WIF261" s="694"/>
      <c r="WIG261" s="694"/>
      <c r="WIH261" s="694"/>
      <c r="WII261" s="694"/>
      <c r="WIJ261" s="694"/>
      <c r="WIK261" s="694"/>
      <c r="WIL261" s="694"/>
      <c r="WIM261" s="694"/>
      <c r="WIN261" s="694"/>
      <c r="WIO261" s="694"/>
      <c r="WIP261" s="694"/>
      <c r="WIQ261" s="694"/>
      <c r="WIR261" s="717"/>
      <c r="WIS261" s="694"/>
      <c r="WIT261" s="694"/>
      <c r="WIU261" s="694"/>
      <c r="WIV261" s="694"/>
      <c r="WIW261" s="694"/>
      <c r="WIX261" s="694"/>
      <c r="WIY261" s="694"/>
      <c r="WIZ261" s="694"/>
      <c r="WJA261" s="694"/>
      <c r="WJB261" s="694"/>
      <c r="WJC261" s="694"/>
      <c r="WJD261" s="694"/>
      <c r="WJE261" s="694"/>
      <c r="WJF261" s="694"/>
      <c r="WJG261" s="694"/>
      <c r="WJH261" s="694"/>
      <c r="WJI261" s="694"/>
      <c r="WJJ261" s="694"/>
      <c r="WJK261" s="694"/>
      <c r="WJL261" s="717"/>
      <c r="WJM261" s="694"/>
      <c r="WJN261" s="694"/>
      <c r="WJO261" s="694"/>
      <c r="WJP261" s="694"/>
      <c r="WJQ261" s="694"/>
      <c r="WJR261" s="694"/>
      <c r="WJS261" s="694"/>
      <c r="WJT261" s="694"/>
      <c r="WJU261" s="694"/>
      <c r="WJV261" s="694"/>
      <c r="WJW261" s="694"/>
      <c r="WJX261" s="694"/>
      <c r="WJY261" s="694"/>
      <c r="WJZ261" s="694"/>
      <c r="WKA261" s="694"/>
      <c r="WKB261" s="694"/>
      <c r="WKC261" s="694"/>
      <c r="WKD261" s="694"/>
      <c r="WKE261" s="694"/>
      <c r="WKF261" s="717"/>
      <c r="WKG261" s="694"/>
      <c r="WKH261" s="694"/>
      <c r="WKI261" s="694"/>
      <c r="WKJ261" s="694"/>
      <c r="WKK261" s="694"/>
      <c r="WKL261" s="694"/>
      <c r="WKM261" s="694"/>
      <c r="WKN261" s="694"/>
      <c r="WKO261" s="694"/>
      <c r="WKP261" s="694"/>
      <c r="WKQ261" s="694"/>
      <c r="WKR261" s="694"/>
      <c r="WKS261" s="694"/>
      <c r="WKT261" s="694"/>
      <c r="WKU261" s="694"/>
      <c r="WKV261" s="694"/>
      <c r="WKW261" s="694"/>
      <c r="WKX261" s="694"/>
      <c r="WKY261" s="694"/>
      <c r="WKZ261" s="717"/>
      <c r="WLA261" s="694"/>
      <c r="WLB261" s="694"/>
      <c r="WLC261" s="694"/>
      <c r="WLD261" s="694"/>
      <c r="WLE261" s="694"/>
      <c r="WLF261" s="694"/>
      <c r="WLG261" s="694"/>
      <c r="WLH261" s="694"/>
      <c r="WLI261" s="694"/>
      <c r="WLJ261" s="694"/>
      <c r="WLK261" s="694"/>
      <c r="WLL261" s="694"/>
      <c r="WLM261" s="694"/>
      <c r="WLN261" s="694"/>
      <c r="WLO261" s="694"/>
      <c r="WLP261" s="694"/>
      <c r="WLQ261" s="694"/>
      <c r="WLR261" s="694"/>
      <c r="WLS261" s="694"/>
      <c r="WLT261" s="717"/>
      <c r="WLU261" s="694"/>
      <c r="WLV261" s="694"/>
      <c r="WLW261" s="694"/>
      <c r="WLX261" s="694"/>
      <c r="WLY261" s="694"/>
      <c r="WLZ261" s="694"/>
      <c r="WMA261" s="694"/>
      <c r="WMB261" s="694"/>
      <c r="WMC261" s="694"/>
      <c r="WMD261" s="694"/>
      <c r="WME261" s="694"/>
      <c r="WMF261" s="694"/>
      <c r="WMG261" s="694"/>
      <c r="WMH261" s="694"/>
      <c r="WMI261" s="694"/>
      <c r="WMJ261" s="694"/>
      <c r="WMK261" s="694"/>
      <c r="WML261" s="694"/>
      <c r="WMM261" s="694"/>
      <c r="WMN261" s="717"/>
      <c r="WMO261" s="694"/>
      <c r="WMP261" s="694"/>
      <c r="WMQ261" s="694"/>
      <c r="WMR261" s="694"/>
      <c r="WMS261" s="694"/>
      <c r="WMT261" s="694"/>
      <c r="WMU261" s="694"/>
      <c r="WMV261" s="694"/>
      <c r="WMW261" s="694"/>
      <c r="WMX261" s="694"/>
      <c r="WMY261" s="694"/>
      <c r="WMZ261" s="694"/>
      <c r="WNA261" s="694"/>
      <c r="WNB261" s="694"/>
      <c r="WNC261" s="694"/>
      <c r="WND261" s="694"/>
      <c r="WNE261" s="694"/>
      <c r="WNF261" s="694"/>
      <c r="WNG261" s="694"/>
      <c r="WNH261" s="717"/>
      <c r="WNI261" s="694"/>
      <c r="WNJ261" s="694"/>
      <c r="WNK261" s="694"/>
      <c r="WNL261" s="694"/>
      <c r="WNM261" s="694"/>
      <c r="WNN261" s="694"/>
      <c r="WNO261" s="694"/>
      <c r="WNP261" s="694"/>
      <c r="WNQ261" s="694"/>
      <c r="WNR261" s="694"/>
      <c r="WNS261" s="694"/>
      <c r="WNT261" s="694"/>
      <c r="WNU261" s="694"/>
      <c r="WNV261" s="694"/>
      <c r="WNW261" s="694"/>
      <c r="WNX261" s="694"/>
      <c r="WNY261" s="694"/>
      <c r="WNZ261" s="694"/>
      <c r="WOA261" s="694"/>
      <c r="WOB261" s="717"/>
      <c r="WOC261" s="694"/>
      <c r="WOD261" s="694"/>
      <c r="WOE261" s="694"/>
      <c r="WOF261" s="694"/>
      <c r="WOG261" s="694"/>
      <c r="WOH261" s="694"/>
      <c r="WOI261" s="694"/>
      <c r="WOJ261" s="694"/>
      <c r="WOK261" s="694"/>
      <c r="WOL261" s="694"/>
      <c r="WOM261" s="694"/>
      <c r="WON261" s="694"/>
      <c r="WOO261" s="694"/>
      <c r="WOP261" s="694"/>
      <c r="WOQ261" s="694"/>
      <c r="WOR261" s="694"/>
      <c r="WOS261" s="694"/>
      <c r="WOT261" s="694"/>
      <c r="WOU261" s="694"/>
      <c r="WOV261" s="717"/>
      <c r="WOW261" s="694"/>
      <c r="WOX261" s="694"/>
      <c r="WOY261" s="694"/>
      <c r="WOZ261" s="694"/>
      <c r="WPA261" s="694"/>
      <c r="WPB261" s="694"/>
      <c r="WPC261" s="694"/>
      <c r="WPD261" s="694"/>
      <c r="WPE261" s="694"/>
      <c r="WPF261" s="694"/>
      <c r="WPG261" s="694"/>
      <c r="WPH261" s="694"/>
      <c r="WPI261" s="694"/>
      <c r="WPJ261" s="694"/>
      <c r="WPK261" s="694"/>
      <c r="WPL261" s="694"/>
      <c r="WPM261" s="694"/>
      <c r="WPN261" s="694"/>
      <c r="WPO261" s="694"/>
      <c r="WPP261" s="717"/>
      <c r="WPQ261" s="694"/>
      <c r="WPR261" s="694"/>
      <c r="WPS261" s="694"/>
      <c r="WPT261" s="694"/>
      <c r="WPU261" s="694"/>
      <c r="WPV261" s="694"/>
      <c r="WPW261" s="694"/>
      <c r="WPX261" s="694"/>
      <c r="WPY261" s="694"/>
      <c r="WPZ261" s="694"/>
      <c r="WQA261" s="694"/>
      <c r="WQB261" s="694"/>
      <c r="WQC261" s="694"/>
      <c r="WQD261" s="694"/>
      <c r="WQE261" s="694"/>
      <c r="WQF261" s="694"/>
      <c r="WQG261" s="694"/>
      <c r="WQH261" s="694"/>
      <c r="WQI261" s="694"/>
      <c r="WQJ261" s="717"/>
      <c r="WQK261" s="694"/>
      <c r="WQL261" s="694"/>
      <c r="WQM261" s="694"/>
      <c r="WQN261" s="694"/>
      <c r="WQO261" s="694"/>
      <c r="WQP261" s="694"/>
      <c r="WQQ261" s="694"/>
      <c r="WQR261" s="694"/>
      <c r="WQS261" s="694"/>
      <c r="WQT261" s="694"/>
      <c r="WQU261" s="694"/>
      <c r="WQV261" s="694"/>
      <c r="WQW261" s="694"/>
      <c r="WQX261" s="694"/>
      <c r="WQY261" s="694"/>
      <c r="WQZ261" s="694"/>
      <c r="WRA261" s="694"/>
      <c r="WRB261" s="694"/>
      <c r="WRC261" s="694"/>
      <c r="WRD261" s="717"/>
      <c r="WRE261" s="694"/>
      <c r="WRF261" s="694"/>
      <c r="WRG261" s="694"/>
      <c r="WRH261" s="694"/>
      <c r="WRI261" s="694"/>
      <c r="WRJ261" s="694"/>
      <c r="WRK261" s="694"/>
      <c r="WRL261" s="694"/>
      <c r="WRM261" s="694"/>
      <c r="WRN261" s="694"/>
      <c r="WRO261" s="694"/>
      <c r="WRP261" s="694"/>
      <c r="WRQ261" s="694"/>
      <c r="WRR261" s="694"/>
      <c r="WRS261" s="694"/>
      <c r="WRT261" s="694"/>
      <c r="WRU261" s="694"/>
      <c r="WRV261" s="694"/>
      <c r="WRW261" s="694"/>
      <c r="WRX261" s="717"/>
      <c r="WRY261" s="694"/>
      <c r="WRZ261" s="694"/>
      <c r="WSA261" s="694"/>
      <c r="WSB261" s="694"/>
      <c r="WSC261" s="694"/>
      <c r="WSD261" s="694"/>
      <c r="WSE261" s="694"/>
      <c r="WSF261" s="694"/>
      <c r="WSG261" s="694"/>
      <c r="WSH261" s="694"/>
      <c r="WSI261" s="694"/>
      <c r="WSJ261" s="694"/>
      <c r="WSK261" s="694"/>
      <c r="WSL261" s="694"/>
      <c r="WSM261" s="694"/>
      <c r="WSN261" s="694"/>
      <c r="WSO261" s="694"/>
      <c r="WSP261" s="694"/>
      <c r="WSQ261" s="694"/>
      <c r="WSR261" s="717"/>
      <c r="WSS261" s="694"/>
      <c r="WST261" s="694"/>
      <c r="WSU261" s="694"/>
      <c r="WSV261" s="694"/>
      <c r="WSW261" s="694"/>
      <c r="WSX261" s="694"/>
      <c r="WSY261" s="694"/>
      <c r="WSZ261" s="694"/>
      <c r="WTA261" s="694"/>
      <c r="WTB261" s="694"/>
      <c r="WTC261" s="694"/>
      <c r="WTD261" s="694"/>
      <c r="WTE261" s="694"/>
      <c r="WTF261" s="694"/>
      <c r="WTG261" s="694"/>
      <c r="WTH261" s="694"/>
      <c r="WTI261" s="694"/>
      <c r="WTJ261" s="694"/>
      <c r="WTK261" s="694"/>
      <c r="WTL261" s="717"/>
      <c r="WTM261" s="694"/>
      <c r="WTN261" s="694"/>
      <c r="WTO261" s="694"/>
      <c r="WTP261" s="694"/>
      <c r="WTQ261" s="694"/>
      <c r="WTR261" s="694"/>
      <c r="WTS261" s="694"/>
      <c r="WTT261" s="694"/>
      <c r="WTU261" s="694"/>
      <c r="WTV261" s="694"/>
      <c r="WTW261" s="694"/>
      <c r="WTX261" s="694"/>
      <c r="WTY261" s="694"/>
      <c r="WTZ261" s="694"/>
      <c r="WUA261" s="694"/>
      <c r="WUB261" s="694"/>
      <c r="WUC261" s="694"/>
      <c r="WUD261" s="694"/>
      <c r="WUE261" s="694"/>
      <c r="WUF261" s="717"/>
      <c r="WUG261" s="694"/>
      <c r="WUH261" s="694"/>
      <c r="WUI261" s="694"/>
      <c r="WUJ261" s="694"/>
      <c r="WUK261" s="694"/>
      <c r="WUL261" s="694"/>
      <c r="WUM261" s="694"/>
      <c r="WUN261" s="694"/>
      <c r="WUO261" s="694"/>
      <c r="WUP261" s="694"/>
      <c r="WUQ261" s="694"/>
      <c r="WUR261" s="694"/>
      <c r="WUS261" s="694"/>
      <c r="WUT261" s="694"/>
      <c r="WUU261" s="694"/>
      <c r="WUV261" s="694"/>
      <c r="WUW261" s="694"/>
      <c r="WUX261" s="694"/>
      <c r="WUY261" s="694"/>
      <c r="WUZ261" s="717"/>
      <c r="WVA261" s="694"/>
      <c r="WVB261" s="694"/>
      <c r="WVC261" s="694"/>
      <c r="WVD261" s="694"/>
      <c r="WVE261" s="694"/>
      <c r="WVF261" s="694"/>
      <c r="WVG261" s="694"/>
      <c r="WVH261" s="694"/>
      <c r="WVI261" s="694"/>
      <c r="WVJ261" s="694"/>
      <c r="WVK261" s="694"/>
      <c r="WVL261" s="694"/>
      <c r="WVM261" s="694"/>
      <c r="WVN261" s="694"/>
      <c r="WVO261" s="694"/>
      <c r="WVP261" s="694"/>
      <c r="WVQ261" s="694"/>
      <c r="WVR261" s="694"/>
      <c r="WVS261" s="694"/>
      <c r="WVT261" s="717"/>
      <c r="WVU261" s="694"/>
      <c r="WVV261" s="694"/>
      <c r="WVW261" s="694"/>
      <c r="WVX261" s="694"/>
      <c r="WVY261" s="694"/>
      <c r="WVZ261" s="694"/>
      <c r="WWA261" s="694"/>
      <c r="WWB261" s="694"/>
      <c r="WWC261" s="694"/>
      <c r="WWD261" s="694"/>
      <c r="WWE261" s="694"/>
      <c r="WWF261" s="694"/>
      <c r="WWG261" s="694"/>
      <c r="WWH261" s="694"/>
      <c r="WWI261" s="694"/>
      <c r="WWJ261" s="694"/>
      <c r="WWK261" s="694"/>
      <c r="WWL261" s="694"/>
      <c r="WWM261" s="694"/>
      <c r="WWN261" s="717"/>
      <c r="WWO261" s="694"/>
      <c r="WWP261" s="694"/>
      <c r="WWQ261" s="694"/>
      <c r="WWR261" s="694"/>
      <c r="WWS261" s="694"/>
      <c r="WWT261" s="694"/>
      <c r="WWU261" s="694"/>
      <c r="WWV261" s="694"/>
      <c r="WWW261" s="694"/>
      <c r="WWX261" s="694"/>
      <c r="WWY261" s="694"/>
      <c r="WWZ261" s="694"/>
      <c r="WXA261" s="694"/>
      <c r="WXB261" s="694"/>
      <c r="WXC261" s="694"/>
      <c r="WXD261" s="694"/>
      <c r="WXE261" s="694"/>
      <c r="WXF261" s="694"/>
      <c r="WXG261" s="694"/>
      <c r="WXH261" s="717"/>
      <c r="WXI261" s="694"/>
      <c r="WXJ261" s="694"/>
      <c r="WXK261" s="694"/>
      <c r="WXL261" s="694"/>
      <c r="WXM261" s="694"/>
      <c r="WXN261" s="694"/>
      <c r="WXO261" s="694"/>
      <c r="WXP261" s="694"/>
      <c r="WXQ261" s="694"/>
      <c r="WXR261" s="694"/>
      <c r="WXS261" s="694"/>
      <c r="WXT261" s="694"/>
      <c r="WXU261" s="694"/>
      <c r="WXV261" s="694"/>
      <c r="WXW261" s="694"/>
      <c r="WXX261" s="694"/>
      <c r="WXY261" s="694"/>
      <c r="WXZ261" s="694"/>
      <c r="WYA261" s="694"/>
      <c r="WYB261" s="717"/>
      <c r="WYC261" s="694"/>
      <c r="WYD261" s="694"/>
      <c r="WYE261" s="694"/>
      <c r="WYF261" s="694"/>
      <c r="WYG261" s="694"/>
      <c r="WYH261" s="694"/>
      <c r="WYI261" s="694"/>
      <c r="WYJ261" s="694"/>
      <c r="WYK261" s="694"/>
      <c r="WYL261" s="694"/>
      <c r="WYM261" s="694"/>
      <c r="WYN261" s="694"/>
      <c r="WYO261" s="694"/>
      <c r="WYP261" s="694"/>
      <c r="WYQ261" s="694"/>
      <c r="WYR261" s="694"/>
      <c r="WYS261" s="694"/>
      <c r="WYT261" s="694"/>
      <c r="WYU261" s="694"/>
      <c r="WYV261" s="717"/>
      <c r="WYW261" s="694"/>
      <c r="WYX261" s="694"/>
      <c r="WYY261" s="694"/>
      <c r="WYZ261" s="694"/>
      <c r="WZA261" s="694"/>
      <c r="WZB261" s="694"/>
      <c r="WZC261" s="694"/>
      <c r="WZD261" s="694"/>
      <c r="WZE261" s="694"/>
      <c r="WZF261" s="694"/>
      <c r="WZG261" s="694"/>
      <c r="WZH261" s="694"/>
      <c r="WZI261" s="694"/>
      <c r="WZJ261" s="694"/>
      <c r="WZK261" s="694"/>
      <c r="WZL261" s="694"/>
      <c r="WZM261" s="694"/>
      <c r="WZN261" s="694"/>
      <c r="WZO261" s="694"/>
      <c r="WZP261" s="717"/>
      <c r="WZQ261" s="694"/>
      <c r="WZR261" s="694"/>
      <c r="WZS261" s="694"/>
      <c r="WZT261" s="694"/>
      <c r="WZU261" s="694"/>
      <c r="WZV261" s="694"/>
      <c r="WZW261" s="694"/>
      <c r="WZX261" s="694"/>
      <c r="WZY261" s="694"/>
      <c r="WZZ261" s="694"/>
      <c r="XAA261" s="694"/>
      <c r="XAB261" s="694"/>
      <c r="XAC261" s="694"/>
      <c r="XAD261" s="694"/>
      <c r="XAE261" s="694"/>
      <c r="XAF261" s="694"/>
      <c r="XAG261" s="694"/>
      <c r="XAH261" s="694"/>
      <c r="XAI261" s="694"/>
      <c r="XAJ261" s="717"/>
      <c r="XAK261" s="694"/>
      <c r="XAL261" s="694"/>
      <c r="XAM261" s="694"/>
      <c r="XAN261" s="694"/>
      <c r="XAO261" s="694"/>
      <c r="XAP261" s="694"/>
      <c r="XAQ261" s="694"/>
      <c r="XAR261" s="694"/>
      <c r="XAS261" s="694"/>
      <c r="XAT261" s="694"/>
      <c r="XAU261" s="694"/>
      <c r="XAV261" s="694"/>
      <c r="XAW261" s="694"/>
      <c r="XAX261" s="694"/>
      <c r="XAY261" s="694"/>
      <c r="XAZ261" s="694"/>
      <c r="XBA261" s="694"/>
      <c r="XBB261" s="694"/>
      <c r="XBC261" s="694"/>
      <c r="XBD261" s="717"/>
      <c r="XBE261" s="694"/>
      <c r="XBF261" s="694"/>
      <c r="XBG261" s="694"/>
      <c r="XBH261" s="694"/>
      <c r="XBI261" s="694"/>
      <c r="XBJ261" s="694"/>
      <c r="XBK261" s="694"/>
      <c r="XBL261" s="694"/>
      <c r="XBM261" s="694"/>
      <c r="XBN261" s="694"/>
      <c r="XBO261" s="694"/>
      <c r="XBP261" s="694"/>
      <c r="XBQ261" s="694"/>
      <c r="XBR261" s="694"/>
      <c r="XBS261" s="694"/>
      <c r="XBT261" s="694"/>
      <c r="XBU261" s="694"/>
      <c r="XBV261" s="694"/>
      <c r="XBW261" s="694"/>
      <c r="XBX261" s="717"/>
      <c r="XBY261" s="694"/>
      <c r="XBZ261" s="694"/>
      <c r="XCA261" s="694"/>
      <c r="XCB261" s="694"/>
      <c r="XCC261" s="694"/>
      <c r="XCD261" s="694"/>
      <c r="XCE261" s="694"/>
      <c r="XCF261" s="694"/>
      <c r="XCG261" s="694"/>
      <c r="XCH261" s="694"/>
      <c r="XCI261" s="694"/>
      <c r="XCJ261" s="694"/>
      <c r="XCK261" s="694"/>
      <c r="XCL261" s="694"/>
      <c r="XCM261" s="694"/>
      <c r="XCN261" s="694"/>
      <c r="XCO261" s="694"/>
      <c r="XCP261" s="694"/>
      <c r="XCQ261" s="694"/>
      <c r="XCR261" s="717"/>
      <c r="XCS261" s="694"/>
      <c r="XCT261" s="694"/>
      <c r="XCU261" s="694"/>
      <c r="XCV261" s="694"/>
      <c r="XCW261" s="694"/>
      <c r="XCX261" s="694"/>
      <c r="XCY261" s="694"/>
      <c r="XCZ261" s="694"/>
      <c r="XDA261" s="694"/>
      <c r="XDB261" s="694"/>
      <c r="XDC261" s="694"/>
      <c r="XDD261" s="694"/>
      <c r="XDE261" s="694"/>
      <c r="XDF261" s="694"/>
      <c r="XDG261" s="694"/>
      <c r="XDH261" s="694"/>
      <c r="XDI261" s="694"/>
      <c r="XDJ261" s="694"/>
      <c r="XDK261" s="694"/>
      <c r="XDL261" s="717"/>
      <c r="XDM261" s="694"/>
      <c r="XDN261" s="694"/>
      <c r="XDO261" s="694"/>
      <c r="XDP261" s="694"/>
      <c r="XDQ261" s="694"/>
      <c r="XDR261" s="694"/>
      <c r="XDS261" s="694"/>
      <c r="XDT261" s="694"/>
      <c r="XDU261" s="694"/>
      <c r="XDV261" s="694"/>
      <c r="XDW261" s="694"/>
      <c r="XDX261" s="694"/>
      <c r="XDY261" s="694"/>
      <c r="XDZ261" s="694"/>
      <c r="XEA261" s="694"/>
      <c r="XEB261" s="694"/>
      <c r="XEC261" s="694"/>
      <c r="XED261" s="694"/>
      <c r="XEE261" s="694"/>
      <c r="XEF261" s="717"/>
      <c r="XEG261" s="694"/>
      <c r="XEH261" s="694"/>
      <c r="XEI261" s="694"/>
      <c r="XEJ261" s="694"/>
      <c r="XEK261" s="694"/>
      <c r="XEL261" s="694"/>
      <c r="XEM261" s="694"/>
      <c r="XEN261" s="694"/>
      <c r="XEO261" s="694"/>
      <c r="XEP261" s="694"/>
      <c r="XEQ261" s="694"/>
      <c r="XER261" s="694"/>
      <c r="XES261" s="694"/>
    </row>
    <row r="262" spans="1:16373" s="1" customFormat="1" ht="22.5" customHeight="1" thickTop="1" thickBot="1">
      <c r="A262" s="720" t="s">
        <v>127</v>
      </c>
      <c r="B262" s="694" t="s">
        <v>134</v>
      </c>
      <c r="C262" s="694" t="s">
        <v>146</v>
      </c>
      <c r="D262" s="694" t="s">
        <v>129</v>
      </c>
      <c r="E262" s="694" t="s">
        <v>139</v>
      </c>
      <c r="F262" s="694"/>
      <c r="G262" s="694"/>
      <c r="H262" s="88"/>
      <c r="I262" s="88"/>
      <c r="J262" s="717" t="s">
        <v>1265</v>
      </c>
      <c r="K262" s="726">
        <f>+K263+K264+K265+K266+K267</f>
        <v>0</v>
      </c>
      <c r="L262" s="726">
        <f>+L263+L264+L265+L266+L267</f>
        <v>0</v>
      </c>
      <c r="M262" s="726">
        <f>+M263+M264+M265+M266+M267</f>
        <v>0</v>
      </c>
      <c r="N262" s="1843">
        <f t="shared" si="101"/>
        <v>0</v>
      </c>
      <c r="O262" s="726">
        <f t="shared" ref="O262:T262" si="107">+O263+O264+O265+O266+O267</f>
        <v>0</v>
      </c>
      <c r="P262" s="726">
        <f t="shared" si="107"/>
        <v>0</v>
      </c>
      <c r="Q262" s="726">
        <f t="shared" si="107"/>
        <v>0</v>
      </c>
      <c r="R262" s="726">
        <f t="shared" si="107"/>
        <v>0</v>
      </c>
      <c r="S262" s="726">
        <f t="shared" si="107"/>
        <v>0</v>
      </c>
      <c r="T262" s="1843">
        <f t="shared" si="107"/>
        <v>0</v>
      </c>
      <c r="U262" s="719" t="e">
        <f t="shared" si="88"/>
        <v>#DIV/0!</v>
      </c>
      <c r="V262" s="694"/>
      <c r="W262" s="720"/>
      <c r="X262" s="720"/>
      <c r="Y262" s="699" t="s">
        <v>968</v>
      </c>
    </row>
    <row r="263" spans="1:16373" ht="22.5" customHeight="1" thickTop="1" thickBot="1">
      <c r="A263" s="27" t="s">
        <v>127</v>
      </c>
      <c r="B263" s="88" t="s">
        <v>134</v>
      </c>
      <c r="C263" s="88" t="s">
        <v>146</v>
      </c>
      <c r="D263" s="88" t="s">
        <v>129</v>
      </c>
      <c r="E263" s="88" t="s">
        <v>139</v>
      </c>
      <c r="F263" s="694" t="s">
        <v>129</v>
      </c>
      <c r="G263" s="88"/>
      <c r="H263" s="88"/>
      <c r="I263" s="88"/>
      <c r="J263" s="86" t="s">
        <v>1266</v>
      </c>
      <c r="K263" s="727"/>
      <c r="L263" s="727"/>
      <c r="M263" s="727"/>
      <c r="N263" s="1853">
        <f t="shared" si="101"/>
        <v>0</v>
      </c>
      <c r="O263" s="727"/>
      <c r="P263" s="727"/>
      <c r="Q263" s="727"/>
      <c r="R263" s="727"/>
      <c r="S263" s="727"/>
      <c r="T263" s="1853"/>
      <c r="U263" s="721" t="e">
        <f t="shared" si="88"/>
        <v>#DIV/0!</v>
      </c>
      <c r="V263" s="88"/>
      <c r="W263" s="27"/>
      <c r="X263" s="27"/>
      <c r="Y263" s="699" t="s">
        <v>968</v>
      </c>
    </row>
    <row r="264" spans="1:16373" ht="22.5" customHeight="1" thickTop="1" thickBot="1">
      <c r="A264" s="27" t="s">
        <v>127</v>
      </c>
      <c r="B264" s="88" t="s">
        <v>134</v>
      </c>
      <c r="C264" s="88" t="s">
        <v>146</v>
      </c>
      <c r="D264" s="88" t="s">
        <v>129</v>
      </c>
      <c r="E264" s="88" t="s">
        <v>139</v>
      </c>
      <c r="F264" s="694" t="s">
        <v>134</v>
      </c>
      <c r="G264" s="88"/>
      <c r="H264" s="88"/>
      <c r="I264" s="88"/>
      <c r="J264" s="86" t="s">
        <v>1267</v>
      </c>
      <c r="K264" s="727"/>
      <c r="L264" s="727"/>
      <c r="M264" s="727"/>
      <c r="N264" s="1853">
        <f t="shared" si="101"/>
        <v>0</v>
      </c>
      <c r="O264" s="727"/>
      <c r="P264" s="727"/>
      <c r="Q264" s="727"/>
      <c r="R264" s="727"/>
      <c r="S264" s="727"/>
      <c r="T264" s="1853"/>
      <c r="U264" s="721" t="e">
        <f t="shared" si="88"/>
        <v>#DIV/0!</v>
      </c>
      <c r="V264" s="88"/>
      <c r="W264" s="27"/>
      <c r="X264" s="27"/>
      <c r="Y264" s="699" t="s">
        <v>968</v>
      </c>
    </row>
    <row r="265" spans="1:16373" ht="22.5" customHeight="1" thickTop="1" thickBot="1">
      <c r="A265" s="27" t="s">
        <v>127</v>
      </c>
      <c r="B265" s="88" t="s">
        <v>134</v>
      </c>
      <c r="C265" s="88" t="s">
        <v>146</v>
      </c>
      <c r="D265" s="88" t="s">
        <v>129</v>
      </c>
      <c r="E265" s="88" t="s">
        <v>139</v>
      </c>
      <c r="F265" s="694" t="s">
        <v>139</v>
      </c>
      <c r="G265" s="88"/>
      <c r="H265" s="88"/>
      <c r="I265" s="88"/>
      <c r="J265" s="86" t="s">
        <v>1268</v>
      </c>
      <c r="K265" s="727"/>
      <c r="L265" s="727"/>
      <c r="M265" s="727"/>
      <c r="N265" s="1853">
        <f t="shared" si="101"/>
        <v>0</v>
      </c>
      <c r="O265" s="727"/>
      <c r="P265" s="727"/>
      <c r="Q265" s="727"/>
      <c r="R265" s="727"/>
      <c r="S265" s="727"/>
      <c r="T265" s="1853"/>
      <c r="U265" s="721" t="e">
        <f t="shared" ref="U265:U302" si="108">T265/S265</f>
        <v>#DIV/0!</v>
      </c>
      <c r="V265" s="88"/>
      <c r="W265" s="27"/>
      <c r="X265" s="27"/>
      <c r="Y265" s="699" t="s">
        <v>968</v>
      </c>
    </row>
    <row r="266" spans="1:16373" ht="22.5" customHeight="1" thickTop="1" thickBot="1">
      <c r="A266" s="27" t="s">
        <v>127</v>
      </c>
      <c r="B266" s="88" t="s">
        <v>134</v>
      </c>
      <c r="C266" s="88" t="s">
        <v>146</v>
      </c>
      <c r="D266" s="88" t="s">
        <v>129</v>
      </c>
      <c r="E266" s="88" t="s">
        <v>139</v>
      </c>
      <c r="F266" s="694" t="s">
        <v>140</v>
      </c>
      <c r="G266" s="88"/>
      <c r="H266" s="88"/>
      <c r="I266" s="88"/>
      <c r="J266" s="86" t="s">
        <v>1269</v>
      </c>
      <c r="K266" s="727"/>
      <c r="L266" s="727"/>
      <c r="M266" s="727"/>
      <c r="N266" s="1853">
        <f t="shared" si="101"/>
        <v>0</v>
      </c>
      <c r="O266" s="727"/>
      <c r="P266" s="727"/>
      <c r="Q266" s="727"/>
      <c r="R266" s="727"/>
      <c r="S266" s="727"/>
      <c r="T266" s="1853"/>
      <c r="U266" s="721" t="e">
        <f t="shared" si="108"/>
        <v>#DIV/0!</v>
      </c>
      <c r="V266" s="88"/>
      <c r="W266" s="27"/>
      <c r="X266" s="27"/>
      <c r="Y266" s="699" t="s">
        <v>968</v>
      </c>
    </row>
    <row r="267" spans="1:16373" ht="22.5" customHeight="1" thickTop="1" thickBot="1">
      <c r="A267" s="27" t="s">
        <v>127</v>
      </c>
      <c r="B267" s="88" t="s">
        <v>134</v>
      </c>
      <c r="C267" s="88" t="s">
        <v>146</v>
      </c>
      <c r="D267" s="88" t="s">
        <v>129</v>
      </c>
      <c r="E267" s="88" t="s">
        <v>139</v>
      </c>
      <c r="F267" s="694" t="s">
        <v>144</v>
      </c>
      <c r="G267" s="88"/>
      <c r="H267" s="88"/>
      <c r="I267" s="88"/>
      <c r="J267" s="86" t="s">
        <v>1270</v>
      </c>
      <c r="K267" s="727"/>
      <c r="L267" s="727"/>
      <c r="M267" s="727"/>
      <c r="N267" s="1853">
        <f t="shared" si="101"/>
        <v>0</v>
      </c>
      <c r="O267" s="727"/>
      <c r="P267" s="727"/>
      <c r="Q267" s="727"/>
      <c r="R267" s="727"/>
      <c r="S267" s="727"/>
      <c r="T267" s="1853"/>
      <c r="U267" s="721" t="e">
        <f t="shared" si="108"/>
        <v>#DIV/0!</v>
      </c>
      <c r="V267" s="88"/>
      <c r="W267" s="27"/>
      <c r="X267" s="27"/>
      <c r="Y267" s="699" t="s">
        <v>968</v>
      </c>
    </row>
    <row r="268" spans="1:16373" s="1" customFormat="1" ht="22.5" customHeight="1" thickTop="1" thickBot="1">
      <c r="A268" s="720" t="s">
        <v>127</v>
      </c>
      <c r="B268" s="694" t="s">
        <v>134</v>
      </c>
      <c r="C268" s="694" t="s">
        <v>146</v>
      </c>
      <c r="D268" s="694" t="s">
        <v>129</v>
      </c>
      <c r="E268" s="694" t="s">
        <v>140</v>
      </c>
      <c r="F268" s="694"/>
      <c r="G268" s="694"/>
      <c r="H268" s="88"/>
      <c r="I268" s="88"/>
      <c r="J268" s="717" t="s">
        <v>1271</v>
      </c>
      <c r="K268" s="726"/>
      <c r="L268" s="726"/>
      <c r="M268" s="726"/>
      <c r="N268" s="1843">
        <f t="shared" si="101"/>
        <v>0</v>
      </c>
      <c r="O268" s="726"/>
      <c r="P268" s="726"/>
      <c r="Q268" s="726"/>
      <c r="R268" s="726"/>
      <c r="S268" s="726"/>
      <c r="T268" s="1843"/>
      <c r="U268" s="719" t="e">
        <f t="shared" si="108"/>
        <v>#DIV/0!</v>
      </c>
      <c r="V268" s="694"/>
      <c r="W268" s="720"/>
      <c r="X268" s="720"/>
      <c r="Y268" s="699" t="s">
        <v>968</v>
      </c>
    </row>
    <row r="269" spans="1:16373" s="1" customFormat="1" ht="22.5" customHeight="1" thickTop="1" thickBot="1">
      <c r="A269" s="720" t="s">
        <v>127</v>
      </c>
      <c r="B269" s="694" t="s">
        <v>134</v>
      </c>
      <c r="C269" s="694" t="s">
        <v>146</v>
      </c>
      <c r="D269" s="694" t="s">
        <v>129</v>
      </c>
      <c r="E269" s="694" t="s">
        <v>144</v>
      </c>
      <c r="F269" s="694"/>
      <c r="G269" s="694"/>
      <c r="H269" s="88"/>
      <c r="I269" s="88"/>
      <c r="J269" s="717" t="s">
        <v>1272</v>
      </c>
      <c r="K269" s="726"/>
      <c r="L269" s="726"/>
      <c r="M269" s="726"/>
      <c r="N269" s="1843">
        <f t="shared" si="101"/>
        <v>0</v>
      </c>
      <c r="O269" s="726"/>
      <c r="P269" s="726"/>
      <c r="Q269" s="726"/>
      <c r="R269" s="726"/>
      <c r="S269" s="726"/>
      <c r="T269" s="1843"/>
      <c r="U269" s="719" t="e">
        <f t="shared" si="108"/>
        <v>#DIV/0!</v>
      </c>
      <c r="V269" s="694"/>
      <c r="W269" s="720"/>
      <c r="X269" s="720"/>
      <c r="Y269" s="699" t="s">
        <v>968</v>
      </c>
    </row>
    <row r="270" spans="1:16373" s="1" customFormat="1" ht="22.5" customHeight="1" thickTop="1" thickBot="1">
      <c r="A270" s="711" t="s">
        <v>127</v>
      </c>
      <c r="B270" s="712" t="s">
        <v>134</v>
      </c>
      <c r="C270" s="712" t="s">
        <v>146</v>
      </c>
      <c r="D270" s="712" t="s">
        <v>134</v>
      </c>
      <c r="E270" s="712"/>
      <c r="F270" s="712"/>
      <c r="G270" s="712"/>
      <c r="H270" s="713"/>
      <c r="I270" s="713"/>
      <c r="J270" s="714" t="s">
        <v>1273</v>
      </c>
      <c r="K270" s="724">
        <f>+K271+K273+K274+K280+K281</f>
        <v>0</v>
      </c>
      <c r="L270" s="724">
        <f>+L271+L273+L274+L280+L281</f>
        <v>0</v>
      </c>
      <c r="M270" s="724">
        <f>+M271+M273+M274+M280+M281</f>
        <v>0</v>
      </c>
      <c r="N270" s="1852">
        <f t="shared" si="101"/>
        <v>0</v>
      </c>
      <c r="O270" s="724">
        <f t="shared" ref="O270:T270" si="109">+O271+O273+O274+O280+O281</f>
        <v>0</v>
      </c>
      <c r="P270" s="724">
        <f t="shared" si="109"/>
        <v>0</v>
      </c>
      <c r="Q270" s="724">
        <f t="shared" si="109"/>
        <v>0</v>
      </c>
      <c r="R270" s="724">
        <f t="shared" si="109"/>
        <v>0</v>
      </c>
      <c r="S270" s="724">
        <f t="shared" si="109"/>
        <v>0</v>
      </c>
      <c r="T270" s="1852">
        <f t="shared" si="109"/>
        <v>0</v>
      </c>
      <c r="U270" s="716" t="e">
        <f t="shared" si="108"/>
        <v>#DIV/0!</v>
      </c>
      <c r="V270" s="712"/>
      <c r="W270" s="712"/>
      <c r="X270" s="712"/>
      <c r="Y270" s="699" t="s">
        <v>968</v>
      </c>
    </row>
    <row r="271" spans="1:16373" s="1" customFormat="1" ht="22.5" customHeight="1" thickTop="1" thickBot="1">
      <c r="A271" s="720" t="s">
        <v>127</v>
      </c>
      <c r="B271" s="694" t="s">
        <v>134</v>
      </c>
      <c r="C271" s="694" t="s">
        <v>146</v>
      </c>
      <c r="D271" s="694" t="s">
        <v>134</v>
      </c>
      <c r="E271" s="694" t="s">
        <v>129</v>
      </c>
      <c r="F271" s="694"/>
      <c r="G271" s="694"/>
      <c r="H271" s="88"/>
      <c r="I271" s="88"/>
      <c r="J271" s="717" t="s">
        <v>1274</v>
      </c>
      <c r="K271" s="726">
        <f t="shared" ref="K271:T271" si="110">+K272</f>
        <v>0</v>
      </c>
      <c r="L271" s="726">
        <f>+L272</f>
        <v>0</v>
      </c>
      <c r="M271" s="726">
        <f>+M272</f>
        <v>0</v>
      </c>
      <c r="N271" s="1843">
        <f t="shared" si="101"/>
        <v>0</v>
      </c>
      <c r="O271" s="726">
        <f t="shared" si="110"/>
        <v>0</v>
      </c>
      <c r="P271" s="726">
        <f t="shared" si="110"/>
        <v>0</v>
      </c>
      <c r="Q271" s="726">
        <f t="shared" si="110"/>
        <v>0</v>
      </c>
      <c r="R271" s="726">
        <f t="shared" si="110"/>
        <v>0</v>
      </c>
      <c r="S271" s="726">
        <f t="shared" si="110"/>
        <v>0</v>
      </c>
      <c r="T271" s="1843">
        <f t="shared" si="110"/>
        <v>0</v>
      </c>
      <c r="U271" s="719" t="e">
        <f t="shared" si="108"/>
        <v>#DIV/0!</v>
      </c>
      <c r="V271" s="694"/>
      <c r="W271" s="720"/>
      <c r="X271" s="720"/>
      <c r="Y271" s="699" t="s">
        <v>968</v>
      </c>
    </row>
    <row r="272" spans="1:16373" ht="22.5" customHeight="1" thickTop="1" thickBot="1">
      <c r="A272" s="27" t="s">
        <v>127</v>
      </c>
      <c r="B272" s="88" t="s">
        <v>134</v>
      </c>
      <c r="C272" s="88" t="s">
        <v>146</v>
      </c>
      <c r="D272" s="88" t="s">
        <v>134</v>
      </c>
      <c r="E272" s="88" t="s">
        <v>129</v>
      </c>
      <c r="F272" s="694" t="s">
        <v>129</v>
      </c>
      <c r="G272" s="88"/>
      <c r="H272" s="88"/>
      <c r="I272" s="88"/>
      <c r="J272" s="86" t="s">
        <v>1275</v>
      </c>
      <c r="K272" s="727"/>
      <c r="L272" s="727"/>
      <c r="M272" s="727"/>
      <c r="N272" s="1853">
        <f t="shared" si="101"/>
        <v>0</v>
      </c>
      <c r="O272" s="727"/>
      <c r="P272" s="727"/>
      <c r="Q272" s="727"/>
      <c r="R272" s="727"/>
      <c r="S272" s="727"/>
      <c r="T272" s="1853"/>
      <c r="U272" s="721" t="e">
        <f t="shared" si="108"/>
        <v>#DIV/0!</v>
      </c>
      <c r="V272" s="88"/>
      <c r="W272" s="27"/>
      <c r="X272" s="27"/>
      <c r="Y272" s="699" t="s">
        <v>968</v>
      </c>
    </row>
    <row r="273" spans="1:25" s="1" customFormat="1" ht="22.5" customHeight="1" thickTop="1" thickBot="1">
      <c r="A273" s="720" t="s">
        <v>127</v>
      </c>
      <c r="B273" s="694" t="s">
        <v>134</v>
      </c>
      <c r="C273" s="694" t="s">
        <v>146</v>
      </c>
      <c r="D273" s="694" t="s">
        <v>134</v>
      </c>
      <c r="E273" s="694" t="s">
        <v>134</v>
      </c>
      <c r="F273" s="694"/>
      <c r="G273" s="694"/>
      <c r="H273" s="88"/>
      <c r="I273" s="88"/>
      <c r="J273" s="717" t="s">
        <v>1276</v>
      </c>
      <c r="K273" s="726"/>
      <c r="L273" s="726"/>
      <c r="M273" s="726"/>
      <c r="N273" s="1843">
        <f t="shared" si="101"/>
        <v>0</v>
      </c>
      <c r="O273" s="726"/>
      <c r="P273" s="726"/>
      <c r="Q273" s="726"/>
      <c r="R273" s="726"/>
      <c r="S273" s="726"/>
      <c r="T273" s="1843"/>
      <c r="U273" s="719" t="e">
        <f t="shared" si="108"/>
        <v>#DIV/0!</v>
      </c>
      <c r="V273" s="694"/>
      <c r="W273" s="720"/>
      <c r="X273" s="720"/>
      <c r="Y273" s="699" t="s">
        <v>968</v>
      </c>
    </row>
    <row r="274" spans="1:25" s="1" customFormat="1" ht="22.5" customHeight="1" thickTop="1" thickBot="1">
      <c r="A274" s="720" t="s">
        <v>127</v>
      </c>
      <c r="B274" s="694" t="s">
        <v>134</v>
      </c>
      <c r="C274" s="694" t="s">
        <v>146</v>
      </c>
      <c r="D274" s="694" t="s">
        <v>134</v>
      </c>
      <c r="E274" s="694" t="s">
        <v>139</v>
      </c>
      <c r="F274" s="694"/>
      <c r="G274" s="694"/>
      <c r="H274" s="88"/>
      <c r="I274" s="88"/>
      <c r="J274" s="717" t="s">
        <v>1277</v>
      </c>
      <c r="K274" s="726">
        <f>+K275+K276+K277+K278+K279</f>
        <v>0</v>
      </c>
      <c r="L274" s="726">
        <f>+L275+L276+L277+L278+L279</f>
        <v>0</v>
      </c>
      <c r="M274" s="726">
        <f>+M275+M276+M277+M278+M279</f>
        <v>0</v>
      </c>
      <c r="N274" s="1843">
        <f t="shared" si="101"/>
        <v>0</v>
      </c>
      <c r="O274" s="726">
        <f t="shared" ref="O274:T274" si="111">+O275+O276+O277+O278+O279</f>
        <v>0</v>
      </c>
      <c r="P274" s="726">
        <f t="shared" si="111"/>
        <v>0</v>
      </c>
      <c r="Q274" s="726">
        <f t="shared" si="111"/>
        <v>0</v>
      </c>
      <c r="R274" s="726">
        <f t="shared" si="111"/>
        <v>0</v>
      </c>
      <c r="S274" s="726">
        <f t="shared" si="111"/>
        <v>0</v>
      </c>
      <c r="T274" s="1843">
        <f t="shared" si="111"/>
        <v>0</v>
      </c>
      <c r="U274" s="719" t="e">
        <f t="shared" si="108"/>
        <v>#DIV/0!</v>
      </c>
      <c r="V274" s="694"/>
      <c r="W274" s="720"/>
      <c r="X274" s="720"/>
      <c r="Y274" s="699" t="s">
        <v>968</v>
      </c>
    </row>
    <row r="275" spans="1:25" ht="22.5" customHeight="1" thickTop="1" thickBot="1">
      <c r="A275" s="27" t="s">
        <v>127</v>
      </c>
      <c r="B275" s="88" t="s">
        <v>134</v>
      </c>
      <c r="C275" s="88" t="s">
        <v>146</v>
      </c>
      <c r="D275" s="88" t="s">
        <v>134</v>
      </c>
      <c r="E275" s="88" t="s">
        <v>139</v>
      </c>
      <c r="F275" s="694" t="s">
        <v>129</v>
      </c>
      <c r="G275" s="88"/>
      <c r="H275" s="88"/>
      <c r="I275" s="88"/>
      <c r="J275" s="86" t="s">
        <v>1278</v>
      </c>
      <c r="K275" s="658"/>
      <c r="L275" s="658"/>
      <c r="M275" s="658"/>
      <c r="N275" s="1853">
        <f t="shared" si="101"/>
        <v>0</v>
      </c>
      <c r="O275" s="658"/>
      <c r="P275" s="658"/>
      <c r="Q275" s="658"/>
      <c r="R275" s="658"/>
      <c r="S275" s="658"/>
      <c r="T275" s="1853"/>
      <c r="U275" s="721" t="e">
        <f t="shared" si="108"/>
        <v>#DIV/0!</v>
      </c>
      <c r="V275" s="88"/>
      <c r="W275" s="27"/>
      <c r="X275" s="27"/>
      <c r="Y275" s="699" t="s">
        <v>968</v>
      </c>
    </row>
    <row r="276" spans="1:25" ht="22.5" customHeight="1" thickTop="1" thickBot="1">
      <c r="A276" s="27" t="s">
        <v>127</v>
      </c>
      <c r="B276" s="88" t="s">
        <v>134</v>
      </c>
      <c r="C276" s="88" t="s">
        <v>146</v>
      </c>
      <c r="D276" s="88" t="s">
        <v>134</v>
      </c>
      <c r="E276" s="88" t="s">
        <v>139</v>
      </c>
      <c r="F276" s="694" t="s">
        <v>134</v>
      </c>
      <c r="G276" s="88"/>
      <c r="H276" s="88"/>
      <c r="I276" s="88"/>
      <c r="J276" s="86" t="s">
        <v>1279</v>
      </c>
      <c r="K276" s="658"/>
      <c r="L276" s="658"/>
      <c r="M276" s="658"/>
      <c r="N276" s="1853">
        <f t="shared" si="101"/>
        <v>0</v>
      </c>
      <c r="O276" s="658"/>
      <c r="P276" s="658"/>
      <c r="Q276" s="658"/>
      <c r="R276" s="658"/>
      <c r="S276" s="658"/>
      <c r="T276" s="1853"/>
      <c r="U276" s="721" t="e">
        <f t="shared" si="108"/>
        <v>#DIV/0!</v>
      </c>
      <c r="V276" s="88"/>
      <c r="W276" s="27"/>
      <c r="X276" s="27"/>
      <c r="Y276" s="699" t="s">
        <v>968</v>
      </c>
    </row>
    <row r="277" spans="1:25" ht="22.5" customHeight="1" thickTop="1" thickBot="1">
      <c r="A277" s="27" t="s">
        <v>127</v>
      </c>
      <c r="B277" s="88" t="s">
        <v>134</v>
      </c>
      <c r="C277" s="88" t="s">
        <v>146</v>
      </c>
      <c r="D277" s="88" t="s">
        <v>134</v>
      </c>
      <c r="E277" s="88" t="s">
        <v>139</v>
      </c>
      <c r="F277" s="694" t="s">
        <v>139</v>
      </c>
      <c r="G277" s="88"/>
      <c r="H277" s="88"/>
      <c r="I277" s="88"/>
      <c r="J277" s="86" t="s">
        <v>1280</v>
      </c>
      <c r="K277" s="658"/>
      <c r="L277" s="658"/>
      <c r="M277" s="658"/>
      <c r="N277" s="1853">
        <f t="shared" si="101"/>
        <v>0</v>
      </c>
      <c r="O277" s="658"/>
      <c r="P277" s="658"/>
      <c r="Q277" s="658"/>
      <c r="R277" s="658"/>
      <c r="S277" s="658"/>
      <c r="T277" s="1853"/>
      <c r="U277" s="721" t="e">
        <f t="shared" si="108"/>
        <v>#DIV/0!</v>
      </c>
      <c r="V277" s="88"/>
      <c r="W277" s="27"/>
      <c r="X277" s="27"/>
      <c r="Y277" s="699" t="s">
        <v>968</v>
      </c>
    </row>
    <row r="278" spans="1:25" ht="22.5" customHeight="1" thickTop="1" thickBot="1">
      <c r="A278" s="27" t="s">
        <v>127</v>
      </c>
      <c r="B278" s="88" t="s">
        <v>134</v>
      </c>
      <c r="C278" s="88" t="s">
        <v>146</v>
      </c>
      <c r="D278" s="88" t="s">
        <v>134</v>
      </c>
      <c r="E278" s="88" t="s">
        <v>139</v>
      </c>
      <c r="F278" s="694" t="s">
        <v>140</v>
      </c>
      <c r="G278" s="88"/>
      <c r="H278" s="88"/>
      <c r="I278" s="88"/>
      <c r="J278" s="86" t="s">
        <v>1281</v>
      </c>
      <c r="K278" s="658"/>
      <c r="L278" s="658"/>
      <c r="M278" s="658"/>
      <c r="N278" s="1853">
        <f t="shared" si="101"/>
        <v>0</v>
      </c>
      <c r="O278" s="658"/>
      <c r="P278" s="658"/>
      <c r="Q278" s="658"/>
      <c r="R278" s="658"/>
      <c r="S278" s="658"/>
      <c r="T278" s="1853"/>
      <c r="U278" s="721" t="e">
        <f t="shared" si="108"/>
        <v>#DIV/0!</v>
      </c>
      <c r="V278" s="88"/>
      <c r="W278" s="27"/>
      <c r="X278" s="27"/>
      <c r="Y278" s="699" t="s">
        <v>968</v>
      </c>
    </row>
    <row r="279" spans="1:25" ht="22.5" customHeight="1" thickTop="1" thickBot="1">
      <c r="A279" s="27" t="s">
        <v>127</v>
      </c>
      <c r="B279" s="88" t="s">
        <v>134</v>
      </c>
      <c r="C279" s="88" t="s">
        <v>146</v>
      </c>
      <c r="D279" s="88" t="s">
        <v>134</v>
      </c>
      <c r="E279" s="88" t="s">
        <v>139</v>
      </c>
      <c r="F279" s="694" t="s">
        <v>144</v>
      </c>
      <c r="G279" s="88"/>
      <c r="H279" s="88"/>
      <c r="I279" s="88"/>
      <c r="J279" s="86" t="s">
        <v>1282</v>
      </c>
      <c r="K279" s="658"/>
      <c r="L279" s="658"/>
      <c r="M279" s="658"/>
      <c r="N279" s="1853">
        <f t="shared" si="101"/>
        <v>0</v>
      </c>
      <c r="O279" s="658"/>
      <c r="P279" s="658"/>
      <c r="Q279" s="658"/>
      <c r="R279" s="658"/>
      <c r="S279" s="658"/>
      <c r="T279" s="1853"/>
      <c r="U279" s="721" t="e">
        <f t="shared" si="108"/>
        <v>#DIV/0!</v>
      </c>
      <c r="V279" s="88"/>
      <c r="W279" s="27"/>
      <c r="X279" s="27"/>
      <c r="Y279" s="699" t="s">
        <v>968</v>
      </c>
    </row>
    <row r="280" spans="1:25" s="1" customFormat="1" ht="22.5" customHeight="1" thickTop="1" thickBot="1">
      <c r="A280" s="720" t="s">
        <v>127</v>
      </c>
      <c r="B280" s="694" t="s">
        <v>134</v>
      </c>
      <c r="C280" s="694" t="s">
        <v>146</v>
      </c>
      <c r="D280" s="694" t="s">
        <v>134</v>
      </c>
      <c r="E280" s="694" t="s">
        <v>140</v>
      </c>
      <c r="F280" s="694"/>
      <c r="G280" s="694"/>
      <c r="H280" s="88"/>
      <c r="I280" s="88"/>
      <c r="J280" s="717" t="s">
        <v>1283</v>
      </c>
      <c r="K280" s="718"/>
      <c r="L280" s="718"/>
      <c r="M280" s="718"/>
      <c r="N280" s="1843">
        <f t="shared" si="101"/>
        <v>0</v>
      </c>
      <c r="O280" s="718"/>
      <c r="P280" s="718"/>
      <c r="Q280" s="718"/>
      <c r="R280" s="718"/>
      <c r="S280" s="718"/>
      <c r="T280" s="1843"/>
      <c r="U280" s="719" t="e">
        <f t="shared" si="108"/>
        <v>#DIV/0!</v>
      </c>
      <c r="V280" s="694"/>
      <c r="W280" s="720"/>
      <c r="X280" s="720"/>
      <c r="Y280" s="699" t="s">
        <v>968</v>
      </c>
    </row>
    <row r="281" spans="1:25" s="1" customFormat="1" ht="22.5" customHeight="1" thickTop="1" thickBot="1">
      <c r="A281" s="720" t="s">
        <v>127</v>
      </c>
      <c r="B281" s="694" t="s">
        <v>134</v>
      </c>
      <c r="C281" s="694" t="s">
        <v>146</v>
      </c>
      <c r="D281" s="694" t="s">
        <v>134</v>
      </c>
      <c r="E281" s="694" t="s">
        <v>144</v>
      </c>
      <c r="F281" s="694"/>
      <c r="G281" s="694"/>
      <c r="H281" s="88"/>
      <c r="I281" s="88"/>
      <c r="J281" s="717" t="s">
        <v>1284</v>
      </c>
      <c r="K281" s="718"/>
      <c r="L281" s="718"/>
      <c r="M281" s="718"/>
      <c r="N281" s="1843">
        <f t="shared" si="101"/>
        <v>0</v>
      </c>
      <c r="O281" s="718"/>
      <c r="P281" s="718"/>
      <c r="Q281" s="718"/>
      <c r="R281" s="718"/>
      <c r="S281" s="718"/>
      <c r="T281" s="1843"/>
      <c r="U281" s="719" t="e">
        <f t="shared" si="108"/>
        <v>#DIV/0!</v>
      </c>
      <c r="V281" s="694"/>
      <c r="W281" s="720"/>
      <c r="X281" s="720"/>
      <c r="Y281" s="699" t="s">
        <v>968</v>
      </c>
    </row>
    <row r="282" spans="1:25" s="1" customFormat="1" ht="22.5" customHeight="1" thickTop="1" thickBot="1">
      <c r="A282" s="711" t="s">
        <v>127</v>
      </c>
      <c r="B282" s="712" t="s">
        <v>134</v>
      </c>
      <c r="C282" s="712" t="s">
        <v>146</v>
      </c>
      <c r="D282" s="712" t="s">
        <v>139</v>
      </c>
      <c r="E282" s="712"/>
      <c r="F282" s="712"/>
      <c r="G282" s="712"/>
      <c r="H282" s="713"/>
      <c r="I282" s="713"/>
      <c r="J282" s="714" t="s">
        <v>1285</v>
      </c>
      <c r="K282" s="715">
        <f>+K283+K285+K286+K292+K293+K294+K295+K296+K301</f>
        <v>0</v>
      </c>
      <c r="L282" s="715">
        <f>+L283+L285+L286+L292+L293+L294+L295+L296+L301</f>
        <v>0</v>
      </c>
      <c r="M282" s="715">
        <f>+M283+M285+M286+M292+M293+M294+M295+M296+M301</f>
        <v>0</v>
      </c>
      <c r="N282" s="1852">
        <f t="shared" si="101"/>
        <v>0</v>
      </c>
      <c r="O282" s="715">
        <f t="shared" ref="O282:T282" si="112">+O283+O285+O286+O292+O293+O294+O295+O296+O301</f>
        <v>0</v>
      </c>
      <c r="P282" s="715">
        <f t="shared" si="112"/>
        <v>0</v>
      </c>
      <c r="Q282" s="715">
        <f t="shared" si="112"/>
        <v>0</v>
      </c>
      <c r="R282" s="715">
        <f t="shared" si="112"/>
        <v>0</v>
      </c>
      <c r="S282" s="715">
        <f>+S283+S285+S286+S292+S293+S294+S295+S296+S301</f>
        <v>0</v>
      </c>
      <c r="T282" s="1852">
        <f t="shared" si="112"/>
        <v>0</v>
      </c>
      <c r="U282" s="716" t="e">
        <f t="shared" si="108"/>
        <v>#DIV/0!</v>
      </c>
      <c r="V282" s="712"/>
      <c r="W282" s="712"/>
      <c r="X282" s="712"/>
      <c r="Y282" s="699" t="s">
        <v>968</v>
      </c>
    </row>
    <row r="283" spans="1:25" s="1" customFormat="1" ht="22.5" customHeight="1" thickTop="1" thickBot="1">
      <c r="A283" s="720" t="s">
        <v>127</v>
      </c>
      <c r="B283" s="694" t="s">
        <v>134</v>
      </c>
      <c r="C283" s="694" t="s">
        <v>146</v>
      </c>
      <c r="D283" s="694" t="s">
        <v>139</v>
      </c>
      <c r="E283" s="694" t="s">
        <v>129</v>
      </c>
      <c r="F283" s="694"/>
      <c r="G283" s="694"/>
      <c r="H283" s="88"/>
      <c r="I283" s="88"/>
      <c r="J283" s="717" t="s">
        <v>1286</v>
      </c>
      <c r="K283" s="718">
        <f t="shared" ref="K283:T283" si="113">+K284</f>
        <v>0</v>
      </c>
      <c r="L283" s="718">
        <f>+L284</f>
        <v>0</v>
      </c>
      <c r="M283" s="718">
        <f>+M284</f>
        <v>0</v>
      </c>
      <c r="N283" s="1843">
        <f t="shared" si="101"/>
        <v>0</v>
      </c>
      <c r="O283" s="718">
        <f t="shared" si="113"/>
        <v>0</v>
      </c>
      <c r="P283" s="718">
        <f t="shared" si="113"/>
        <v>0</v>
      </c>
      <c r="Q283" s="718">
        <f t="shared" si="113"/>
        <v>0</v>
      </c>
      <c r="R283" s="718">
        <f t="shared" si="113"/>
        <v>0</v>
      </c>
      <c r="S283" s="718">
        <f t="shared" si="113"/>
        <v>0</v>
      </c>
      <c r="T283" s="1843">
        <f t="shared" si="113"/>
        <v>0</v>
      </c>
      <c r="U283" s="719" t="e">
        <f t="shared" si="108"/>
        <v>#DIV/0!</v>
      </c>
      <c r="V283" s="694"/>
      <c r="W283" s="720"/>
      <c r="X283" s="720"/>
      <c r="Y283" s="699" t="s">
        <v>968</v>
      </c>
    </row>
    <row r="284" spans="1:25" ht="22.5" customHeight="1" thickTop="1" thickBot="1">
      <c r="A284" s="27" t="s">
        <v>127</v>
      </c>
      <c r="B284" s="88" t="s">
        <v>134</v>
      </c>
      <c r="C284" s="88" t="s">
        <v>146</v>
      </c>
      <c r="D284" s="88" t="s">
        <v>139</v>
      </c>
      <c r="E284" s="88" t="s">
        <v>129</v>
      </c>
      <c r="F284" s="694" t="s">
        <v>129</v>
      </c>
      <c r="G284" s="88"/>
      <c r="H284" s="88"/>
      <c r="I284" s="88"/>
      <c r="J284" s="86" t="s">
        <v>1287</v>
      </c>
      <c r="K284" s="658"/>
      <c r="L284" s="658"/>
      <c r="M284" s="658"/>
      <c r="N284" s="1843">
        <f t="shared" si="101"/>
        <v>0</v>
      </c>
      <c r="O284" s="658"/>
      <c r="P284" s="658"/>
      <c r="Q284" s="658"/>
      <c r="R284" s="658"/>
      <c r="S284" s="718"/>
      <c r="T284" s="1853"/>
      <c r="U284" s="721" t="e">
        <f t="shared" si="108"/>
        <v>#DIV/0!</v>
      </c>
      <c r="V284" s="88"/>
      <c r="W284" s="27"/>
      <c r="X284" s="27"/>
      <c r="Y284" s="699" t="s">
        <v>968</v>
      </c>
    </row>
    <row r="285" spans="1:25" s="1" customFormat="1" ht="22.5" customHeight="1" thickTop="1" thickBot="1">
      <c r="A285" s="720" t="s">
        <v>127</v>
      </c>
      <c r="B285" s="694" t="s">
        <v>134</v>
      </c>
      <c r="C285" s="694" t="s">
        <v>146</v>
      </c>
      <c r="D285" s="694" t="s">
        <v>139</v>
      </c>
      <c r="E285" s="694" t="s">
        <v>134</v>
      </c>
      <c r="F285" s="694"/>
      <c r="G285" s="694"/>
      <c r="H285" s="88"/>
      <c r="I285" s="88"/>
      <c r="J285" s="717" t="s">
        <v>1288</v>
      </c>
      <c r="K285" s="718"/>
      <c r="L285" s="718"/>
      <c r="M285" s="718"/>
      <c r="N285" s="1843">
        <f t="shared" si="101"/>
        <v>0</v>
      </c>
      <c r="O285" s="718"/>
      <c r="P285" s="718"/>
      <c r="Q285" s="718"/>
      <c r="R285" s="718"/>
      <c r="S285" s="718"/>
      <c r="T285" s="1843"/>
      <c r="U285" s="719" t="e">
        <f t="shared" si="108"/>
        <v>#DIV/0!</v>
      </c>
      <c r="V285" s="694"/>
      <c r="W285" s="720"/>
      <c r="X285" s="720"/>
      <c r="Y285" s="699" t="s">
        <v>968</v>
      </c>
    </row>
    <row r="286" spans="1:25" s="1" customFormat="1" ht="22.5" customHeight="1" thickTop="1" thickBot="1">
      <c r="A286" s="720" t="s">
        <v>127</v>
      </c>
      <c r="B286" s="694" t="s">
        <v>134</v>
      </c>
      <c r="C286" s="694" t="s">
        <v>146</v>
      </c>
      <c r="D286" s="694" t="s">
        <v>139</v>
      </c>
      <c r="E286" s="694" t="s">
        <v>139</v>
      </c>
      <c r="F286" s="694"/>
      <c r="G286" s="694"/>
      <c r="H286" s="88"/>
      <c r="I286" s="88"/>
      <c r="J286" s="717" t="s">
        <v>1289</v>
      </c>
      <c r="K286" s="718">
        <f t="shared" ref="K286:T286" si="114">+K287+K288+K289+K290+K291</f>
        <v>0</v>
      </c>
      <c r="L286" s="718">
        <f>+L287+L288+L289+L290+L291</f>
        <v>0</v>
      </c>
      <c r="M286" s="718">
        <f>+M287+M288+M289+M290+M291</f>
        <v>0</v>
      </c>
      <c r="N286" s="1843">
        <f t="shared" si="101"/>
        <v>0</v>
      </c>
      <c r="O286" s="718">
        <f t="shared" si="114"/>
        <v>0</v>
      </c>
      <c r="P286" s="718">
        <f t="shared" si="114"/>
        <v>0</v>
      </c>
      <c r="Q286" s="718">
        <f t="shared" si="114"/>
        <v>0</v>
      </c>
      <c r="R286" s="718">
        <f t="shared" si="114"/>
        <v>0</v>
      </c>
      <c r="S286" s="718">
        <f t="shared" si="114"/>
        <v>0</v>
      </c>
      <c r="T286" s="1843">
        <f t="shared" si="114"/>
        <v>0</v>
      </c>
      <c r="U286" s="719" t="e">
        <f t="shared" si="108"/>
        <v>#DIV/0!</v>
      </c>
      <c r="V286" s="694"/>
      <c r="W286" s="720"/>
      <c r="X286" s="720"/>
      <c r="Y286" s="699" t="s">
        <v>968</v>
      </c>
    </row>
    <row r="287" spans="1:25" ht="22.5" customHeight="1" thickTop="1" thickBot="1">
      <c r="A287" s="27" t="s">
        <v>127</v>
      </c>
      <c r="B287" s="88" t="s">
        <v>134</v>
      </c>
      <c r="C287" s="88" t="s">
        <v>146</v>
      </c>
      <c r="D287" s="88" t="s">
        <v>139</v>
      </c>
      <c r="E287" s="88" t="s">
        <v>139</v>
      </c>
      <c r="F287" s="694" t="s">
        <v>129</v>
      </c>
      <c r="G287" s="88"/>
      <c r="H287" s="88"/>
      <c r="I287" s="88"/>
      <c r="J287" s="86" t="s">
        <v>1290</v>
      </c>
      <c r="K287" s="658"/>
      <c r="L287" s="658"/>
      <c r="M287" s="658"/>
      <c r="N287" s="1843">
        <f t="shared" si="101"/>
        <v>0</v>
      </c>
      <c r="O287" s="658"/>
      <c r="P287" s="658"/>
      <c r="Q287" s="658"/>
      <c r="R287" s="658"/>
      <c r="S287" s="718"/>
      <c r="T287" s="1853"/>
      <c r="U287" s="721" t="e">
        <f t="shared" si="108"/>
        <v>#DIV/0!</v>
      </c>
      <c r="V287" s="88"/>
      <c r="W287" s="27"/>
      <c r="X287" s="27"/>
      <c r="Y287" s="699" t="s">
        <v>968</v>
      </c>
    </row>
    <row r="288" spans="1:25" ht="22.5" customHeight="1" thickTop="1" thickBot="1">
      <c r="A288" s="27" t="s">
        <v>127</v>
      </c>
      <c r="B288" s="88" t="s">
        <v>134</v>
      </c>
      <c r="C288" s="88" t="s">
        <v>146</v>
      </c>
      <c r="D288" s="88" t="s">
        <v>139</v>
      </c>
      <c r="E288" s="88" t="s">
        <v>139</v>
      </c>
      <c r="F288" s="694" t="s">
        <v>134</v>
      </c>
      <c r="G288" s="88"/>
      <c r="H288" s="88"/>
      <c r="I288" s="88"/>
      <c r="J288" s="86" t="s">
        <v>1291</v>
      </c>
      <c r="K288" s="658"/>
      <c r="L288" s="658"/>
      <c r="M288" s="658"/>
      <c r="N288" s="1843">
        <f t="shared" si="101"/>
        <v>0</v>
      </c>
      <c r="O288" s="658"/>
      <c r="P288" s="658"/>
      <c r="Q288" s="658"/>
      <c r="R288" s="658"/>
      <c r="S288" s="718"/>
      <c r="T288" s="1853"/>
      <c r="U288" s="721" t="e">
        <f t="shared" si="108"/>
        <v>#DIV/0!</v>
      </c>
      <c r="V288" s="88"/>
      <c r="W288" s="27"/>
      <c r="X288" s="27"/>
      <c r="Y288" s="699" t="s">
        <v>968</v>
      </c>
    </row>
    <row r="289" spans="1:25" ht="22.5" customHeight="1" thickTop="1" thickBot="1">
      <c r="A289" s="27" t="s">
        <v>127</v>
      </c>
      <c r="B289" s="88" t="s">
        <v>134</v>
      </c>
      <c r="C289" s="88" t="s">
        <v>146</v>
      </c>
      <c r="D289" s="88" t="s">
        <v>139</v>
      </c>
      <c r="E289" s="88" t="s">
        <v>139</v>
      </c>
      <c r="F289" s="694" t="s">
        <v>139</v>
      </c>
      <c r="G289" s="88"/>
      <c r="H289" s="88"/>
      <c r="I289" s="88"/>
      <c r="J289" s="86" t="s">
        <v>1292</v>
      </c>
      <c r="K289" s="658"/>
      <c r="L289" s="658"/>
      <c r="M289" s="658"/>
      <c r="N289" s="1843">
        <f t="shared" si="101"/>
        <v>0</v>
      </c>
      <c r="O289" s="658"/>
      <c r="P289" s="658"/>
      <c r="Q289" s="658"/>
      <c r="R289" s="658"/>
      <c r="S289" s="718"/>
      <c r="T289" s="1853"/>
      <c r="U289" s="721" t="e">
        <f t="shared" si="108"/>
        <v>#DIV/0!</v>
      </c>
      <c r="V289" s="88"/>
      <c r="W289" s="27"/>
      <c r="X289" s="27"/>
      <c r="Y289" s="699" t="s">
        <v>968</v>
      </c>
    </row>
    <row r="290" spans="1:25" ht="22.5" customHeight="1" thickTop="1" thickBot="1">
      <c r="A290" s="27" t="s">
        <v>127</v>
      </c>
      <c r="B290" s="88" t="s">
        <v>134</v>
      </c>
      <c r="C290" s="88" t="s">
        <v>146</v>
      </c>
      <c r="D290" s="88" t="s">
        <v>139</v>
      </c>
      <c r="E290" s="88" t="s">
        <v>139</v>
      </c>
      <c r="F290" s="694" t="s">
        <v>140</v>
      </c>
      <c r="G290" s="88"/>
      <c r="H290" s="88"/>
      <c r="I290" s="88"/>
      <c r="J290" s="86" t="s">
        <v>1293</v>
      </c>
      <c r="K290" s="658"/>
      <c r="L290" s="658"/>
      <c r="M290" s="658"/>
      <c r="N290" s="1843">
        <f t="shared" si="101"/>
        <v>0</v>
      </c>
      <c r="O290" s="658"/>
      <c r="P290" s="658"/>
      <c r="Q290" s="658"/>
      <c r="R290" s="658"/>
      <c r="S290" s="718"/>
      <c r="T290" s="1853"/>
      <c r="U290" s="721" t="e">
        <f t="shared" si="108"/>
        <v>#DIV/0!</v>
      </c>
      <c r="V290" s="88"/>
      <c r="W290" s="27"/>
      <c r="X290" s="27"/>
      <c r="Y290" s="699" t="s">
        <v>968</v>
      </c>
    </row>
    <row r="291" spans="1:25" ht="22.5" customHeight="1" thickTop="1" thickBot="1">
      <c r="A291" s="27" t="s">
        <v>127</v>
      </c>
      <c r="B291" s="88" t="s">
        <v>134</v>
      </c>
      <c r="C291" s="88" t="s">
        <v>146</v>
      </c>
      <c r="D291" s="88" t="s">
        <v>139</v>
      </c>
      <c r="E291" s="88" t="s">
        <v>139</v>
      </c>
      <c r="F291" s="694" t="s">
        <v>144</v>
      </c>
      <c r="G291" s="88"/>
      <c r="H291" s="88"/>
      <c r="I291" s="88"/>
      <c r="J291" s="86" t="s">
        <v>1294</v>
      </c>
      <c r="K291" s="658"/>
      <c r="L291" s="658"/>
      <c r="M291" s="658"/>
      <c r="N291" s="1843">
        <f t="shared" si="101"/>
        <v>0</v>
      </c>
      <c r="O291" s="658"/>
      <c r="P291" s="658"/>
      <c r="Q291" s="658"/>
      <c r="R291" s="658"/>
      <c r="S291" s="718"/>
      <c r="T291" s="1853"/>
      <c r="U291" s="721" t="e">
        <f t="shared" si="108"/>
        <v>#DIV/0!</v>
      </c>
      <c r="V291" s="88"/>
      <c r="W291" s="27"/>
      <c r="X291" s="27"/>
      <c r="Y291" s="699" t="s">
        <v>968</v>
      </c>
    </row>
    <row r="292" spans="1:25" s="1" customFormat="1" ht="22.5" customHeight="1" thickTop="1" thickBot="1">
      <c r="A292" s="720" t="s">
        <v>127</v>
      </c>
      <c r="B292" s="694" t="s">
        <v>134</v>
      </c>
      <c r="C292" s="694" t="s">
        <v>146</v>
      </c>
      <c r="D292" s="694" t="s">
        <v>139</v>
      </c>
      <c r="E292" s="694" t="s">
        <v>140</v>
      </c>
      <c r="F292" s="694"/>
      <c r="G292" s="694"/>
      <c r="H292" s="88"/>
      <c r="I292" s="88"/>
      <c r="J292" s="717" t="s">
        <v>1295</v>
      </c>
      <c r="K292" s="718"/>
      <c r="L292" s="718"/>
      <c r="M292" s="718"/>
      <c r="N292" s="1843">
        <f t="shared" si="101"/>
        <v>0</v>
      </c>
      <c r="O292" s="718"/>
      <c r="P292" s="718"/>
      <c r="Q292" s="718"/>
      <c r="R292" s="718"/>
      <c r="S292" s="718"/>
      <c r="T292" s="1843"/>
      <c r="U292" s="719" t="e">
        <f t="shared" si="108"/>
        <v>#DIV/0!</v>
      </c>
      <c r="V292" s="694"/>
      <c r="W292" s="720"/>
      <c r="X292" s="720"/>
      <c r="Y292" s="699" t="s">
        <v>968</v>
      </c>
    </row>
    <row r="293" spans="1:25" s="1" customFormat="1" ht="22.5" customHeight="1" thickTop="1" thickBot="1">
      <c r="A293" s="720" t="s">
        <v>127</v>
      </c>
      <c r="B293" s="694" t="s">
        <v>134</v>
      </c>
      <c r="C293" s="694" t="s">
        <v>146</v>
      </c>
      <c r="D293" s="694" t="s">
        <v>139</v>
      </c>
      <c r="E293" s="694" t="s">
        <v>144</v>
      </c>
      <c r="F293" s="694"/>
      <c r="G293" s="694"/>
      <c r="H293" s="88"/>
      <c r="I293" s="88"/>
      <c r="J293" s="717" t="s">
        <v>1296</v>
      </c>
      <c r="K293" s="718"/>
      <c r="L293" s="718"/>
      <c r="M293" s="718"/>
      <c r="N293" s="1843">
        <f t="shared" si="101"/>
        <v>0</v>
      </c>
      <c r="O293" s="718"/>
      <c r="P293" s="718"/>
      <c r="Q293" s="718"/>
      <c r="R293" s="718"/>
      <c r="S293" s="718"/>
      <c r="T293" s="1843"/>
      <c r="U293" s="719" t="e">
        <f t="shared" si="108"/>
        <v>#DIV/0!</v>
      </c>
      <c r="V293" s="694"/>
      <c r="W293" s="720"/>
      <c r="X293" s="720"/>
      <c r="Y293" s="699" t="s">
        <v>968</v>
      </c>
    </row>
    <row r="294" spans="1:25" ht="22.5" customHeight="1" thickTop="1" thickBot="1">
      <c r="A294" s="720" t="s">
        <v>127</v>
      </c>
      <c r="B294" s="694" t="s">
        <v>134</v>
      </c>
      <c r="C294" s="694" t="s">
        <v>146</v>
      </c>
      <c r="D294" s="694" t="s">
        <v>139</v>
      </c>
      <c r="E294" s="694" t="s">
        <v>145</v>
      </c>
      <c r="F294" s="88"/>
      <c r="G294" s="88"/>
      <c r="H294" s="88"/>
      <c r="I294" s="88"/>
      <c r="J294" s="717" t="s">
        <v>1297</v>
      </c>
      <c r="K294" s="718"/>
      <c r="L294" s="718"/>
      <c r="M294" s="718"/>
      <c r="N294" s="1843">
        <f t="shared" si="101"/>
        <v>0</v>
      </c>
      <c r="O294" s="718"/>
      <c r="P294" s="718"/>
      <c r="Q294" s="718"/>
      <c r="R294" s="718"/>
      <c r="S294" s="718"/>
      <c r="T294" s="1843"/>
      <c r="U294" s="719" t="e">
        <f t="shared" si="108"/>
        <v>#DIV/0!</v>
      </c>
      <c r="V294" s="694"/>
      <c r="W294" s="720"/>
      <c r="X294" s="720"/>
    </row>
    <row r="295" spans="1:25" ht="22.5" customHeight="1" thickTop="1" thickBot="1">
      <c r="A295" s="720" t="s">
        <v>127</v>
      </c>
      <c r="B295" s="694" t="s">
        <v>134</v>
      </c>
      <c r="C295" s="694" t="s">
        <v>146</v>
      </c>
      <c r="D295" s="694" t="s">
        <v>139</v>
      </c>
      <c r="E295" s="694" t="s">
        <v>146</v>
      </c>
      <c r="F295" s="88"/>
      <c r="G295" s="88"/>
      <c r="H295" s="88"/>
      <c r="I295" s="88"/>
      <c r="J295" s="717" t="s">
        <v>1298</v>
      </c>
      <c r="K295" s="718"/>
      <c r="L295" s="718"/>
      <c r="M295" s="718"/>
      <c r="N295" s="1843">
        <f t="shared" si="101"/>
        <v>0</v>
      </c>
      <c r="O295" s="718"/>
      <c r="P295" s="718"/>
      <c r="Q295" s="718"/>
      <c r="R295" s="718"/>
      <c r="S295" s="718"/>
      <c r="T295" s="1843"/>
      <c r="U295" s="719" t="e">
        <f t="shared" si="108"/>
        <v>#DIV/0!</v>
      </c>
      <c r="V295" s="694"/>
      <c r="W295" s="720"/>
      <c r="X295" s="720"/>
    </row>
    <row r="296" spans="1:25" ht="22.5" customHeight="1" thickTop="1" thickBot="1">
      <c r="A296" s="720" t="s">
        <v>127</v>
      </c>
      <c r="B296" s="694" t="s">
        <v>134</v>
      </c>
      <c r="C296" s="694" t="s">
        <v>146</v>
      </c>
      <c r="D296" s="694" t="s">
        <v>139</v>
      </c>
      <c r="E296" s="694" t="s">
        <v>147</v>
      </c>
      <c r="F296" s="88"/>
      <c r="G296" s="88"/>
      <c r="H296" s="88"/>
      <c r="I296" s="88"/>
      <c r="J296" s="717" t="s">
        <v>1299</v>
      </c>
      <c r="K296" s="718">
        <f>+K297</f>
        <v>0</v>
      </c>
      <c r="L296" s="718">
        <f>+L297</f>
        <v>0</v>
      </c>
      <c r="M296" s="718">
        <f>+M297</f>
        <v>0</v>
      </c>
      <c r="N296" s="1843">
        <f t="shared" si="101"/>
        <v>0</v>
      </c>
      <c r="O296" s="718">
        <f t="shared" ref="O296:T296" si="115">+O297</f>
        <v>0</v>
      </c>
      <c r="P296" s="718">
        <f t="shared" si="115"/>
        <v>0</v>
      </c>
      <c r="Q296" s="718">
        <f t="shared" si="115"/>
        <v>0</v>
      </c>
      <c r="R296" s="718">
        <f t="shared" si="115"/>
        <v>0</v>
      </c>
      <c r="S296" s="718">
        <f>+S297</f>
        <v>0</v>
      </c>
      <c r="T296" s="1843">
        <f t="shared" si="115"/>
        <v>0</v>
      </c>
      <c r="U296" s="719" t="e">
        <f t="shared" si="108"/>
        <v>#DIV/0!</v>
      </c>
      <c r="V296" s="694"/>
      <c r="W296" s="720"/>
      <c r="X296" s="720"/>
    </row>
    <row r="297" spans="1:25" ht="22.5" customHeight="1" thickTop="1" thickBot="1">
      <c r="A297" s="27" t="s">
        <v>127</v>
      </c>
      <c r="B297" s="88" t="s">
        <v>134</v>
      </c>
      <c r="C297" s="88" t="s">
        <v>146</v>
      </c>
      <c r="D297" s="88" t="s">
        <v>139</v>
      </c>
      <c r="E297" s="88" t="s">
        <v>147</v>
      </c>
      <c r="F297" s="694" t="s">
        <v>129</v>
      </c>
      <c r="G297" s="88"/>
      <c r="H297" s="88"/>
      <c r="I297" s="88"/>
      <c r="J297" s="717" t="s">
        <v>1300</v>
      </c>
      <c r="K297" s="718">
        <f>K298+K299+K300</f>
        <v>0</v>
      </c>
      <c r="L297" s="718">
        <f>L298+L299+L300</f>
        <v>0</v>
      </c>
      <c r="M297" s="718">
        <f>M298+M299+M300</f>
        <v>0</v>
      </c>
      <c r="N297" s="1843">
        <f t="shared" si="101"/>
        <v>0</v>
      </c>
      <c r="O297" s="718">
        <f t="shared" ref="O297:T297" si="116">O298+O299+O300</f>
        <v>0</v>
      </c>
      <c r="P297" s="718">
        <f t="shared" si="116"/>
        <v>0</v>
      </c>
      <c r="Q297" s="718">
        <f t="shared" si="116"/>
        <v>0</v>
      </c>
      <c r="R297" s="718">
        <f t="shared" si="116"/>
        <v>0</v>
      </c>
      <c r="S297" s="718">
        <f>S298+S299+S300</f>
        <v>0</v>
      </c>
      <c r="T297" s="1843">
        <f t="shared" si="116"/>
        <v>0</v>
      </c>
      <c r="U297" s="719" t="e">
        <f t="shared" si="108"/>
        <v>#DIV/0!</v>
      </c>
      <c r="V297" s="694"/>
      <c r="W297" s="720"/>
      <c r="X297" s="720"/>
    </row>
    <row r="298" spans="1:25" ht="22.5" customHeight="1" thickTop="1" thickBot="1">
      <c r="A298" s="27" t="s">
        <v>127</v>
      </c>
      <c r="B298" s="88" t="s">
        <v>134</v>
      </c>
      <c r="C298" s="88" t="s">
        <v>146</v>
      </c>
      <c r="D298" s="88" t="s">
        <v>139</v>
      </c>
      <c r="E298" s="88" t="s">
        <v>147</v>
      </c>
      <c r="F298" s="88" t="s">
        <v>129</v>
      </c>
      <c r="G298" s="694" t="s">
        <v>129</v>
      </c>
      <c r="H298" s="88"/>
      <c r="I298" s="88"/>
      <c r="J298" s="86" t="s">
        <v>1301</v>
      </c>
      <c r="K298" s="718"/>
      <c r="L298" s="718"/>
      <c r="M298" s="718"/>
      <c r="N298" s="1843">
        <f t="shared" si="101"/>
        <v>0</v>
      </c>
      <c r="O298" s="718"/>
      <c r="P298" s="718"/>
      <c r="Q298" s="718"/>
      <c r="R298" s="718"/>
      <c r="S298" s="718"/>
      <c r="T298" s="1843"/>
      <c r="U298" s="719" t="e">
        <f t="shared" si="108"/>
        <v>#DIV/0!</v>
      </c>
      <c r="V298" s="694"/>
      <c r="W298" s="720"/>
      <c r="X298" s="720"/>
    </row>
    <row r="299" spans="1:25" ht="22.5" customHeight="1" thickTop="1" thickBot="1">
      <c r="A299" s="27" t="s">
        <v>127</v>
      </c>
      <c r="B299" s="88" t="s">
        <v>134</v>
      </c>
      <c r="C299" s="88" t="s">
        <v>146</v>
      </c>
      <c r="D299" s="88" t="s">
        <v>139</v>
      </c>
      <c r="E299" s="88" t="s">
        <v>147</v>
      </c>
      <c r="F299" s="88" t="s">
        <v>129</v>
      </c>
      <c r="G299" s="694" t="s">
        <v>134</v>
      </c>
      <c r="H299" s="88"/>
      <c r="I299" s="88"/>
      <c r="J299" s="86" t="s">
        <v>1302</v>
      </c>
      <c r="K299" s="718"/>
      <c r="L299" s="718"/>
      <c r="M299" s="718"/>
      <c r="N299" s="1843">
        <f t="shared" si="101"/>
        <v>0</v>
      </c>
      <c r="O299" s="718"/>
      <c r="P299" s="718"/>
      <c r="Q299" s="718"/>
      <c r="R299" s="718"/>
      <c r="S299" s="718"/>
      <c r="T299" s="1843"/>
      <c r="U299" s="719" t="e">
        <f t="shared" si="108"/>
        <v>#DIV/0!</v>
      </c>
      <c r="V299" s="694"/>
      <c r="W299" s="720"/>
      <c r="X299" s="720"/>
    </row>
    <row r="300" spans="1:25" ht="22.5" customHeight="1" thickTop="1" thickBot="1">
      <c r="A300" s="27" t="s">
        <v>127</v>
      </c>
      <c r="B300" s="88" t="s">
        <v>134</v>
      </c>
      <c r="C300" s="88" t="s">
        <v>146</v>
      </c>
      <c r="D300" s="88" t="s">
        <v>139</v>
      </c>
      <c r="E300" s="88" t="s">
        <v>147</v>
      </c>
      <c r="F300" s="88" t="s">
        <v>129</v>
      </c>
      <c r="G300" s="694" t="s">
        <v>139</v>
      </c>
      <c r="H300" s="88"/>
      <c r="I300" s="88"/>
      <c r="J300" s="86" t="s">
        <v>1303</v>
      </c>
      <c r="K300" s="718"/>
      <c r="L300" s="718"/>
      <c r="M300" s="718"/>
      <c r="N300" s="1843">
        <f t="shared" si="101"/>
        <v>0</v>
      </c>
      <c r="O300" s="718"/>
      <c r="P300" s="718"/>
      <c r="Q300" s="718"/>
      <c r="R300" s="718"/>
      <c r="S300" s="718"/>
      <c r="T300" s="1843"/>
      <c r="U300" s="719" t="e">
        <f t="shared" si="108"/>
        <v>#DIV/0!</v>
      </c>
      <c r="V300" s="694"/>
      <c r="W300" s="720"/>
      <c r="X300" s="720"/>
    </row>
    <row r="301" spans="1:25" ht="22.5" customHeight="1" thickTop="1" thickBot="1">
      <c r="A301" s="720" t="s">
        <v>127</v>
      </c>
      <c r="B301" s="694" t="s">
        <v>134</v>
      </c>
      <c r="C301" s="694" t="s">
        <v>146</v>
      </c>
      <c r="D301" s="694" t="s">
        <v>139</v>
      </c>
      <c r="E301" s="694" t="s">
        <v>180</v>
      </c>
      <c r="F301" s="88"/>
      <c r="G301" s="88"/>
      <c r="H301" s="88"/>
      <c r="I301" s="88"/>
      <c r="J301" s="717" t="s">
        <v>1304</v>
      </c>
      <c r="K301" s="718">
        <f>+K302</f>
        <v>0</v>
      </c>
      <c r="L301" s="718">
        <f>+L302</f>
        <v>0</v>
      </c>
      <c r="M301" s="718">
        <f>+M302</f>
        <v>0</v>
      </c>
      <c r="N301" s="1843">
        <f t="shared" si="101"/>
        <v>0</v>
      </c>
      <c r="O301" s="718">
        <f t="shared" ref="O301:T301" si="117">+O302</f>
        <v>0</v>
      </c>
      <c r="P301" s="718">
        <f t="shared" si="117"/>
        <v>0</v>
      </c>
      <c r="Q301" s="718">
        <f t="shared" si="117"/>
        <v>0</v>
      </c>
      <c r="R301" s="718">
        <f t="shared" si="117"/>
        <v>0</v>
      </c>
      <c r="S301" s="718">
        <f>+S302</f>
        <v>0</v>
      </c>
      <c r="T301" s="1843">
        <f t="shared" si="117"/>
        <v>0</v>
      </c>
      <c r="U301" s="719" t="e">
        <f t="shared" si="108"/>
        <v>#DIV/0!</v>
      </c>
      <c r="V301" s="694"/>
      <c r="W301" s="720"/>
      <c r="X301" s="720"/>
    </row>
    <row r="302" spans="1:25" ht="22.5" customHeight="1" thickTop="1" thickBot="1">
      <c r="A302" s="27" t="s">
        <v>127</v>
      </c>
      <c r="B302" s="88" t="s">
        <v>134</v>
      </c>
      <c r="C302" s="88" t="s">
        <v>146</v>
      </c>
      <c r="D302" s="88" t="s">
        <v>139</v>
      </c>
      <c r="E302" s="88" t="s">
        <v>180</v>
      </c>
      <c r="F302" s="694" t="s">
        <v>129</v>
      </c>
      <c r="G302" s="88"/>
      <c r="H302" s="88"/>
      <c r="I302" s="88"/>
      <c r="J302" s="86" t="s">
        <v>1305</v>
      </c>
      <c r="K302" s="718"/>
      <c r="L302" s="718"/>
      <c r="M302" s="718"/>
      <c r="N302" s="1843">
        <f t="shared" si="101"/>
        <v>0</v>
      </c>
      <c r="O302" s="718"/>
      <c r="P302" s="718"/>
      <c r="Q302" s="718"/>
      <c r="R302" s="718"/>
      <c r="S302" s="718"/>
      <c r="T302" s="1843"/>
      <c r="U302" s="719" t="e">
        <f t="shared" si="108"/>
        <v>#DIV/0!</v>
      </c>
      <c r="V302" s="694"/>
      <c r="W302" s="720"/>
      <c r="X302" s="720"/>
    </row>
    <row r="303" spans="1:25" ht="36" customHeight="1" thickTop="1"/>
    <row r="304" spans="1:25" ht="36" customHeight="1">
      <c r="K304" s="747"/>
    </row>
    <row r="305" spans="11:20" ht="36" customHeight="1">
      <c r="K305" s="662"/>
      <c r="T305" s="662"/>
    </row>
  </sheetData>
  <autoFilter ref="A6:Y504" xr:uid="{A7ABA035-AB69-4A92-BF45-9D86E5D6ADB1}"/>
  <mergeCells count="16">
    <mergeCell ref="W5:W6"/>
    <mergeCell ref="X5:X6"/>
    <mergeCell ref="A5:I5"/>
    <mergeCell ref="K5:K6"/>
    <mergeCell ref="T5:T6"/>
    <mergeCell ref="U5:U6"/>
    <mergeCell ref="V5:V6"/>
    <mergeCell ref="A1:V1"/>
    <mergeCell ref="A2:V2"/>
    <mergeCell ref="A3:V3"/>
    <mergeCell ref="A4:V4"/>
    <mergeCell ref="J5:J6"/>
    <mergeCell ref="L5:M5"/>
    <mergeCell ref="N5:N6"/>
    <mergeCell ref="O5:R5"/>
    <mergeCell ref="S5:S6"/>
  </mergeCells>
  <printOptions horizontalCentered="1" verticalCentered="1"/>
  <pageMargins left="0.78740157480314965" right="0.78740157480314965" top="0.98425196850393704" bottom="0.98425196850393704" header="0" footer="0"/>
  <pageSetup paperSize="9" scale="10"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CE4D9-CEC2-41DC-9B42-6628A58B2FCF}">
  <sheetPr>
    <pageSetUpPr fitToPage="1"/>
  </sheetPr>
  <dimension ref="A1:BB313"/>
  <sheetViews>
    <sheetView tabSelected="1" topLeftCell="A47" zoomScale="70" zoomScaleNormal="70" zoomScaleSheetLayoutView="75" workbookViewId="0">
      <selection activeCell="A49" sqref="A49"/>
    </sheetView>
  </sheetViews>
  <sheetFormatPr baseColWidth="10" defaultColWidth="11.42578125" defaultRowHeight="12.75"/>
  <cols>
    <col min="1" max="1" width="67.140625" style="4" customWidth="1"/>
    <col min="2" max="2" width="24.140625" style="4" customWidth="1"/>
    <col min="3" max="3" width="13" style="90" customWidth="1"/>
    <col min="4" max="5" width="12.28515625" style="90" customWidth="1"/>
    <col min="6" max="8" width="12.7109375" style="90" customWidth="1"/>
    <col min="9" max="11" width="16.140625" style="90" customWidth="1"/>
    <col min="12" max="12" width="15.7109375" style="90" customWidth="1"/>
    <col min="13" max="13" width="21.7109375" style="90" customWidth="1"/>
    <col min="14" max="14" width="16.28515625" style="90" customWidth="1"/>
    <col min="15" max="15" width="76.28515625" style="4" customWidth="1"/>
    <col min="16" max="16" width="26.140625" style="4" hidden="1" customWidth="1"/>
    <col min="17" max="20" width="20.85546875" style="4" customWidth="1"/>
    <col min="21" max="23" width="20.85546875" style="4" hidden="1" customWidth="1"/>
    <col min="24" max="24" width="19.140625" style="4" hidden="1" customWidth="1"/>
    <col min="25" max="25" width="19.42578125" style="90" customWidth="1"/>
    <col min="26" max="26" width="15.5703125" style="90" customWidth="1"/>
    <col min="27" max="27" width="18" style="90" customWidth="1"/>
    <col min="28" max="28" width="18" style="4" customWidth="1"/>
    <col min="29" max="30" width="21" style="4" customWidth="1"/>
    <col min="31" max="31" width="30.28515625" style="4" customWidth="1"/>
    <col min="32" max="32" width="25.7109375" style="4" customWidth="1"/>
    <col min="33" max="34" width="24.5703125" style="4" customWidth="1"/>
    <col min="35" max="35" width="19.28515625" style="264" customWidth="1"/>
    <col min="36" max="36" width="26.42578125" style="264" customWidth="1"/>
    <col min="37" max="38" width="27.42578125" style="4" customWidth="1"/>
    <col min="39" max="39" width="20.85546875" style="90" customWidth="1"/>
    <col min="40" max="40" width="30.5703125" style="4" customWidth="1"/>
    <col min="41" max="41" width="27.85546875" style="4" customWidth="1"/>
    <col min="42" max="44" width="25.5703125" style="4" customWidth="1"/>
    <col min="45" max="45" width="16" style="4" customWidth="1"/>
    <col min="46" max="46" width="30.7109375" style="4" customWidth="1"/>
    <col min="47" max="47" width="31.85546875" style="4" customWidth="1"/>
    <col min="48" max="48" width="22.140625" style="4" customWidth="1"/>
    <col min="49" max="49" width="25" style="4" customWidth="1"/>
    <col min="50" max="50" width="23" style="4" customWidth="1"/>
    <col min="51" max="51" width="39.140625" style="4" customWidth="1"/>
    <col min="52" max="52" width="20.42578125" style="4" customWidth="1"/>
    <col min="53" max="54" width="11.42578125" style="4" customWidth="1"/>
    <col min="55" max="16384" width="11.42578125" style="4"/>
  </cols>
  <sheetData>
    <row r="1" spans="1:54" ht="81.75" hidden="1" customHeight="1" thickBot="1">
      <c r="A1" s="2211"/>
      <c r="B1" s="2212"/>
      <c r="C1" s="2212"/>
      <c r="D1" s="2212"/>
      <c r="E1" s="2212"/>
      <c r="F1" s="2212"/>
      <c r="G1" s="2212"/>
      <c r="H1" s="2212"/>
      <c r="I1" s="2212"/>
      <c r="J1" s="2212"/>
      <c r="K1" s="2212"/>
      <c r="L1" s="2212"/>
      <c r="M1" s="2212"/>
      <c r="N1" s="2212"/>
      <c r="O1" s="2212"/>
      <c r="P1" s="2212"/>
      <c r="Q1" s="2212"/>
      <c r="R1" s="2212"/>
      <c r="S1" s="2212"/>
      <c r="T1" s="2212"/>
      <c r="U1" s="2212"/>
      <c r="V1" s="2212"/>
      <c r="W1" s="2212"/>
      <c r="X1" s="2212"/>
      <c r="Y1" s="2212"/>
      <c r="Z1" s="2212"/>
      <c r="AA1" s="2212"/>
      <c r="AB1" s="2212"/>
      <c r="AC1" s="2212"/>
      <c r="AD1" s="2212"/>
      <c r="AE1" s="2212"/>
      <c r="AF1" s="2212"/>
      <c r="AG1" s="2212"/>
      <c r="AH1" s="2212"/>
      <c r="AI1" s="2212"/>
      <c r="AJ1" s="2212"/>
      <c r="AK1" s="2212"/>
      <c r="AL1" s="2212"/>
      <c r="AM1" s="2212"/>
      <c r="AN1" s="2212"/>
      <c r="AO1" s="2212"/>
      <c r="AP1" s="2212"/>
      <c r="AQ1" s="2212"/>
      <c r="AR1" s="2212"/>
      <c r="AS1" s="2212"/>
      <c r="AT1" s="2212"/>
      <c r="AU1" s="2212"/>
      <c r="AV1" s="2212"/>
      <c r="AW1" s="2212"/>
      <c r="AX1" s="2212"/>
      <c r="AY1" s="2212"/>
      <c r="AZ1" s="2213"/>
    </row>
    <row r="2" spans="1:54" s="5" customFormat="1" ht="26.25" hidden="1" customHeight="1">
      <c r="A2" s="2228" t="str">
        <f>+'[2]Datos Generales'!C5</f>
        <v>Corporación Autónoma Regional del Atlántico – CRA</v>
      </c>
      <c r="B2" s="2229"/>
      <c r="C2" s="2229"/>
      <c r="D2" s="2229"/>
      <c r="E2" s="2229"/>
      <c r="F2" s="2229"/>
      <c r="G2" s="2229"/>
      <c r="H2" s="2229"/>
      <c r="I2" s="2229"/>
      <c r="J2" s="2229"/>
      <c r="K2" s="2229"/>
      <c r="L2" s="2229"/>
      <c r="M2" s="2229"/>
      <c r="N2" s="2229"/>
      <c r="O2" s="2229"/>
      <c r="P2" s="2229"/>
      <c r="Q2" s="2229"/>
      <c r="R2" s="2229"/>
      <c r="S2" s="2229"/>
      <c r="T2" s="2229"/>
      <c r="U2" s="2229"/>
      <c r="V2" s="2229"/>
      <c r="W2" s="2229"/>
      <c r="X2" s="2229"/>
      <c r="Y2" s="2229"/>
      <c r="Z2" s="2229"/>
      <c r="AA2" s="2229"/>
      <c r="AB2" s="2229"/>
      <c r="AC2" s="2229"/>
      <c r="AD2" s="2229"/>
      <c r="AE2" s="2229"/>
      <c r="AF2" s="2229"/>
      <c r="AG2" s="2229"/>
      <c r="AH2" s="2229"/>
      <c r="AI2" s="2229"/>
      <c r="AJ2" s="2229"/>
      <c r="AK2" s="2229"/>
      <c r="AL2" s="2229"/>
      <c r="AM2" s="2229"/>
      <c r="AN2" s="2229"/>
      <c r="AO2" s="2229"/>
      <c r="AP2" s="2229"/>
      <c r="AQ2" s="2229"/>
      <c r="AR2" s="2229"/>
      <c r="AS2" s="2229"/>
      <c r="AT2" s="2229"/>
      <c r="AU2" s="2229"/>
      <c r="AV2" s="2229"/>
      <c r="AW2" s="2229"/>
      <c r="AX2" s="2229"/>
      <c r="AY2" s="2229"/>
      <c r="AZ2" s="2230"/>
    </row>
    <row r="3" spans="1:54" s="5" customFormat="1" ht="18.75" hidden="1" customHeight="1" thickBot="1">
      <c r="A3" s="2231" t="s">
        <v>100</v>
      </c>
      <c r="B3" s="2232"/>
      <c r="C3" s="2232"/>
      <c r="D3" s="2232"/>
      <c r="E3" s="2232"/>
      <c r="F3" s="2232"/>
      <c r="G3" s="2232"/>
      <c r="H3" s="2232"/>
      <c r="I3" s="2232"/>
      <c r="J3" s="2232"/>
      <c r="K3" s="2232"/>
      <c r="L3" s="2232"/>
      <c r="M3" s="2232"/>
      <c r="N3" s="2232"/>
      <c r="O3" s="2232"/>
      <c r="P3" s="2232"/>
      <c r="Q3" s="2232"/>
      <c r="R3" s="2232"/>
      <c r="S3" s="2232"/>
      <c r="T3" s="2232"/>
      <c r="U3" s="2232"/>
      <c r="V3" s="2232"/>
      <c r="W3" s="2232"/>
      <c r="X3" s="2232"/>
      <c r="Y3" s="2232"/>
      <c r="Z3" s="2232"/>
      <c r="AA3" s="2232"/>
      <c r="AB3" s="2232"/>
      <c r="AC3" s="2232"/>
      <c r="AD3" s="2232"/>
      <c r="AE3" s="2232"/>
      <c r="AF3" s="2232"/>
      <c r="AG3" s="2232"/>
      <c r="AH3" s="2232"/>
      <c r="AI3" s="2232"/>
      <c r="AJ3" s="2232"/>
      <c r="AK3" s="2232"/>
      <c r="AL3" s="2232"/>
      <c r="AM3" s="2232"/>
      <c r="AN3" s="2232"/>
      <c r="AO3" s="2232"/>
      <c r="AP3" s="2232"/>
      <c r="AQ3" s="2232"/>
      <c r="AR3" s="2232"/>
      <c r="AS3" s="2232"/>
      <c r="AT3" s="2232"/>
      <c r="AU3" s="2232"/>
      <c r="AV3" s="2232"/>
      <c r="AW3" s="2232"/>
      <c r="AX3" s="2232"/>
      <c r="AY3" s="2232"/>
      <c r="AZ3" s="2233"/>
    </row>
    <row r="4" spans="1:54" s="5" customFormat="1" ht="46.5" hidden="1" customHeight="1" thickBot="1">
      <c r="A4" s="117" t="s">
        <v>101</v>
      </c>
      <c r="B4" s="118" t="str">
        <f>'[2]Datos Generales'!C6</f>
        <v>2021-II</v>
      </c>
      <c r="C4" s="119"/>
      <c r="D4" s="119"/>
      <c r="E4" s="119"/>
      <c r="F4" s="119"/>
      <c r="G4" s="119"/>
      <c r="H4" s="119"/>
      <c r="I4" s="119"/>
      <c r="J4" s="119"/>
      <c r="K4" s="119"/>
      <c r="L4" s="119"/>
      <c r="M4" s="119"/>
      <c r="N4" s="119"/>
      <c r="O4" s="118"/>
      <c r="P4" s="118"/>
      <c r="Q4" s="118"/>
      <c r="R4" s="118"/>
      <c r="S4" s="118"/>
      <c r="T4" s="118"/>
      <c r="U4" s="118"/>
      <c r="V4" s="118"/>
      <c r="W4" s="118"/>
      <c r="X4" s="118"/>
      <c r="Y4" s="119"/>
      <c r="Z4" s="119"/>
      <c r="AA4" s="119"/>
      <c r="AB4" s="118"/>
      <c r="AC4" s="118"/>
      <c r="AD4" s="118"/>
      <c r="AE4" s="118"/>
      <c r="AF4" s="118"/>
      <c r="AG4" s="118"/>
      <c r="AH4" s="118"/>
      <c r="AI4" s="262"/>
      <c r="AJ4" s="262"/>
      <c r="AK4" s="118"/>
      <c r="AL4" s="118"/>
      <c r="AM4" s="119"/>
      <c r="AN4" s="118"/>
      <c r="AO4" s="118"/>
      <c r="AP4" s="118"/>
      <c r="AQ4" s="118"/>
      <c r="AR4" s="118"/>
      <c r="AS4" s="118"/>
      <c r="AT4" s="118"/>
      <c r="AU4" s="118"/>
      <c r="AV4" s="918"/>
      <c r="AW4" s="118"/>
      <c r="AX4" s="118"/>
      <c r="AY4" s="118"/>
      <c r="AZ4" s="120"/>
    </row>
    <row r="5" spans="1:54" ht="53.25" hidden="1" customHeight="1" thickBot="1">
      <c r="A5" s="2178" t="s">
        <v>365</v>
      </c>
      <c r="B5" s="2181" t="s">
        <v>32</v>
      </c>
      <c r="C5" s="2182"/>
      <c r="D5" s="2182"/>
      <c r="E5" s="2182"/>
      <c r="F5" s="2182"/>
      <c r="G5" s="2182"/>
      <c r="H5" s="2182"/>
      <c r="I5" s="2182"/>
      <c r="J5" s="2182"/>
      <c r="K5" s="2182"/>
      <c r="L5" s="2182"/>
      <c r="M5" s="2182"/>
      <c r="N5" s="2182"/>
      <c r="O5" s="2182"/>
      <c r="P5" s="2182"/>
      <c r="Q5" s="2182"/>
      <c r="R5" s="2182"/>
      <c r="S5" s="2182"/>
      <c r="T5" s="2182"/>
      <c r="U5" s="2182"/>
      <c r="V5" s="2182"/>
      <c r="W5" s="2182"/>
      <c r="X5" s="2182"/>
      <c r="Y5" s="2182"/>
      <c r="Z5" s="2183"/>
      <c r="AA5" s="2183"/>
      <c r="AB5" s="2183"/>
      <c r="AC5" s="2183"/>
      <c r="AD5" s="1914"/>
      <c r="AE5" s="2184"/>
      <c r="AF5" s="2184"/>
      <c r="AG5" s="2184"/>
      <c r="AH5" s="2184"/>
      <c r="AI5" s="2184"/>
      <c r="AJ5" s="2184"/>
      <c r="AK5" s="2184"/>
      <c r="AL5" s="2184"/>
      <c r="AM5" s="2184"/>
      <c r="AN5" s="2184"/>
      <c r="AO5" s="2184"/>
      <c r="AP5" s="2184"/>
      <c r="AQ5" s="2184"/>
      <c r="AR5" s="2184"/>
      <c r="AS5" s="2184"/>
      <c r="AT5" s="2184"/>
      <c r="AU5" s="2184"/>
      <c r="AV5" s="2184"/>
      <c r="AW5" s="2178" t="s">
        <v>360</v>
      </c>
      <c r="AX5" s="2219" t="s">
        <v>361</v>
      </c>
      <c r="AY5" s="2222" t="s">
        <v>362</v>
      </c>
      <c r="AZ5" s="2324" t="s">
        <v>1440</v>
      </c>
      <c r="BA5" s="2319" t="s">
        <v>322</v>
      </c>
      <c r="BB5" s="2319" t="s">
        <v>329</v>
      </c>
    </row>
    <row r="6" spans="1:54" s="90" customFormat="1" ht="112.5" customHeight="1" thickBot="1">
      <c r="A6" s="2179"/>
      <c r="B6" s="2192" t="s">
        <v>331</v>
      </c>
      <c r="C6" s="2191" t="s">
        <v>330</v>
      </c>
      <c r="D6" s="2189"/>
      <c r="E6" s="2190"/>
      <c r="F6" s="2191" t="s">
        <v>318</v>
      </c>
      <c r="G6" s="2189"/>
      <c r="H6" s="2190"/>
      <c r="I6" s="2191" t="s">
        <v>317</v>
      </c>
      <c r="J6" s="2189"/>
      <c r="K6" s="2190"/>
      <c r="L6" s="2283" t="s">
        <v>33</v>
      </c>
      <c r="M6" s="2284"/>
      <c r="N6" s="2285"/>
      <c r="O6" s="2192" t="s">
        <v>34</v>
      </c>
      <c r="P6" s="2322" t="s">
        <v>338</v>
      </c>
      <c r="Q6" s="2172" t="s">
        <v>339</v>
      </c>
      <c r="R6" s="2172" t="s">
        <v>340</v>
      </c>
      <c r="S6" s="2172" t="s">
        <v>341</v>
      </c>
      <c r="T6" s="2172" t="s">
        <v>342</v>
      </c>
      <c r="U6" s="2172" t="s">
        <v>343</v>
      </c>
      <c r="V6" s="2172" t="s">
        <v>344</v>
      </c>
      <c r="W6" s="2172" t="s">
        <v>345</v>
      </c>
      <c r="X6" s="2192" t="s">
        <v>346</v>
      </c>
      <c r="Y6" s="2214" t="s">
        <v>347</v>
      </c>
      <c r="Z6" s="2214" t="s">
        <v>348</v>
      </c>
      <c r="AA6" s="2217" t="s">
        <v>408</v>
      </c>
      <c r="AB6" s="2176" t="s">
        <v>1441</v>
      </c>
      <c r="AC6" s="2200" t="s">
        <v>1442</v>
      </c>
      <c r="AD6" s="2200" t="s">
        <v>962</v>
      </c>
      <c r="AE6" s="2174" t="s">
        <v>350</v>
      </c>
      <c r="AF6" s="2286" t="s">
        <v>351</v>
      </c>
      <c r="AG6" s="2287"/>
      <c r="AH6" s="2174"/>
      <c r="AI6" s="2196" t="s">
        <v>2249</v>
      </c>
      <c r="AJ6" s="2286" t="s">
        <v>2164</v>
      </c>
      <c r="AK6" s="2287"/>
      <c r="AL6" s="2174"/>
      <c r="AM6" s="2196" t="s">
        <v>1443</v>
      </c>
      <c r="AN6" s="2196" t="s">
        <v>354</v>
      </c>
      <c r="AO6" s="2196" t="s">
        <v>355</v>
      </c>
      <c r="AP6" s="2196" t="s">
        <v>356</v>
      </c>
      <c r="AQ6" s="2196" t="s">
        <v>1611</v>
      </c>
      <c r="AR6" s="2196" t="s">
        <v>1612</v>
      </c>
      <c r="AS6" s="2196" t="s">
        <v>357</v>
      </c>
      <c r="AT6" s="2316" t="s">
        <v>358</v>
      </c>
      <c r="AU6" s="2198" t="s">
        <v>399</v>
      </c>
      <c r="AV6" s="2316" t="s">
        <v>359</v>
      </c>
      <c r="AW6" s="2194"/>
      <c r="AX6" s="2220"/>
      <c r="AY6" s="2223"/>
      <c r="AZ6" s="2325"/>
      <c r="BA6" s="2320"/>
      <c r="BB6" s="2320"/>
    </row>
    <row r="7" spans="1:54" ht="36" customHeight="1" thickBot="1">
      <c r="A7" s="2180"/>
      <c r="B7" s="2193"/>
      <c r="C7" s="209">
        <v>2020</v>
      </c>
      <c r="D7" s="122">
        <v>2021</v>
      </c>
      <c r="E7" s="122">
        <v>2022</v>
      </c>
      <c r="F7" s="122">
        <v>2020</v>
      </c>
      <c r="G7" s="122">
        <v>2021</v>
      </c>
      <c r="H7" s="122">
        <v>2022</v>
      </c>
      <c r="I7" s="122">
        <v>2020</v>
      </c>
      <c r="J7" s="122">
        <v>2021</v>
      </c>
      <c r="K7" s="122">
        <v>2022</v>
      </c>
      <c r="L7" s="122">
        <v>2020</v>
      </c>
      <c r="M7" s="122">
        <v>2021</v>
      </c>
      <c r="N7" s="122">
        <v>2022</v>
      </c>
      <c r="O7" s="2193"/>
      <c r="P7" s="2323"/>
      <c r="Q7" s="2173"/>
      <c r="R7" s="2173"/>
      <c r="S7" s="2173"/>
      <c r="T7" s="2173"/>
      <c r="U7" s="2173"/>
      <c r="V7" s="2173"/>
      <c r="W7" s="2173"/>
      <c r="X7" s="2193"/>
      <c r="Y7" s="2215"/>
      <c r="Z7" s="2216"/>
      <c r="AA7" s="2218"/>
      <c r="AB7" s="2177"/>
      <c r="AC7" s="2201"/>
      <c r="AD7" s="2201"/>
      <c r="AE7" s="2175"/>
      <c r="AF7" s="292">
        <v>2020</v>
      </c>
      <c r="AG7" s="1973">
        <v>2021</v>
      </c>
      <c r="AH7" s="1929">
        <v>2022</v>
      </c>
      <c r="AI7" s="2197"/>
      <c r="AJ7" s="292">
        <v>2020</v>
      </c>
      <c r="AK7" s="1973">
        <v>2021</v>
      </c>
      <c r="AL7" s="292">
        <v>2022</v>
      </c>
      <c r="AM7" s="2197"/>
      <c r="AN7" s="2197"/>
      <c r="AO7" s="2197"/>
      <c r="AP7" s="2197"/>
      <c r="AQ7" s="2197"/>
      <c r="AR7" s="2197"/>
      <c r="AS7" s="2197"/>
      <c r="AT7" s="2317"/>
      <c r="AU7" s="2199"/>
      <c r="AV7" s="2317"/>
      <c r="AW7" s="2195"/>
      <c r="AX7" s="2221"/>
      <c r="AY7" s="2224"/>
      <c r="AZ7" s="2326"/>
      <c r="BA7" s="2321"/>
      <c r="BB7" s="2321"/>
    </row>
    <row r="8" spans="1:54" ht="73.5" customHeight="1" thickBot="1">
      <c r="A8" s="919" t="s">
        <v>416</v>
      </c>
      <c r="B8" s="920"/>
      <c r="C8" s="921"/>
      <c r="D8" s="922"/>
      <c r="E8" s="922"/>
      <c r="F8" s="923"/>
      <c r="G8" s="921"/>
      <c r="H8" s="921"/>
      <c r="I8" s="921"/>
      <c r="J8" s="921"/>
      <c r="K8" s="921"/>
      <c r="L8" s="924">
        <f>+(L9*AB9)+(L32*AB32)+(L49*AB49)</f>
        <v>0.95166249999999986</v>
      </c>
      <c r="M8" s="924">
        <f>+(M9*AC9)+(M32*AC32)+(M49*AC49)</f>
        <v>0.91109999999999991</v>
      </c>
      <c r="N8" s="933">
        <f>+(N9*AD9)+(N32*AD32)+(N49*AD49)</f>
        <v>0.92059625</v>
      </c>
      <c r="O8" s="925"/>
      <c r="P8" s="926"/>
      <c r="Q8" s="927"/>
      <c r="R8" s="925"/>
      <c r="S8" s="925"/>
      <c r="T8" s="927"/>
      <c r="U8" s="927"/>
      <c r="V8" s="927"/>
      <c r="W8" s="928"/>
      <c r="X8" s="929"/>
      <c r="Y8" s="930"/>
      <c r="Z8" s="931"/>
      <c r="AA8" s="932">
        <f>+(AA9*AB9)+(AA32*AB32)+(AA49*AB49)</f>
        <v>0.80786033470207308</v>
      </c>
      <c r="AB8" s="933">
        <v>0.4</v>
      </c>
      <c r="AC8" s="877">
        <v>0.4</v>
      </c>
      <c r="AD8" s="877">
        <v>0.4</v>
      </c>
      <c r="AE8" s="934">
        <v>100733943856</v>
      </c>
      <c r="AF8" s="934">
        <f t="shared" ref="AF8:AR8" si="0">+AF9+AF32+AF49</f>
        <v>46412999007.309998</v>
      </c>
      <c r="AG8" s="2052">
        <f t="shared" si="0"/>
        <v>68722723175.070007</v>
      </c>
      <c r="AH8" s="2113">
        <f t="shared" si="0"/>
        <v>100589592953.67999</v>
      </c>
      <c r="AI8" s="1982">
        <f>+AH8/AE8</f>
        <v>0.99856700833111078</v>
      </c>
      <c r="AJ8" s="934">
        <f t="shared" ref="AJ8" si="1">+AJ9+AJ32+AJ49</f>
        <v>32180803193</v>
      </c>
      <c r="AK8" s="935">
        <f t="shared" si="0"/>
        <v>57085007305.610001</v>
      </c>
      <c r="AL8" s="935">
        <f t="shared" si="0"/>
        <v>80228876344.839996</v>
      </c>
      <c r="AM8" s="936">
        <f>+AL8/AE8</f>
        <v>0.79644331665925672</v>
      </c>
      <c r="AN8" s="920">
        <f>+AN9+AN32+AN49</f>
        <v>20360716608.839996</v>
      </c>
      <c r="AO8" s="937">
        <f>+AO9+AO32+AO49</f>
        <v>14232195814.309999</v>
      </c>
      <c r="AP8" s="934">
        <f t="shared" si="0"/>
        <v>12033897383.209999</v>
      </c>
      <c r="AQ8" s="934">
        <f t="shared" si="0"/>
        <v>11637715869.460001</v>
      </c>
      <c r="AR8" s="934">
        <f t="shared" si="0"/>
        <v>2055747204.24</v>
      </c>
      <c r="AS8" s="938">
        <f>+AR8/AQ8</f>
        <v>0.17664524785613178</v>
      </c>
      <c r="AT8" s="934">
        <f t="shared" ref="AT8" si="2">+AT9+AT32+AT49</f>
        <v>238763908891.20001</v>
      </c>
      <c r="AU8" s="934">
        <f>+AU9+AU32+AU49</f>
        <v>183584331430.89999</v>
      </c>
      <c r="AV8" s="933">
        <f>+AU8/AT8</f>
        <v>0.76889481447782693</v>
      </c>
      <c r="AW8" s="920"/>
      <c r="AX8" s="939"/>
      <c r="AY8" s="937"/>
      <c r="AZ8" s="934"/>
      <c r="BA8" s="940"/>
      <c r="BB8" s="941"/>
    </row>
    <row r="9" spans="1:54" s="617" customFormat="1" ht="62.25" customHeight="1" thickBot="1">
      <c r="A9" s="942" t="s">
        <v>420</v>
      </c>
      <c r="B9" s="943"/>
      <c r="C9" s="944"/>
      <c r="D9" s="945"/>
      <c r="E9" s="945"/>
      <c r="F9" s="946"/>
      <c r="G9" s="944"/>
      <c r="H9" s="944"/>
      <c r="I9" s="944"/>
      <c r="J9" s="944"/>
      <c r="K9" s="944"/>
      <c r="L9" s="947">
        <f>+(L10*AB10)+(L23*AB23)+(L26*AB26)</f>
        <v>0.97399999999999987</v>
      </c>
      <c r="M9" s="947">
        <f>+(M10*AC10)+(M23*AC23)+(M26*AC26)</f>
        <v>0.87399999999999989</v>
      </c>
      <c r="N9" s="947">
        <f>+(N10*AD10)+(N23*AD23)+(N26*AD26)</f>
        <v>0.93159999999999987</v>
      </c>
      <c r="O9" s="948"/>
      <c r="P9" s="943"/>
      <c r="Q9" s="949"/>
      <c r="R9" s="948"/>
      <c r="S9" s="948"/>
      <c r="T9" s="949"/>
      <c r="U9" s="949"/>
      <c r="V9" s="949"/>
      <c r="W9" s="949"/>
      <c r="X9" s="950"/>
      <c r="Y9" s="951"/>
      <c r="Z9" s="952"/>
      <c r="AA9" s="953">
        <f>+(AA10*AB10)+(AA23*AB23)+(AA26*AB26)</f>
        <v>0.8587455654364019</v>
      </c>
      <c r="AB9" s="947">
        <v>0.65</v>
      </c>
      <c r="AC9" s="878">
        <v>0.65</v>
      </c>
      <c r="AD9" s="470">
        <v>0.65</v>
      </c>
      <c r="AE9" s="954">
        <v>48730549782</v>
      </c>
      <c r="AF9" s="954">
        <f t="shared" ref="AF9:AU9" si="3">+AF10+AF23+AF26</f>
        <v>6179050696.4099998</v>
      </c>
      <c r="AG9" s="943">
        <f t="shared" si="3"/>
        <v>16991407463.370001</v>
      </c>
      <c r="AH9" s="2114">
        <f t="shared" si="3"/>
        <v>48628750589.679993</v>
      </c>
      <c r="AI9" s="1983">
        <f t="shared" ref="AI9:AI72" si="4">+AH9/AE9</f>
        <v>0.99791097796402017</v>
      </c>
      <c r="AJ9" s="954">
        <f t="shared" ref="AJ9" si="5">+AJ10+AJ23+AJ26</f>
        <v>847340921</v>
      </c>
      <c r="AK9" s="956">
        <f t="shared" si="3"/>
        <v>15592621123.110001</v>
      </c>
      <c r="AL9" s="956">
        <f t="shared" si="3"/>
        <v>35287727541.839996</v>
      </c>
      <c r="AM9" s="957">
        <f t="shared" ref="AM9:AM72" si="6">+AL9/AE9</f>
        <v>0.7241397377969766</v>
      </c>
      <c r="AN9" s="943">
        <f t="shared" si="3"/>
        <v>13341023047.839996</v>
      </c>
      <c r="AO9" s="1934">
        <f t="shared" si="3"/>
        <v>5331709775.4099998</v>
      </c>
      <c r="AP9" s="954">
        <f t="shared" si="3"/>
        <v>4541923144.3299999</v>
      </c>
      <c r="AQ9" s="954">
        <f t="shared" si="3"/>
        <v>1398786340.26</v>
      </c>
      <c r="AR9" s="954">
        <f t="shared" si="3"/>
        <v>1174273412.04</v>
      </c>
      <c r="AS9" s="958">
        <f t="shared" ref="AS9:AS72" si="7">+AR9/AQ9</f>
        <v>0.83949448049494924</v>
      </c>
      <c r="AT9" s="954">
        <f t="shared" ref="AT9" si="8">+AT10+AT23+AT26</f>
        <v>61995000000</v>
      </c>
      <c r="AU9" s="954">
        <f t="shared" si="3"/>
        <v>57443886142.319992</v>
      </c>
      <c r="AV9" s="947">
        <f t="shared" ref="AV9:AV74" si="9">+AU9/AT9</f>
        <v>0.9265890175388336</v>
      </c>
      <c r="AW9" s="943"/>
      <c r="AX9" s="949" t="s">
        <v>295</v>
      </c>
      <c r="AY9" s="948"/>
      <c r="AZ9" s="954"/>
      <c r="BA9" s="959"/>
      <c r="BB9" s="960"/>
    </row>
    <row r="10" spans="1:54" ht="51" customHeight="1" thickBot="1">
      <c r="A10" s="961" t="s">
        <v>447</v>
      </c>
      <c r="B10" s="962"/>
      <c r="C10" s="861"/>
      <c r="D10" s="826"/>
      <c r="E10" s="826"/>
      <c r="F10" s="963"/>
      <c r="G10" s="861"/>
      <c r="H10" s="861"/>
      <c r="I10" s="861"/>
      <c r="J10" s="861"/>
      <c r="K10" s="861"/>
      <c r="L10" s="964">
        <f>+(L11*21%)+(L12*13%)+(L13*14%)+(L16*13%)+(L18*16%)+(L20*10%)+(L22*13%)</f>
        <v>0.87</v>
      </c>
      <c r="M10" s="964">
        <f>+SUMPRODUCT(M11:M22,AC11:AC22)</f>
        <v>0.37</v>
      </c>
      <c r="N10" s="964">
        <f>+SUMPRODUCT(N11:N22,AD11:AD22)</f>
        <v>0.65800000000000003</v>
      </c>
      <c r="O10" s="965"/>
      <c r="P10" s="962"/>
      <c r="Q10" s="966"/>
      <c r="R10" s="965"/>
      <c r="S10" s="965"/>
      <c r="T10" s="966"/>
      <c r="U10" s="966"/>
      <c r="V10" s="966"/>
      <c r="W10" s="966"/>
      <c r="X10" s="967"/>
      <c r="Y10" s="968"/>
      <c r="Z10" s="969"/>
      <c r="AA10" s="970">
        <f>+SUMPRODUCT(AA11:AA22,AB11:AB22)</f>
        <v>0.4477947542653426</v>
      </c>
      <c r="AB10" s="964">
        <v>0.2</v>
      </c>
      <c r="AC10" s="879">
        <v>0.2</v>
      </c>
      <c r="AD10" s="879">
        <v>0.2</v>
      </c>
      <c r="AE10" s="971">
        <v>1655000000</v>
      </c>
      <c r="AF10" s="971">
        <f>SUM(AF11:AF22)</f>
        <v>1022391740</v>
      </c>
      <c r="AG10" s="962">
        <f t="shared" ref="AG10:AU10" si="10">SUM(AG11:AG22)</f>
        <v>783124557.20000005</v>
      </c>
      <c r="AH10" s="2115">
        <f t="shared" si="10"/>
        <v>1621263065.8400002</v>
      </c>
      <c r="AI10" s="1984">
        <f t="shared" si="4"/>
        <v>0.97961514552265871</v>
      </c>
      <c r="AJ10" s="971">
        <f>SUM(AJ11:AJ22)</f>
        <v>185112600</v>
      </c>
      <c r="AK10" s="971">
        <f t="shared" si="10"/>
        <v>574476365</v>
      </c>
      <c r="AL10" s="971">
        <f t="shared" si="10"/>
        <v>1302767654</v>
      </c>
      <c r="AM10" s="973">
        <f t="shared" si="6"/>
        <v>0.78717078791540784</v>
      </c>
      <c r="AN10" s="974">
        <f t="shared" si="10"/>
        <v>318495411.84000003</v>
      </c>
      <c r="AO10" s="965">
        <f t="shared" si="10"/>
        <v>837279140</v>
      </c>
      <c r="AP10" s="971">
        <f t="shared" si="10"/>
        <v>817292444</v>
      </c>
      <c r="AQ10" s="971">
        <f t="shared" si="10"/>
        <v>208648192.19999999</v>
      </c>
      <c r="AR10" s="971">
        <f t="shared" si="10"/>
        <v>196202465.19999999</v>
      </c>
      <c r="AS10" s="967">
        <f t="shared" si="7"/>
        <v>0.94035065979354315</v>
      </c>
      <c r="AT10" s="971">
        <f t="shared" ref="AT10" si="11">SUM(AT11:AT22)</f>
        <v>10500000000</v>
      </c>
      <c r="AU10" s="971">
        <f t="shared" si="10"/>
        <v>3075851528.1999998</v>
      </c>
      <c r="AV10" s="964">
        <f t="shared" si="9"/>
        <v>0.29293824078095237</v>
      </c>
      <c r="AW10" s="974"/>
      <c r="AX10" s="975"/>
      <c r="AY10" s="283"/>
      <c r="AZ10" s="976"/>
      <c r="BA10" s="285"/>
      <c r="BB10" s="286"/>
    </row>
    <row r="11" spans="1:54" ht="99" customHeight="1">
      <c r="A11" s="317" t="s">
        <v>507</v>
      </c>
      <c r="B11" s="977" t="s">
        <v>699</v>
      </c>
      <c r="C11" s="858">
        <v>1</v>
      </c>
      <c r="D11" s="818">
        <v>0</v>
      </c>
      <c r="E11" s="383">
        <v>0</v>
      </c>
      <c r="F11" s="978">
        <v>0</v>
      </c>
      <c r="G11" s="858" t="s">
        <v>2163</v>
      </c>
      <c r="H11" s="858" t="s">
        <v>2163</v>
      </c>
      <c r="I11" s="858">
        <v>1</v>
      </c>
      <c r="J11" s="865"/>
      <c r="K11" s="865"/>
      <c r="L11" s="821">
        <f t="shared" ref="L11:L22" si="12">IF((F11+I11)/C11&gt;=100%,100%,(F11+I11)/C11)</f>
        <v>1</v>
      </c>
      <c r="M11" s="821" t="s">
        <v>2163</v>
      </c>
      <c r="N11" s="821" t="s">
        <v>2163</v>
      </c>
      <c r="O11" s="981"/>
      <c r="P11" s="982"/>
      <c r="Q11" s="983"/>
      <c r="R11" s="984"/>
      <c r="S11" s="982"/>
      <c r="T11" s="204"/>
      <c r="U11" s="204"/>
      <c r="V11" s="204"/>
      <c r="W11" s="985"/>
      <c r="X11" s="614"/>
      <c r="Y11" s="858">
        <v>1</v>
      </c>
      <c r="Z11" s="986">
        <f>SUM(F11:J11)</f>
        <v>1</v>
      </c>
      <c r="AA11" s="153">
        <f>IF(Z11/Y11&gt;=100%,100%,Z11/Y11)</f>
        <v>1</v>
      </c>
      <c r="AB11" s="821">
        <v>0.15</v>
      </c>
      <c r="AC11" s="880">
        <v>0</v>
      </c>
      <c r="AD11" s="472">
        <v>0</v>
      </c>
      <c r="AE11" s="515">
        <v>0</v>
      </c>
      <c r="AF11" s="360">
        <v>100000000</v>
      </c>
      <c r="AG11" s="989">
        <v>0</v>
      </c>
      <c r="AH11" s="2116"/>
      <c r="AI11" s="2110" t="e">
        <f t="shared" si="4"/>
        <v>#DIV/0!</v>
      </c>
      <c r="AJ11" s="360">
        <v>92612600</v>
      </c>
      <c r="AK11" s="360">
        <v>0</v>
      </c>
      <c r="AL11" s="1031"/>
      <c r="AM11" s="988" t="e">
        <f t="shared" si="6"/>
        <v>#DIV/0!</v>
      </c>
      <c r="AN11" s="997">
        <f t="shared" ref="AN11:AN24" si="13">+AH11-AL11</f>
        <v>0</v>
      </c>
      <c r="AO11" s="990">
        <v>7387400</v>
      </c>
      <c r="AP11" s="991">
        <v>7357400</v>
      </c>
      <c r="AQ11" s="1998"/>
      <c r="AR11" s="1998"/>
      <c r="AS11" s="992" t="e">
        <f t="shared" si="7"/>
        <v>#DIV/0!</v>
      </c>
      <c r="AT11" s="993">
        <v>3000000000</v>
      </c>
      <c r="AU11" s="993">
        <f>SUM(AJ11:AL11)+AP11+AR11</f>
        <v>99970000</v>
      </c>
      <c r="AV11" s="994">
        <f>+AU11/AT11</f>
        <v>3.3323333333333337E-2</v>
      </c>
      <c r="AW11" s="995"/>
      <c r="AX11" s="191"/>
      <c r="AY11" s="190" t="s">
        <v>31</v>
      </c>
      <c r="AZ11" s="2318" t="s">
        <v>888</v>
      </c>
      <c r="BA11" s="996"/>
      <c r="BB11" s="996"/>
    </row>
    <row r="12" spans="1:54" ht="93" customHeight="1">
      <c r="A12" s="317" t="s">
        <v>508</v>
      </c>
      <c r="B12" s="414" t="s">
        <v>705</v>
      </c>
      <c r="C12" s="147">
        <v>1</v>
      </c>
      <c r="D12" s="383">
        <v>1</v>
      </c>
      <c r="E12" s="383">
        <v>0</v>
      </c>
      <c r="F12" s="213">
        <v>0</v>
      </c>
      <c r="G12" s="147">
        <v>0</v>
      </c>
      <c r="H12" s="147">
        <v>0</v>
      </c>
      <c r="I12" s="859"/>
      <c r="J12" s="859"/>
      <c r="K12" s="859"/>
      <c r="L12" s="180">
        <f t="shared" si="12"/>
        <v>0</v>
      </c>
      <c r="M12" s="821">
        <f>IF((G12+J12)/D12&gt;=100%,100%,(G12+J12)/D12)</f>
        <v>0</v>
      </c>
      <c r="N12" s="821" t="s">
        <v>2163</v>
      </c>
      <c r="O12" s="152"/>
      <c r="P12" s="146"/>
      <c r="Q12" s="101"/>
      <c r="R12" s="104"/>
      <c r="S12" s="146"/>
      <c r="T12" s="149"/>
      <c r="U12" s="149"/>
      <c r="V12" s="149"/>
      <c r="W12" s="150"/>
      <c r="X12" s="155"/>
      <c r="Y12" s="147">
        <v>2</v>
      </c>
      <c r="Z12" s="242">
        <f t="shared" ref="Z12:Z75" si="14">SUM(F12:J12)</f>
        <v>0</v>
      </c>
      <c r="AA12" s="153">
        <f t="shared" ref="AA12:AA14" si="15">IF(Z12/Y12&gt;=100%,100%,Z12/Y12)</f>
        <v>0</v>
      </c>
      <c r="AB12" s="180">
        <v>0.08</v>
      </c>
      <c r="AC12" s="472">
        <v>0.12</v>
      </c>
      <c r="AD12" s="472">
        <v>0</v>
      </c>
      <c r="AE12" s="514">
        <v>0</v>
      </c>
      <c r="AF12" s="359">
        <v>60000000</v>
      </c>
      <c r="AG12" s="997">
        <v>277196619.19999999</v>
      </c>
      <c r="AH12" s="2116"/>
      <c r="AI12" s="1996" t="e">
        <f t="shared" si="4"/>
        <v>#DIV/0!</v>
      </c>
      <c r="AJ12" s="359">
        <v>30000000</v>
      </c>
      <c r="AK12" s="359">
        <v>265944498</v>
      </c>
      <c r="AL12" s="1031"/>
      <c r="AM12" s="642" t="e">
        <f t="shared" si="6"/>
        <v>#DIV/0!</v>
      </c>
      <c r="AN12" s="997">
        <f t="shared" si="13"/>
        <v>0</v>
      </c>
      <c r="AO12" s="998">
        <v>30000000</v>
      </c>
      <c r="AP12" s="999">
        <v>30000000</v>
      </c>
      <c r="AQ12" s="1998">
        <v>11252121.199999999</v>
      </c>
      <c r="AR12" s="1998">
        <v>9623548.1999999993</v>
      </c>
      <c r="AS12" s="992">
        <f t="shared" si="7"/>
        <v>0.85526524545434157</v>
      </c>
      <c r="AT12" s="249">
        <v>800000000</v>
      </c>
      <c r="AU12" s="993">
        <f>SUM(AJ12:AL12)+AP12+AR12</f>
        <v>335568046.19999999</v>
      </c>
      <c r="AV12" s="1000">
        <f t="shared" si="9"/>
        <v>0.41946005775</v>
      </c>
      <c r="AW12" s="1001"/>
      <c r="AX12" s="157"/>
      <c r="AY12" s="152" t="s">
        <v>31</v>
      </c>
      <c r="AZ12" s="2290"/>
      <c r="BA12" s="93"/>
      <c r="BB12" s="93"/>
    </row>
    <row r="13" spans="1:54" ht="168.75" customHeight="1">
      <c r="A13" s="317" t="s">
        <v>509</v>
      </c>
      <c r="B13" s="414" t="s">
        <v>706</v>
      </c>
      <c r="C13" s="182">
        <v>0.1</v>
      </c>
      <c r="D13" s="180">
        <v>0.1</v>
      </c>
      <c r="E13" s="180">
        <v>0.1</v>
      </c>
      <c r="F13" s="1002">
        <v>0.1</v>
      </c>
      <c r="G13" s="182">
        <v>0.1</v>
      </c>
      <c r="H13" s="182">
        <v>0.1</v>
      </c>
      <c r="I13" s="147"/>
      <c r="J13" s="147"/>
      <c r="K13" s="147"/>
      <c r="L13" s="180">
        <f t="shared" si="12"/>
        <v>1</v>
      </c>
      <c r="M13" s="821">
        <f>IF((G13+J13)/D13&gt;=100%,100%,(G13+J13)/D13)</f>
        <v>1</v>
      </c>
      <c r="N13" s="821">
        <f>IF((H13/E13)&gt;=100%,100%,(H13/E13))</f>
        <v>1</v>
      </c>
      <c r="O13" s="2165" t="s">
        <v>2422</v>
      </c>
      <c r="P13" s="146"/>
      <c r="Q13" s="2037" t="s">
        <v>336</v>
      </c>
      <c r="R13" s="104"/>
      <c r="S13" s="146" t="s">
        <v>2169</v>
      </c>
      <c r="T13" s="2038" t="s">
        <v>2168</v>
      </c>
      <c r="U13" s="149"/>
      <c r="V13" s="149"/>
      <c r="W13" s="150"/>
      <c r="X13" s="155"/>
      <c r="Y13" s="182">
        <v>0.4</v>
      </c>
      <c r="Z13" s="242">
        <f t="shared" si="14"/>
        <v>0.30000000000000004</v>
      </c>
      <c r="AA13" s="153">
        <f t="shared" si="15"/>
        <v>0.75000000000000011</v>
      </c>
      <c r="AB13" s="180">
        <v>0.08</v>
      </c>
      <c r="AC13" s="472">
        <v>0.13</v>
      </c>
      <c r="AD13" s="2024">
        <v>0.17</v>
      </c>
      <c r="AE13" s="513">
        <v>120000000</v>
      </c>
      <c r="AF13" s="359">
        <v>199891740</v>
      </c>
      <c r="AG13" s="997">
        <v>77543235</v>
      </c>
      <c r="AH13" s="2116">
        <v>115778932</v>
      </c>
      <c r="AI13" s="1996">
        <f t="shared" si="4"/>
        <v>0.96482443333333334</v>
      </c>
      <c r="AJ13" s="359">
        <v>0</v>
      </c>
      <c r="AK13" s="359">
        <v>62702998</v>
      </c>
      <c r="AL13" s="1031">
        <v>112969093</v>
      </c>
      <c r="AM13" s="642">
        <f t="shared" si="6"/>
        <v>0.94140910833333336</v>
      </c>
      <c r="AN13" s="997">
        <f t="shared" si="13"/>
        <v>2809839</v>
      </c>
      <c r="AO13" s="1003">
        <v>199891740</v>
      </c>
      <c r="AP13" s="1004">
        <v>189967522</v>
      </c>
      <c r="AQ13" s="1999">
        <v>14840237</v>
      </c>
      <c r="AR13" s="1999">
        <v>10438002</v>
      </c>
      <c r="AS13" s="992">
        <f t="shared" si="7"/>
        <v>0.70335817413158563</v>
      </c>
      <c r="AT13" s="249">
        <v>800000000</v>
      </c>
      <c r="AU13" s="993">
        <f t="shared" ref="AU13:AU31" si="16">SUM(AJ13:AL13)+AP13+AR13</f>
        <v>376077615</v>
      </c>
      <c r="AV13" s="1000">
        <f t="shared" si="9"/>
        <v>0.47009701874999998</v>
      </c>
      <c r="AW13" s="1001"/>
      <c r="AX13" s="157"/>
      <c r="AY13" s="152" t="s">
        <v>8</v>
      </c>
      <c r="AZ13" s="2311" t="s">
        <v>888</v>
      </c>
      <c r="BA13" s="93"/>
      <c r="BB13" s="93"/>
    </row>
    <row r="14" spans="1:54" ht="120.75" customHeight="1">
      <c r="A14" s="317" t="s">
        <v>510</v>
      </c>
      <c r="B14" s="414" t="s">
        <v>707</v>
      </c>
      <c r="C14" s="182">
        <v>0</v>
      </c>
      <c r="D14" s="180">
        <v>0.1</v>
      </c>
      <c r="E14" s="180">
        <v>0.1</v>
      </c>
      <c r="F14" s="182">
        <v>0</v>
      </c>
      <c r="G14" s="182">
        <v>0</v>
      </c>
      <c r="H14" s="182">
        <v>0</v>
      </c>
      <c r="I14" s="147"/>
      <c r="J14" s="147"/>
      <c r="K14" s="147"/>
      <c r="L14" s="180" t="e">
        <f t="shared" si="12"/>
        <v>#DIV/0!</v>
      </c>
      <c r="M14" s="821">
        <f>IF((G14+J14)/D14&gt;=100%,100%,(G14+J14)/D14)</f>
        <v>0</v>
      </c>
      <c r="N14" s="821">
        <f>IF((H14/E14)&gt;=100%,100%,(H14/E14))</f>
        <v>0</v>
      </c>
      <c r="O14" s="2165" t="s">
        <v>2254</v>
      </c>
      <c r="P14" s="146"/>
      <c r="Q14" s="101"/>
      <c r="R14" s="104"/>
      <c r="S14" s="146"/>
      <c r="T14" s="149"/>
      <c r="U14" s="149"/>
      <c r="V14" s="149"/>
      <c r="W14" s="150"/>
      <c r="X14" s="155"/>
      <c r="Y14" s="182">
        <v>0.30000000000000004</v>
      </c>
      <c r="Z14" s="242">
        <f t="shared" si="14"/>
        <v>0</v>
      </c>
      <c r="AA14" s="153">
        <f t="shared" si="15"/>
        <v>0</v>
      </c>
      <c r="AB14" s="180">
        <v>0.05</v>
      </c>
      <c r="AC14" s="472">
        <v>7.0000000000000007E-2</v>
      </c>
      <c r="AD14" s="2024">
        <v>0.13</v>
      </c>
      <c r="AE14" s="515">
        <v>120000000</v>
      </c>
      <c r="AF14" s="360" t="s">
        <v>887</v>
      </c>
      <c r="AG14" s="989">
        <v>79052654</v>
      </c>
      <c r="AH14" s="2116">
        <v>116938086.84</v>
      </c>
      <c r="AI14" s="1996">
        <f t="shared" si="4"/>
        <v>0.97448405700000007</v>
      </c>
      <c r="AJ14" s="360" t="s">
        <v>887</v>
      </c>
      <c r="AK14" s="360">
        <v>35880412</v>
      </c>
      <c r="AL14" s="1031">
        <v>113037976</v>
      </c>
      <c r="AM14" s="642">
        <f t="shared" si="6"/>
        <v>0.94198313333333328</v>
      </c>
      <c r="AN14" s="997">
        <f t="shared" si="13"/>
        <v>3900110.8400000036</v>
      </c>
      <c r="AO14" s="1006">
        <v>0</v>
      </c>
      <c r="AP14" s="1004">
        <v>0</v>
      </c>
      <c r="AQ14" s="1999">
        <v>43172242</v>
      </c>
      <c r="AR14" s="1999">
        <v>41441633</v>
      </c>
      <c r="AS14" s="992">
        <f t="shared" si="7"/>
        <v>0.95991384927379964</v>
      </c>
      <c r="AT14" s="249">
        <v>400000000</v>
      </c>
      <c r="AU14" s="993">
        <f t="shared" si="16"/>
        <v>190360021</v>
      </c>
      <c r="AV14" s="1000">
        <f t="shared" si="9"/>
        <v>0.4759000525</v>
      </c>
      <c r="AW14" s="1001"/>
      <c r="AX14" s="157"/>
      <c r="AY14" s="152" t="s">
        <v>8</v>
      </c>
      <c r="AZ14" s="2289"/>
      <c r="BA14" s="93"/>
      <c r="BB14" s="93"/>
    </row>
    <row r="15" spans="1:54" ht="119.25" customHeight="1">
      <c r="A15" s="317" t="s">
        <v>511</v>
      </c>
      <c r="B15" s="414" t="s">
        <v>708</v>
      </c>
      <c r="C15" s="1007">
        <v>0</v>
      </c>
      <c r="D15" s="180">
        <v>0.1</v>
      </c>
      <c r="E15" s="180">
        <v>0.1</v>
      </c>
      <c r="F15" s="182">
        <v>0</v>
      </c>
      <c r="G15" s="182">
        <v>0</v>
      </c>
      <c r="H15" s="182">
        <v>0</v>
      </c>
      <c r="I15" s="147"/>
      <c r="J15" s="147"/>
      <c r="K15" s="147"/>
      <c r="L15" s="180" t="e">
        <f t="shared" si="12"/>
        <v>#DIV/0!</v>
      </c>
      <c r="M15" s="821">
        <f>IF((G15+J15)/D15&gt;=100%,100%,(G15+J15)/D15)</f>
        <v>0</v>
      </c>
      <c r="N15" s="821">
        <f>IF((H15/E15)&gt;=100%,100%,(H15/E15))</f>
        <v>0</v>
      </c>
      <c r="O15" s="2165" t="s">
        <v>2255</v>
      </c>
      <c r="P15" s="146"/>
      <c r="Q15" s="101"/>
      <c r="R15" s="104"/>
      <c r="S15" s="146"/>
      <c r="T15" s="149"/>
      <c r="U15" s="149"/>
      <c r="V15" s="149"/>
      <c r="W15" s="150"/>
      <c r="X15" s="155"/>
      <c r="Y15" s="182">
        <v>0.30000000000000004</v>
      </c>
      <c r="Z15" s="242">
        <f t="shared" si="14"/>
        <v>0</v>
      </c>
      <c r="AA15" s="153">
        <f>IF(Z15/Y15&gt;=100%,100%,Z15/Y15)</f>
        <v>0</v>
      </c>
      <c r="AB15" s="180">
        <v>0.05</v>
      </c>
      <c r="AC15" s="472">
        <v>7.0000000000000007E-2</v>
      </c>
      <c r="AD15" s="2024">
        <v>0.13</v>
      </c>
      <c r="AE15" s="515">
        <v>120000000</v>
      </c>
      <c r="AF15" s="360" t="s">
        <v>887</v>
      </c>
      <c r="AG15" s="989">
        <v>84506072</v>
      </c>
      <c r="AH15" s="2116">
        <v>114367577</v>
      </c>
      <c r="AI15" s="1996">
        <f t="shared" si="4"/>
        <v>0.95306314166666661</v>
      </c>
      <c r="AJ15" s="360" t="s">
        <v>887</v>
      </c>
      <c r="AK15" s="360">
        <v>51587902</v>
      </c>
      <c r="AL15" s="1031">
        <v>110411467</v>
      </c>
      <c r="AM15" s="642">
        <f t="shared" si="6"/>
        <v>0.92009555833333334</v>
      </c>
      <c r="AN15" s="997">
        <f t="shared" si="13"/>
        <v>3956110</v>
      </c>
      <c r="AO15" s="1006">
        <v>0</v>
      </c>
      <c r="AP15" s="1004">
        <v>0</v>
      </c>
      <c r="AQ15" s="1999">
        <v>32918170</v>
      </c>
      <c r="AR15" s="1999">
        <v>30718985</v>
      </c>
      <c r="AS15" s="992">
        <f t="shared" si="7"/>
        <v>0.93319236761946367</v>
      </c>
      <c r="AT15" s="249">
        <v>400000000</v>
      </c>
      <c r="AU15" s="993">
        <f>SUM(AJ15:AL15)+AP15+AR15</f>
        <v>192718354</v>
      </c>
      <c r="AV15" s="1000">
        <f t="shared" si="9"/>
        <v>0.48179588499999998</v>
      </c>
      <c r="AW15" s="1001"/>
      <c r="AX15" s="157"/>
      <c r="AY15" s="152" t="s">
        <v>8</v>
      </c>
      <c r="AZ15" s="2290"/>
      <c r="BA15" s="93"/>
      <c r="BB15" s="93"/>
    </row>
    <row r="16" spans="1:54" ht="57.75" customHeight="1">
      <c r="A16" s="317" t="s">
        <v>512</v>
      </c>
      <c r="B16" s="415" t="s">
        <v>700</v>
      </c>
      <c r="C16" s="147">
        <v>1</v>
      </c>
      <c r="D16" s="383">
        <v>0</v>
      </c>
      <c r="E16" s="383">
        <v>0</v>
      </c>
      <c r="F16" s="213">
        <v>0</v>
      </c>
      <c r="G16" s="147">
        <v>0</v>
      </c>
      <c r="H16" s="147"/>
      <c r="I16" s="147">
        <v>1</v>
      </c>
      <c r="J16" s="147"/>
      <c r="K16" s="147"/>
      <c r="L16" s="180">
        <f t="shared" si="12"/>
        <v>1</v>
      </c>
      <c r="M16" s="821" t="s">
        <v>2163</v>
      </c>
      <c r="N16" s="821" t="s">
        <v>2163</v>
      </c>
      <c r="O16" s="2165"/>
      <c r="P16" s="146"/>
      <c r="Q16" s="101"/>
      <c r="R16" s="104"/>
      <c r="S16" s="146"/>
      <c r="T16" s="149"/>
      <c r="U16" s="149"/>
      <c r="V16" s="149"/>
      <c r="W16" s="150"/>
      <c r="X16" s="155"/>
      <c r="Y16" s="147">
        <v>1</v>
      </c>
      <c r="Z16" s="1008">
        <f>SUM(F16:J16)</f>
        <v>1</v>
      </c>
      <c r="AA16" s="153">
        <f t="shared" ref="AA16" si="17">IF(Z16/Y16&gt;=100%,100%,Z16/Y16)</f>
        <v>1</v>
      </c>
      <c r="AB16" s="180">
        <v>0.08</v>
      </c>
      <c r="AC16" s="472">
        <v>0</v>
      </c>
      <c r="AD16" s="677">
        <v>0</v>
      </c>
      <c r="AE16" s="515"/>
      <c r="AF16" s="359">
        <v>600000000</v>
      </c>
      <c r="AG16" s="989">
        <v>0</v>
      </c>
      <c r="AH16" s="2116"/>
      <c r="AI16" s="1996" t="e">
        <f t="shared" si="4"/>
        <v>#DIV/0!</v>
      </c>
      <c r="AJ16" s="359">
        <v>0</v>
      </c>
      <c r="AK16" s="515">
        <v>0</v>
      </c>
      <c r="AL16" s="520"/>
      <c r="AM16" s="642" t="e">
        <f t="shared" si="6"/>
        <v>#DIV/0!</v>
      </c>
      <c r="AN16" s="997">
        <f t="shared" si="13"/>
        <v>0</v>
      </c>
      <c r="AO16" s="1006">
        <v>600000000</v>
      </c>
      <c r="AP16" s="1004">
        <v>589967522</v>
      </c>
      <c r="AQ16" s="1999"/>
      <c r="AR16" s="1999"/>
      <c r="AS16" s="992" t="e">
        <f t="shared" si="7"/>
        <v>#DIV/0!</v>
      </c>
      <c r="AT16" s="249">
        <v>1400000000</v>
      </c>
      <c r="AU16" s="993">
        <f t="shared" si="16"/>
        <v>589967522</v>
      </c>
      <c r="AV16" s="1000">
        <f t="shared" si="9"/>
        <v>0.42140537285714286</v>
      </c>
      <c r="AW16" s="1001"/>
      <c r="AX16" s="157"/>
      <c r="AY16" s="152" t="s">
        <v>302</v>
      </c>
      <c r="AZ16" s="2311" t="s">
        <v>888</v>
      </c>
      <c r="BA16" s="93"/>
      <c r="BB16" s="93"/>
    </row>
    <row r="17" spans="1:54" ht="51">
      <c r="A17" s="317" t="s">
        <v>513</v>
      </c>
      <c r="B17" s="414" t="s">
        <v>709</v>
      </c>
      <c r="C17" s="147">
        <v>0</v>
      </c>
      <c r="D17" s="2373">
        <v>0</v>
      </c>
      <c r="E17" s="2373">
        <v>0</v>
      </c>
      <c r="F17" s="2374">
        <v>0</v>
      </c>
      <c r="G17" s="2375">
        <v>0</v>
      </c>
      <c r="H17" s="2375"/>
      <c r="I17" s="2375"/>
      <c r="J17" s="2375"/>
      <c r="K17" s="2375"/>
      <c r="L17" s="180" t="e">
        <f t="shared" si="12"/>
        <v>#DIV/0!</v>
      </c>
      <c r="M17" s="821" t="s">
        <v>2163</v>
      </c>
      <c r="N17" s="821" t="s">
        <v>2163</v>
      </c>
      <c r="O17" s="2165"/>
      <c r="P17" s="146"/>
      <c r="Q17" s="101"/>
      <c r="R17" s="104"/>
      <c r="S17" s="146"/>
      <c r="T17" s="149"/>
      <c r="U17" s="149"/>
      <c r="V17" s="149"/>
      <c r="W17" s="150"/>
      <c r="X17" s="158"/>
      <c r="Y17" s="147">
        <v>1</v>
      </c>
      <c r="Z17" s="242">
        <f t="shared" si="14"/>
        <v>0</v>
      </c>
      <c r="AA17" s="153">
        <f>IF(Z17/Y17&gt;=100%,100%,Z17/Y17)</f>
        <v>0</v>
      </c>
      <c r="AB17" s="180">
        <v>0.08</v>
      </c>
      <c r="AC17" s="472">
        <v>0</v>
      </c>
      <c r="AD17" s="677">
        <v>0</v>
      </c>
      <c r="AE17" s="515" t="s">
        <v>887</v>
      </c>
      <c r="AF17" s="360" t="s">
        <v>887</v>
      </c>
      <c r="AG17" s="989">
        <v>0</v>
      </c>
      <c r="AH17" s="2116"/>
      <c r="AI17" s="2111" t="e">
        <f t="shared" si="4"/>
        <v>#VALUE!</v>
      </c>
      <c r="AJ17" s="360" t="s">
        <v>887</v>
      </c>
      <c r="AK17" s="515">
        <v>0</v>
      </c>
      <c r="AL17" s="520"/>
      <c r="AM17" s="642" t="e">
        <f t="shared" si="6"/>
        <v>#VALUE!</v>
      </c>
      <c r="AN17" s="997">
        <f t="shared" si="13"/>
        <v>0</v>
      </c>
      <c r="AO17" s="1006">
        <v>0</v>
      </c>
      <c r="AP17" s="1004">
        <v>0</v>
      </c>
      <c r="AQ17" s="1999"/>
      <c r="AR17" s="1999"/>
      <c r="AS17" s="992" t="e">
        <f t="shared" si="7"/>
        <v>#DIV/0!</v>
      </c>
      <c r="AT17" s="249">
        <v>800000000</v>
      </c>
      <c r="AU17" s="993">
        <f t="shared" si="16"/>
        <v>0</v>
      </c>
      <c r="AV17" s="1000">
        <f t="shared" si="9"/>
        <v>0</v>
      </c>
      <c r="AW17" s="1001"/>
      <c r="AX17" s="157"/>
      <c r="AY17" s="152" t="s">
        <v>31</v>
      </c>
      <c r="AZ17" s="2289"/>
      <c r="BA17" s="93"/>
      <c r="BB17" s="93"/>
    </row>
    <row r="18" spans="1:54" ht="76.5" customHeight="1">
      <c r="A18" s="317" t="s">
        <v>514</v>
      </c>
      <c r="B18" s="414" t="s">
        <v>710</v>
      </c>
      <c r="C18" s="147">
        <v>3</v>
      </c>
      <c r="D18" s="2373">
        <v>1</v>
      </c>
      <c r="E18" s="2376">
        <v>0.1</v>
      </c>
      <c r="F18" s="2374">
        <v>3</v>
      </c>
      <c r="G18" s="2375">
        <v>0</v>
      </c>
      <c r="H18" s="2377">
        <v>0.08</v>
      </c>
      <c r="I18" s="2375"/>
      <c r="J18" s="2375"/>
      <c r="K18" s="2375"/>
      <c r="L18" s="180">
        <f t="shared" si="12"/>
        <v>1</v>
      </c>
      <c r="M18" s="821">
        <f>IF((G18+J18)/D18&gt;=100%,100%,(G18+J18)/D18)</f>
        <v>0</v>
      </c>
      <c r="N18" s="821">
        <f>IF((H18/E18)&gt;=100%,100%,(H18/E18))</f>
        <v>0.79999999999999993</v>
      </c>
      <c r="O18" s="2165"/>
      <c r="P18" s="146"/>
      <c r="Q18" s="101"/>
      <c r="R18" s="104"/>
      <c r="S18" s="146"/>
      <c r="T18" s="149"/>
      <c r="U18" s="149"/>
      <c r="V18" s="149"/>
      <c r="W18" s="150"/>
      <c r="X18" s="158"/>
      <c r="Y18" s="147">
        <v>5.0999999999999996</v>
      </c>
      <c r="Z18" s="242">
        <f t="shared" si="14"/>
        <v>3.08</v>
      </c>
      <c r="AA18" s="153">
        <f t="shared" ref="AA18:AA19" si="18">IF(Z18/Y18&gt;=100%,100%,Z18/Y18)</f>
        <v>0.60392156862745106</v>
      </c>
      <c r="AB18" s="180">
        <v>0.1</v>
      </c>
      <c r="AC18" s="472">
        <v>0.15</v>
      </c>
      <c r="AD18" s="2024">
        <v>0.18</v>
      </c>
      <c r="AE18" s="515">
        <v>550000000</v>
      </c>
      <c r="AF18" s="359">
        <v>0</v>
      </c>
      <c r="AG18" s="989">
        <v>38011318</v>
      </c>
      <c r="AH18" s="2116">
        <v>544866789</v>
      </c>
      <c r="AI18" s="1996">
        <f t="shared" si="4"/>
        <v>0.99066688909090905</v>
      </c>
      <c r="AJ18" s="359">
        <v>0</v>
      </c>
      <c r="AK18" s="515">
        <v>37199404</v>
      </c>
      <c r="AL18" s="520">
        <v>359608367</v>
      </c>
      <c r="AM18" s="642">
        <f t="shared" si="6"/>
        <v>0.65383339454545453</v>
      </c>
      <c r="AN18" s="997">
        <f t="shared" si="13"/>
        <v>185258422</v>
      </c>
      <c r="AO18" s="1006">
        <v>0</v>
      </c>
      <c r="AP18" s="1004">
        <v>0</v>
      </c>
      <c r="AQ18" s="1999">
        <v>811914</v>
      </c>
      <c r="AR18" s="1999">
        <v>604590</v>
      </c>
      <c r="AS18" s="992">
        <f t="shared" si="7"/>
        <v>0.74464783215956365</v>
      </c>
      <c r="AT18" s="249">
        <v>700000000</v>
      </c>
      <c r="AU18" s="993">
        <f>SUM(AJ18:AL18)+AP18+AR18</f>
        <v>397412361</v>
      </c>
      <c r="AV18" s="1000">
        <f t="shared" si="9"/>
        <v>0.56773194428571427</v>
      </c>
      <c r="AW18" s="1001"/>
      <c r="AX18" s="157"/>
      <c r="AY18" s="152" t="s">
        <v>4</v>
      </c>
      <c r="AZ18" s="2290"/>
      <c r="BA18" s="93"/>
      <c r="BB18" s="93"/>
    </row>
    <row r="19" spans="1:54" ht="66" customHeight="1">
      <c r="A19" s="317" t="s">
        <v>515</v>
      </c>
      <c r="B19" s="415" t="s">
        <v>701</v>
      </c>
      <c r="C19" s="147">
        <v>0</v>
      </c>
      <c r="D19" s="2376">
        <v>0.1</v>
      </c>
      <c r="E19" s="2373">
        <v>0</v>
      </c>
      <c r="F19" s="2374">
        <v>0</v>
      </c>
      <c r="G19" s="2375">
        <v>0.1</v>
      </c>
      <c r="H19" s="2375"/>
      <c r="I19" s="2375"/>
      <c r="J19" s="2375">
        <v>0.1</v>
      </c>
      <c r="K19" s="2375"/>
      <c r="L19" s="1010" t="e">
        <f t="shared" si="12"/>
        <v>#DIV/0!</v>
      </c>
      <c r="M19" s="821">
        <f>IF((G19+J19)/D19&gt;=100%,100%,(G19+J19)/D19)</f>
        <v>1</v>
      </c>
      <c r="N19" s="821" t="s">
        <v>2163</v>
      </c>
      <c r="O19" s="2165"/>
      <c r="P19" s="1013"/>
      <c r="Q19" s="1014"/>
      <c r="R19" s="1015"/>
      <c r="S19" s="1013"/>
      <c r="T19" s="1016"/>
      <c r="U19" s="1016"/>
      <c r="V19" s="1016"/>
      <c r="W19" s="1017"/>
      <c r="X19" s="1018"/>
      <c r="Y19" s="859">
        <v>1.1000000000000001</v>
      </c>
      <c r="Z19" s="242">
        <f t="shared" si="14"/>
        <v>0.2</v>
      </c>
      <c r="AA19" s="153">
        <f t="shared" si="18"/>
        <v>0.18181818181818182</v>
      </c>
      <c r="AB19" s="180">
        <v>0.08</v>
      </c>
      <c r="AC19" s="881">
        <v>0.12</v>
      </c>
      <c r="AD19" s="677">
        <v>0</v>
      </c>
      <c r="AE19" s="1019"/>
      <c r="AF19" s="630">
        <v>0</v>
      </c>
      <c r="AG19" s="989">
        <v>42093925</v>
      </c>
      <c r="AH19" s="2116"/>
      <c r="AI19" s="1996" t="e">
        <f t="shared" si="4"/>
        <v>#DIV/0!</v>
      </c>
      <c r="AJ19" s="630">
        <v>0</v>
      </c>
      <c r="AK19" s="515">
        <v>41733074</v>
      </c>
      <c r="AL19" s="520"/>
      <c r="AM19" s="642" t="e">
        <f t="shared" si="6"/>
        <v>#DIV/0!</v>
      </c>
      <c r="AN19" s="997">
        <f t="shared" si="13"/>
        <v>0</v>
      </c>
      <c r="AO19" s="1006">
        <v>0</v>
      </c>
      <c r="AP19" s="1004">
        <v>0</v>
      </c>
      <c r="AQ19" s="1999">
        <v>360851</v>
      </c>
      <c r="AR19" s="1999">
        <v>268707</v>
      </c>
      <c r="AS19" s="992">
        <f t="shared" si="7"/>
        <v>0.74464806803916295</v>
      </c>
      <c r="AT19" s="249">
        <v>700000000</v>
      </c>
      <c r="AU19" s="993">
        <f t="shared" si="16"/>
        <v>42001781</v>
      </c>
      <c r="AV19" s="1000">
        <f t="shared" si="9"/>
        <v>6.0002544285714284E-2</v>
      </c>
      <c r="AW19" s="1001"/>
      <c r="AX19" s="157"/>
      <c r="AY19" s="152" t="s">
        <v>302</v>
      </c>
      <c r="AZ19" s="1005" t="s">
        <v>889</v>
      </c>
      <c r="BA19" s="93"/>
      <c r="BB19" s="93"/>
    </row>
    <row r="20" spans="1:54" ht="63" customHeight="1">
      <c r="A20" s="317" t="s">
        <v>516</v>
      </c>
      <c r="B20" s="415" t="s">
        <v>702</v>
      </c>
      <c r="C20" s="147">
        <v>1</v>
      </c>
      <c r="D20" s="2373">
        <v>0</v>
      </c>
      <c r="E20" s="2373">
        <v>0</v>
      </c>
      <c r="F20" s="2374">
        <v>1</v>
      </c>
      <c r="G20" s="2375">
        <v>0</v>
      </c>
      <c r="H20" s="2375"/>
      <c r="I20" s="2375"/>
      <c r="J20" s="2375"/>
      <c r="K20" s="2375"/>
      <c r="L20" s="180">
        <f t="shared" si="12"/>
        <v>1</v>
      </c>
      <c r="M20" s="821" t="s">
        <v>2163</v>
      </c>
      <c r="N20" s="821" t="s">
        <v>2163</v>
      </c>
      <c r="O20" s="2165"/>
      <c r="P20" s="146"/>
      <c r="Q20" s="101"/>
      <c r="R20" s="104"/>
      <c r="S20" s="146"/>
      <c r="T20" s="149"/>
      <c r="U20" s="149"/>
      <c r="V20" s="149"/>
      <c r="W20" s="150"/>
      <c r="X20" s="158"/>
      <c r="Y20" s="147">
        <v>1</v>
      </c>
      <c r="Z20" s="242">
        <f t="shared" si="14"/>
        <v>1</v>
      </c>
      <c r="AA20" s="153">
        <f>IF(Z20/Y20&gt;=100%,100%,Z20/Y20)</f>
        <v>1</v>
      </c>
      <c r="AB20" s="180">
        <v>0.02</v>
      </c>
      <c r="AC20" s="472">
        <v>0</v>
      </c>
      <c r="AD20" s="677">
        <v>0</v>
      </c>
      <c r="AE20" s="515"/>
      <c r="AF20" s="359">
        <v>27500000</v>
      </c>
      <c r="AG20" s="989">
        <v>0</v>
      </c>
      <c r="AH20" s="2116"/>
      <c r="AI20" s="1996" t="e">
        <f t="shared" si="4"/>
        <v>#DIV/0!</v>
      </c>
      <c r="AJ20" s="359">
        <v>27500000</v>
      </c>
      <c r="AK20" s="515">
        <v>0</v>
      </c>
      <c r="AL20" s="520"/>
      <c r="AM20" s="642" t="e">
        <f t="shared" si="6"/>
        <v>#DIV/0!</v>
      </c>
      <c r="AN20" s="997">
        <f t="shared" si="13"/>
        <v>0</v>
      </c>
      <c r="AO20" s="1006">
        <v>0</v>
      </c>
      <c r="AP20" s="1004">
        <v>0</v>
      </c>
      <c r="AQ20" s="1999"/>
      <c r="AR20" s="1999"/>
      <c r="AS20" s="992" t="e">
        <f t="shared" si="7"/>
        <v>#DIV/0!</v>
      </c>
      <c r="AT20" s="249">
        <v>200000000</v>
      </c>
      <c r="AU20" s="993">
        <f t="shared" si="16"/>
        <v>27500000</v>
      </c>
      <c r="AV20" s="1000">
        <f t="shared" si="9"/>
        <v>0.13750000000000001</v>
      </c>
      <c r="AW20" s="1001"/>
      <c r="AX20" s="157"/>
      <c r="AY20" s="152" t="s">
        <v>302</v>
      </c>
      <c r="AZ20" s="1005" t="s">
        <v>888</v>
      </c>
      <c r="BA20" s="93"/>
      <c r="BB20" s="93"/>
    </row>
    <row r="21" spans="1:54" ht="65.25" customHeight="1">
      <c r="A21" s="317" t="s">
        <v>517</v>
      </c>
      <c r="B21" s="415" t="s">
        <v>703</v>
      </c>
      <c r="C21" s="147">
        <v>0</v>
      </c>
      <c r="D21" s="2373">
        <v>1</v>
      </c>
      <c r="E21" s="2376">
        <v>0.1</v>
      </c>
      <c r="F21" s="2374">
        <v>0</v>
      </c>
      <c r="G21" s="2375">
        <v>0</v>
      </c>
      <c r="H21" s="2377">
        <v>0.08</v>
      </c>
      <c r="I21" s="2375"/>
      <c r="J21" s="2375"/>
      <c r="K21" s="2375"/>
      <c r="L21" s="180" t="e">
        <f t="shared" si="12"/>
        <v>#DIV/0!</v>
      </c>
      <c r="M21" s="821">
        <f>IF((G21+J21)/D21&gt;=100%,100%,(G21+J21)/D21)</f>
        <v>0</v>
      </c>
      <c r="N21" s="821">
        <f>IF((H21/E21)&gt;=100%,100%,(H21/E21))</f>
        <v>0.79999999999999993</v>
      </c>
      <c r="O21" s="2165"/>
      <c r="P21" s="146"/>
      <c r="Q21" s="101"/>
      <c r="R21" s="104"/>
      <c r="S21" s="146"/>
      <c r="T21" s="149"/>
      <c r="U21" s="149"/>
      <c r="V21" s="149"/>
      <c r="W21" s="150"/>
      <c r="X21" s="158"/>
      <c r="Y21" s="147">
        <v>2.1</v>
      </c>
      <c r="Z21" s="242">
        <f t="shared" si="14"/>
        <v>0.08</v>
      </c>
      <c r="AA21" s="153">
        <f t="shared" ref="AA21" si="19">IF(Z21/Y21&gt;=100%,100%,Z21/Y21)</f>
        <v>3.8095238095238092E-2</v>
      </c>
      <c r="AB21" s="180">
        <v>0.15</v>
      </c>
      <c r="AC21" s="472">
        <v>0.22</v>
      </c>
      <c r="AD21" s="2024">
        <v>0.23</v>
      </c>
      <c r="AE21" s="631">
        <v>570000000</v>
      </c>
      <c r="AF21" s="359">
        <v>0</v>
      </c>
      <c r="AG21" s="997">
        <v>16893925</v>
      </c>
      <c r="AH21" s="2116">
        <v>559570543</v>
      </c>
      <c r="AI21" s="1996">
        <f t="shared" si="4"/>
        <v>0.98170270701754381</v>
      </c>
      <c r="AJ21" s="359">
        <v>0</v>
      </c>
      <c r="AK21" s="515">
        <v>16533074</v>
      </c>
      <c r="AL21" s="520">
        <v>442650348</v>
      </c>
      <c r="AM21" s="642">
        <f t="shared" si="6"/>
        <v>0.77657955789473687</v>
      </c>
      <c r="AN21" s="997">
        <f>+AH21-AL21</f>
        <v>116920195</v>
      </c>
      <c r="AO21" s="1006">
        <v>0</v>
      </c>
      <c r="AP21" s="1004">
        <v>0</v>
      </c>
      <c r="AQ21" s="1999">
        <v>360851</v>
      </c>
      <c r="AR21" s="1999">
        <v>268707</v>
      </c>
      <c r="AS21" s="992">
        <f t="shared" si="7"/>
        <v>0.74464806803916295</v>
      </c>
      <c r="AT21" s="249">
        <v>700000000</v>
      </c>
      <c r="AU21" s="993">
        <f>SUM(AJ21:AL21)+AP21+AR21</f>
        <v>459452129</v>
      </c>
      <c r="AV21" s="1000">
        <f t="shared" si="9"/>
        <v>0.6563601842857143</v>
      </c>
      <c r="AW21" s="1001"/>
      <c r="AX21" s="157"/>
      <c r="AY21" s="152" t="s">
        <v>302</v>
      </c>
      <c r="AZ21" s="1005" t="s">
        <v>888</v>
      </c>
      <c r="BA21" s="93"/>
      <c r="BB21" s="93"/>
    </row>
    <row r="22" spans="1:54" ht="90" customHeight="1" thickBot="1">
      <c r="A22" s="321" t="s">
        <v>518</v>
      </c>
      <c r="B22" s="1020" t="s">
        <v>704</v>
      </c>
      <c r="C22" s="860">
        <v>1</v>
      </c>
      <c r="D22" s="820">
        <v>2</v>
      </c>
      <c r="E22" s="383">
        <v>2</v>
      </c>
      <c r="F22" s="870">
        <v>1</v>
      </c>
      <c r="G22" s="860">
        <v>2</v>
      </c>
      <c r="H22" s="147">
        <v>2</v>
      </c>
      <c r="I22" s="860"/>
      <c r="J22" s="860"/>
      <c r="K22" s="860"/>
      <c r="L22" s="1021">
        <f t="shared" si="12"/>
        <v>1</v>
      </c>
      <c r="M22" s="821">
        <f>IF((G22+J22)/D22&gt;=100%,100%,(G22+J22)/D22)</f>
        <v>1</v>
      </c>
      <c r="N22" s="821">
        <f>IF((H22/E22)&gt;=100%,100%,(H22/E22))</f>
        <v>1</v>
      </c>
      <c r="O22" s="2165" t="s">
        <v>2256</v>
      </c>
      <c r="P22" s="1023"/>
      <c r="Q22" s="206"/>
      <c r="R22" s="207"/>
      <c r="S22" s="1023"/>
      <c r="T22" s="181"/>
      <c r="U22" s="181"/>
      <c r="V22" s="181"/>
      <c r="W22" s="1024"/>
      <c r="X22" s="1025"/>
      <c r="Y22" s="860">
        <v>7</v>
      </c>
      <c r="Z22" s="1026">
        <f t="shared" si="14"/>
        <v>5</v>
      </c>
      <c r="AA22" s="1027">
        <f>IF(Z22/Y22&gt;=100%,100%,Z22/Y22)</f>
        <v>0.7142857142857143</v>
      </c>
      <c r="AB22" s="1021">
        <v>0.08</v>
      </c>
      <c r="AC22" s="477">
        <v>0.12</v>
      </c>
      <c r="AD22" s="2024">
        <v>0.16</v>
      </c>
      <c r="AE22" s="520">
        <v>175000000</v>
      </c>
      <c r="AF22" s="1028">
        <v>35000000</v>
      </c>
      <c r="AG22" s="2053">
        <v>167826809</v>
      </c>
      <c r="AH22" s="2116">
        <v>169741138</v>
      </c>
      <c r="AI22" s="1995">
        <f t="shared" si="4"/>
        <v>0.96994935999999998</v>
      </c>
      <c r="AJ22" s="1028">
        <v>35000000</v>
      </c>
      <c r="AK22" s="520">
        <v>62895003</v>
      </c>
      <c r="AL22" s="520">
        <v>164090403</v>
      </c>
      <c r="AM22" s="1030">
        <f t="shared" si="6"/>
        <v>0.93765944571428572</v>
      </c>
      <c r="AN22" s="997">
        <f t="shared" si="13"/>
        <v>5650735</v>
      </c>
      <c r="AO22" s="998">
        <v>0</v>
      </c>
      <c r="AP22" s="1032">
        <v>0</v>
      </c>
      <c r="AQ22" s="1999">
        <v>104931806</v>
      </c>
      <c r="AR22" s="1999">
        <v>102838293</v>
      </c>
      <c r="AS22" s="1033">
        <f t="shared" si="7"/>
        <v>0.98004882332817178</v>
      </c>
      <c r="AT22" s="290">
        <v>600000000</v>
      </c>
      <c r="AU22" s="993">
        <f t="shared" si="16"/>
        <v>364823699</v>
      </c>
      <c r="AV22" s="1035">
        <f t="shared" si="9"/>
        <v>0.60803949833333337</v>
      </c>
      <c r="AW22" s="1036"/>
      <c r="AX22" s="173"/>
      <c r="AY22" s="189" t="s">
        <v>302</v>
      </c>
      <c r="AZ22" s="1005" t="s">
        <v>888</v>
      </c>
      <c r="BA22" s="1037"/>
      <c r="BB22" s="1037"/>
    </row>
    <row r="23" spans="1:54" ht="50.25" customHeight="1" thickBot="1">
      <c r="A23" s="961" t="s">
        <v>448</v>
      </c>
      <c r="B23" s="962"/>
      <c r="C23" s="861"/>
      <c r="D23" s="826"/>
      <c r="E23" s="826"/>
      <c r="F23" s="826"/>
      <c r="G23" s="826"/>
      <c r="H23" s="826"/>
      <c r="I23" s="861"/>
      <c r="J23" s="861"/>
      <c r="K23" s="861"/>
      <c r="L23" s="964">
        <f>+(L24*50%)+(L25*50%)</f>
        <v>1</v>
      </c>
      <c r="M23" s="964">
        <f>+SUMPRODUCT(M24:M25,AC24:AC25)</f>
        <v>1</v>
      </c>
      <c r="N23" s="964">
        <f>+SUMPRODUCT(N24:N25,AD24:AD25)</f>
        <v>1</v>
      </c>
      <c r="O23" s="965"/>
      <c r="P23" s="962"/>
      <c r="Q23" s="966"/>
      <c r="R23" s="965"/>
      <c r="S23" s="965"/>
      <c r="T23" s="966"/>
      <c r="U23" s="966"/>
      <c r="V23" s="966"/>
      <c r="W23" s="966"/>
      <c r="X23" s="967"/>
      <c r="Y23" s="968"/>
      <c r="Z23" s="969">
        <f t="shared" si="14"/>
        <v>0</v>
      </c>
      <c r="AA23" s="970">
        <f>+SUMPRODUCT(AA24:AA25,AB24:AB25)</f>
        <v>0.875</v>
      </c>
      <c r="AB23" s="964">
        <v>0.1</v>
      </c>
      <c r="AC23" s="879">
        <v>0.1</v>
      </c>
      <c r="AD23" s="471">
        <v>0.1</v>
      </c>
      <c r="AE23" s="971">
        <v>550000000</v>
      </c>
      <c r="AF23" s="971">
        <f>SUM(AF24:AF25)</f>
        <v>191150000</v>
      </c>
      <c r="AG23" s="962">
        <f>SUM(AG24:AG25)</f>
        <v>567479073</v>
      </c>
      <c r="AH23" s="2115">
        <f>SUM(AH24:AH25)</f>
        <v>549542227</v>
      </c>
      <c r="AI23" s="1984">
        <f t="shared" si="4"/>
        <v>0.99916768545454548</v>
      </c>
      <c r="AJ23" s="971">
        <f>SUM(AJ24:AJ25)</f>
        <v>158650000</v>
      </c>
      <c r="AK23" s="971">
        <f>SUM(AK24:AK25)</f>
        <v>523178398</v>
      </c>
      <c r="AL23" s="971">
        <f>SUM(AL24:AL25)</f>
        <v>500440377</v>
      </c>
      <c r="AM23" s="973">
        <f t="shared" si="6"/>
        <v>0.90989159454545454</v>
      </c>
      <c r="AN23" s="974">
        <f>SUM(AN24:AN25)</f>
        <v>49101850</v>
      </c>
      <c r="AO23" s="1038">
        <f>SUM(AO24:AO25)</f>
        <v>32500000</v>
      </c>
      <c r="AP23" s="1039">
        <f>SUM(AP24:AP25)</f>
        <v>32500000</v>
      </c>
      <c r="AQ23" s="1039">
        <f>SUM(AQ24:AQ25)</f>
        <v>44300675</v>
      </c>
      <c r="AR23" s="1039">
        <f>SUM(AR24:AR25)</f>
        <v>40318115</v>
      </c>
      <c r="AS23" s="1040">
        <f t="shared" si="7"/>
        <v>0.91010159551744974</v>
      </c>
      <c r="AT23" s="1039">
        <f>SUM(AT24:AT25)</f>
        <v>1800000000</v>
      </c>
      <c r="AU23" s="1039">
        <f>SUM(AU24:AU25)</f>
        <v>1255086890</v>
      </c>
      <c r="AV23" s="1041">
        <f t="shared" si="9"/>
        <v>0.69727049444444444</v>
      </c>
      <c r="AW23" s="1042"/>
      <c r="AX23" s="975"/>
      <c r="AY23" s="283"/>
      <c r="AZ23" s="974"/>
      <c r="BA23" s="286"/>
      <c r="BB23" s="286"/>
    </row>
    <row r="24" spans="1:54" ht="99" customHeight="1">
      <c r="A24" s="318" t="s">
        <v>519</v>
      </c>
      <c r="B24" s="291" t="s">
        <v>711</v>
      </c>
      <c r="C24" s="858">
        <v>1</v>
      </c>
      <c r="D24" s="818">
        <v>1</v>
      </c>
      <c r="E24" s="383">
        <v>1</v>
      </c>
      <c r="F24" s="978">
        <v>1</v>
      </c>
      <c r="G24" s="858">
        <v>1</v>
      </c>
      <c r="H24" s="147">
        <v>1</v>
      </c>
      <c r="I24" s="858"/>
      <c r="J24" s="858"/>
      <c r="K24" s="858"/>
      <c r="L24" s="821">
        <f>IF((F24+I24)/C24&gt;=100%,100%,(F24+I24)/C24)</f>
        <v>1</v>
      </c>
      <c r="M24" s="980">
        <f>IF((G24+J24)/D24&gt;=100%,100%,(G24+J24)/D24)</f>
        <v>1</v>
      </c>
      <c r="N24" s="821">
        <f t="shared" ref="N24:N25" si="20">IF((H24/E24)&gt;=100%,100%,(H24/E24))</f>
        <v>1</v>
      </c>
      <c r="O24" s="2165" t="s">
        <v>2257</v>
      </c>
      <c r="P24" s="982"/>
      <c r="Q24" s="2039" t="s">
        <v>336</v>
      </c>
      <c r="R24" s="984"/>
      <c r="S24" s="982" t="s">
        <v>2169</v>
      </c>
      <c r="T24" s="984" t="s">
        <v>2258</v>
      </c>
      <c r="U24" s="204"/>
      <c r="V24" s="204"/>
      <c r="W24" s="985"/>
      <c r="X24" s="614"/>
      <c r="Y24" s="858">
        <v>4</v>
      </c>
      <c r="Z24" s="986">
        <f t="shared" si="14"/>
        <v>3</v>
      </c>
      <c r="AA24" s="153">
        <f>IF(Z24/Y24&gt;=100%,100%,Z24/Y24)</f>
        <v>0.75</v>
      </c>
      <c r="AB24" s="478">
        <v>0.5</v>
      </c>
      <c r="AC24" s="473">
        <v>0.5</v>
      </c>
      <c r="AD24" s="473">
        <v>0.5</v>
      </c>
      <c r="AE24" s="516">
        <v>489400000</v>
      </c>
      <c r="AF24" s="360">
        <v>151150000</v>
      </c>
      <c r="AG24" s="989">
        <v>370950000</v>
      </c>
      <c r="AH24" s="2116">
        <v>489109181</v>
      </c>
      <c r="AI24" s="2110">
        <f t="shared" si="4"/>
        <v>0.99940576420106253</v>
      </c>
      <c r="AJ24" s="360">
        <v>138650000</v>
      </c>
      <c r="AK24" s="1043">
        <v>368950000</v>
      </c>
      <c r="AL24" s="1043">
        <v>476709597</v>
      </c>
      <c r="AM24" s="988">
        <f t="shared" si="6"/>
        <v>0.97406946669391092</v>
      </c>
      <c r="AN24" s="997">
        <f t="shared" si="13"/>
        <v>12399584</v>
      </c>
      <c r="AO24" s="1045">
        <v>12500000</v>
      </c>
      <c r="AP24" s="360">
        <v>12500000</v>
      </c>
      <c r="AQ24" s="1031">
        <v>2000000</v>
      </c>
      <c r="AR24" s="1031">
        <v>2000000</v>
      </c>
      <c r="AS24" s="614">
        <f t="shared" si="7"/>
        <v>1</v>
      </c>
      <c r="AT24" s="993">
        <v>1200000000</v>
      </c>
      <c r="AU24" s="993">
        <f t="shared" si="16"/>
        <v>998809597</v>
      </c>
      <c r="AV24" s="821">
        <f t="shared" si="9"/>
        <v>0.83234133083333328</v>
      </c>
      <c r="AW24" s="1044"/>
      <c r="AX24" s="191"/>
      <c r="AY24" s="190" t="s">
        <v>302</v>
      </c>
      <c r="AZ24" s="2312" t="s">
        <v>890</v>
      </c>
      <c r="BA24" s="1047"/>
      <c r="BB24" s="1047"/>
    </row>
    <row r="25" spans="1:54" ht="93" customHeight="1" thickBot="1">
      <c r="A25" s="320" t="s">
        <v>520</v>
      </c>
      <c r="B25" s="1048" t="s">
        <v>712</v>
      </c>
      <c r="C25" s="860">
        <v>3</v>
      </c>
      <c r="D25" s="820">
        <v>3</v>
      </c>
      <c r="E25" s="383">
        <v>3</v>
      </c>
      <c r="F25" s="870">
        <v>3</v>
      </c>
      <c r="G25" s="860">
        <v>3</v>
      </c>
      <c r="H25" s="147">
        <v>3</v>
      </c>
      <c r="I25" s="860"/>
      <c r="J25" s="860"/>
      <c r="K25" s="860"/>
      <c r="L25" s="1021">
        <f>IF((F25+I25)/C25&gt;=100%,100%,(F25+I25)/C25)</f>
        <v>1</v>
      </c>
      <c r="M25" s="1022">
        <f>IF((G25+J25)/D25&gt;=100%,100%,(G25+J25)/D25)</f>
        <v>1</v>
      </c>
      <c r="N25" s="821">
        <f t="shared" si="20"/>
        <v>1</v>
      </c>
      <c r="O25" s="2165" t="s">
        <v>2259</v>
      </c>
      <c r="P25" s="1023"/>
      <c r="Q25" s="241" t="s">
        <v>2170</v>
      </c>
      <c r="R25" s="207"/>
      <c r="S25" s="1023" t="s">
        <v>2171</v>
      </c>
      <c r="T25" s="181"/>
      <c r="U25" s="181"/>
      <c r="V25" s="181"/>
      <c r="W25" s="1024"/>
      <c r="X25" s="1049"/>
      <c r="Y25" s="860">
        <v>3</v>
      </c>
      <c r="Z25" s="1026">
        <f t="shared" si="14"/>
        <v>9</v>
      </c>
      <c r="AA25" s="1027">
        <f>IF(Z25/Y25&gt;=100%,100%,Z25/Y25)</f>
        <v>1</v>
      </c>
      <c r="AB25" s="1050">
        <v>0.5</v>
      </c>
      <c r="AC25" s="882">
        <v>0.5</v>
      </c>
      <c r="AD25" s="473">
        <v>0.5</v>
      </c>
      <c r="AE25" s="1051">
        <v>60600000</v>
      </c>
      <c r="AF25" s="1028">
        <v>40000000</v>
      </c>
      <c r="AG25" s="2053">
        <v>196529073</v>
      </c>
      <c r="AH25" s="2116">
        <v>60433046</v>
      </c>
      <c r="AI25" s="1995">
        <f t="shared" si="4"/>
        <v>0.99724498349834978</v>
      </c>
      <c r="AJ25" s="1028">
        <v>20000000</v>
      </c>
      <c r="AK25" s="266">
        <v>154228398</v>
      </c>
      <c r="AL25" s="266">
        <v>23730780</v>
      </c>
      <c r="AM25" s="1030">
        <f t="shared" si="6"/>
        <v>0.39159702970297028</v>
      </c>
      <c r="AN25" s="997">
        <f>+AH25-AL25</f>
        <v>36702266</v>
      </c>
      <c r="AO25" s="1052">
        <v>20000000</v>
      </c>
      <c r="AP25" s="1028">
        <v>20000000</v>
      </c>
      <c r="AQ25" s="1031">
        <v>42300675</v>
      </c>
      <c r="AR25" s="1031">
        <v>38318115</v>
      </c>
      <c r="AS25" s="1053">
        <f t="shared" si="7"/>
        <v>0.90585114776537257</v>
      </c>
      <c r="AT25" s="1034">
        <v>600000000</v>
      </c>
      <c r="AU25" s="993">
        <f t="shared" si="16"/>
        <v>256277293</v>
      </c>
      <c r="AV25" s="1021">
        <f t="shared" si="9"/>
        <v>0.42712882166666666</v>
      </c>
      <c r="AW25" s="175"/>
      <c r="AX25" s="173"/>
      <c r="AY25" s="189" t="s">
        <v>8</v>
      </c>
      <c r="AZ25" s="2289"/>
      <c r="BA25" s="1037"/>
      <c r="BB25" s="1037"/>
    </row>
    <row r="26" spans="1:54" ht="45" customHeight="1" thickBot="1">
      <c r="A26" s="961" t="s">
        <v>449</v>
      </c>
      <c r="B26" s="962"/>
      <c r="C26" s="861"/>
      <c r="D26" s="826"/>
      <c r="E26" s="223"/>
      <c r="F26" s="963"/>
      <c r="G26" s="861"/>
      <c r="H26" s="139"/>
      <c r="I26" s="861"/>
      <c r="J26" s="861"/>
      <c r="K26" s="861"/>
      <c r="L26" s="964">
        <f>+SUMPRODUCT(L27:L31,AB27:AB31)</f>
        <v>0.99999999999999989</v>
      </c>
      <c r="M26" s="964">
        <f>+SUMPRODUCT(M27:M31,AC27:AC31)</f>
        <v>0.99999999999999989</v>
      </c>
      <c r="N26" s="964">
        <f>+SUMPRODUCT(N27:N31,AD27:AD31)</f>
        <v>0.99999999999999989</v>
      </c>
      <c r="O26" s="965"/>
      <c r="P26" s="962"/>
      <c r="Q26" s="966"/>
      <c r="R26" s="965"/>
      <c r="S26" s="965"/>
      <c r="T26" s="966"/>
      <c r="U26" s="966"/>
      <c r="V26" s="966"/>
      <c r="W26" s="966"/>
      <c r="X26" s="967"/>
      <c r="Y26" s="968"/>
      <c r="Z26" s="969">
        <f t="shared" si="14"/>
        <v>0</v>
      </c>
      <c r="AA26" s="1055">
        <f>+SUMPRODUCT(AA27:AA32,AB27:AB32)</f>
        <v>0.97383802083333348</v>
      </c>
      <c r="AB26" s="964">
        <v>0.7</v>
      </c>
      <c r="AC26" s="879">
        <v>0.7</v>
      </c>
      <c r="AD26" s="471">
        <v>0.7</v>
      </c>
      <c r="AE26" s="971">
        <v>46525549782</v>
      </c>
      <c r="AF26" s="1056">
        <f>SUM(AF27:AF31)</f>
        <v>4965508956.4099998</v>
      </c>
      <c r="AG26" s="962">
        <f>SUM(AG27:AG31)</f>
        <v>15640803833.17</v>
      </c>
      <c r="AH26" s="2115">
        <f>SUM(AH27:AH31)</f>
        <v>46457945296.839996</v>
      </c>
      <c r="AI26" s="1984">
        <f t="shared" si="4"/>
        <v>0.99854693849988296</v>
      </c>
      <c r="AJ26" s="1056">
        <f>SUM(AJ27:AJ31)</f>
        <v>503578321</v>
      </c>
      <c r="AK26" s="1057">
        <f>SUM(AK27:AK31)</f>
        <v>14494966360.110001</v>
      </c>
      <c r="AL26" s="1057">
        <f>SUM(AL27:AL31)</f>
        <v>33484519510.84</v>
      </c>
      <c r="AM26" s="973">
        <f t="shared" si="6"/>
        <v>0.71970174813054288</v>
      </c>
      <c r="AN26" s="974">
        <f>SUM(AN27:AN31)</f>
        <v>12973425785.999996</v>
      </c>
      <c r="AO26" s="1058">
        <f>SUM(AO27:AO31)</f>
        <v>4461930635.4099998</v>
      </c>
      <c r="AP26" s="971">
        <f>SUM(AP27:AP31)</f>
        <v>3692130700.3299999</v>
      </c>
      <c r="AQ26" s="971">
        <f>SUM(AQ27:AQ31)</f>
        <v>1145837473.0599999</v>
      </c>
      <c r="AR26" s="971">
        <f>SUM(AR27:AR31)</f>
        <v>937752831.84000003</v>
      </c>
      <c r="AS26" s="967">
        <f t="shared" si="7"/>
        <v>0.81839951466737915</v>
      </c>
      <c r="AT26" s="1039">
        <f>SUM(AT27:AT31)</f>
        <v>49695000000</v>
      </c>
      <c r="AU26" s="971">
        <f>SUM(AU27:AU31)</f>
        <v>53112947724.119995</v>
      </c>
      <c r="AV26" s="964">
        <f t="shared" si="9"/>
        <v>1.0687785033528523</v>
      </c>
      <c r="AW26" s="974"/>
      <c r="AX26" s="975"/>
      <c r="AY26" s="283"/>
      <c r="AZ26" s="974"/>
      <c r="BA26" s="286"/>
      <c r="BB26" s="286"/>
    </row>
    <row r="27" spans="1:54" ht="124.5" customHeight="1">
      <c r="A27" s="317" t="s">
        <v>521</v>
      </c>
      <c r="B27" s="415" t="s">
        <v>713</v>
      </c>
      <c r="C27" s="858">
        <v>1</v>
      </c>
      <c r="D27" s="818">
        <v>1</v>
      </c>
      <c r="E27" s="383">
        <v>1</v>
      </c>
      <c r="F27" s="978">
        <v>0</v>
      </c>
      <c r="G27" s="858">
        <v>0</v>
      </c>
      <c r="H27" s="147">
        <v>1</v>
      </c>
      <c r="I27" s="865">
        <v>1</v>
      </c>
      <c r="J27" s="865">
        <v>1</v>
      </c>
      <c r="K27" s="865"/>
      <c r="L27" s="821">
        <f t="shared" ref="L27:M31" si="21">IF((F27+I27)/C27&gt;=100%,100%,(F27+I27)/C27)</f>
        <v>1</v>
      </c>
      <c r="M27" s="980">
        <f t="shared" si="21"/>
        <v>1</v>
      </c>
      <c r="N27" s="821">
        <f t="shared" ref="N27:N31" si="22">IF((H27/E27)&gt;=100%,100%,(H27/E27))</f>
        <v>1</v>
      </c>
      <c r="O27" s="2165" t="s">
        <v>2260</v>
      </c>
      <c r="P27" s="982"/>
      <c r="Q27" s="2039" t="s">
        <v>336</v>
      </c>
      <c r="R27" s="984"/>
      <c r="S27" s="982" t="s">
        <v>2169</v>
      </c>
      <c r="T27" s="204">
        <v>346</v>
      </c>
      <c r="U27" s="204"/>
      <c r="V27" s="204"/>
      <c r="W27" s="985"/>
      <c r="X27" s="614"/>
      <c r="Y27" s="858">
        <v>4</v>
      </c>
      <c r="Z27" s="1059">
        <f t="shared" si="14"/>
        <v>3</v>
      </c>
      <c r="AA27" s="153">
        <f t="shared" ref="AA27:AA36" si="23">IF(Z27/Y27&gt;=100%,100%,Z27/Y27)</f>
        <v>0.75</v>
      </c>
      <c r="AB27" s="478">
        <v>0.1</v>
      </c>
      <c r="AC27" s="473">
        <v>0.1</v>
      </c>
      <c r="AD27" s="473">
        <v>0.1</v>
      </c>
      <c r="AE27" s="515">
        <v>375000000</v>
      </c>
      <c r="AF27" s="1060">
        <v>399801255.61000001</v>
      </c>
      <c r="AG27" s="2054">
        <v>242056750.25999999</v>
      </c>
      <c r="AH27" s="2117">
        <v>360796121</v>
      </c>
      <c r="AI27" s="2110">
        <f t="shared" si="4"/>
        <v>0.96212298933333329</v>
      </c>
      <c r="AJ27" s="1060">
        <v>13000000</v>
      </c>
      <c r="AK27" s="1060">
        <v>55048034</v>
      </c>
      <c r="AL27" s="1955">
        <v>330425585</v>
      </c>
      <c r="AM27" s="988">
        <f t="shared" si="6"/>
        <v>0.88113489333333328</v>
      </c>
      <c r="AN27" s="997">
        <f t="shared" ref="AN27:AN31" si="24">+AH27-AL27</f>
        <v>30370536</v>
      </c>
      <c r="AO27" s="1061">
        <v>386801255.61000001</v>
      </c>
      <c r="AP27" s="1060">
        <v>386801255</v>
      </c>
      <c r="AQ27" s="1955">
        <v>187008716.25999999</v>
      </c>
      <c r="AR27" s="1955">
        <v>133453604.84</v>
      </c>
      <c r="AS27" s="614">
        <f t="shared" si="7"/>
        <v>0.71362237819149665</v>
      </c>
      <c r="AT27" s="993">
        <v>2000000000</v>
      </c>
      <c r="AU27" s="993">
        <f t="shared" si="16"/>
        <v>918728478.84000003</v>
      </c>
      <c r="AV27" s="821">
        <f t="shared" si="9"/>
        <v>0.45936423942000004</v>
      </c>
      <c r="AW27" s="1044"/>
      <c r="AX27" s="191"/>
      <c r="AY27" s="190" t="s">
        <v>302</v>
      </c>
      <c r="AZ27" s="2313" t="s">
        <v>891</v>
      </c>
      <c r="BA27" s="1047"/>
      <c r="BB27" s="1047"/>
    </row>
    <row r="28" spans="1:54" ht="163.5" customHeight="1">
      <c r="A28" s="317" t="s">
        <v>522</v>
      </c>
      <c r="B28" s="415" t="s">
        <v>714</v>
      </c>
      <c r="C28" s="147">
        <v>1</v>
      </c>
      <c r="D28" s="383">
        <v>1</v>
      </c>
      <c r="E28" s="383">
        <v>1</v>
      </c>
      <c r="F28" s="213">
        <v>1</v>
      </c>
      <c r="G28" s="147">
        <v>1</v>
      </c>
      <c r="H28" s="679">
        <v>1</v>
      </c>
      <c r="I28" s="147"/>
      <c r="J28" s="147"/>
      <c r="K28" s="147"/>
      <c r="L28" s="180">
        <f t="shared" si="21"/>
        <v>1</v>
      </c>
      <c r="M28" s="980">
        <f t="shared" si="21"/>
        <v>1</v>
      </c>
      <c r="N28" s="821">
        <f t="shared" si="22"/>
        <v>1</v>
      </c>
      <c r="O28" s="2165" t="s">
        <v>2261</v>
      </c>
      <c r="P28" s="146"/>
      <c r="Q28" s="197" t="s">
        <v>336</v>
      </c>
      <c r="R28" s="104"/>
      <c r="S28" s="146" t="s">
        <v>2169</v>
      </c>
      <c r="T28" s="104" t="s">
        <v>2172</v>
      </c>
      <c r="U28" s="149"/>
      <c r="V28" s="149"/>
      <c r="W28" s="150"/>
      <c r="X28" s="155"/>
      <c r="Y28" s="147">
        <v>4</v>
      </c>
      <c r="Z28" s="242">
        <f t="shared" si="14"/>
        <v>3</v>
      </c>
      <c r="AA28" s="153">
        <f t="shared" si="23"/>
        <v>0.75</v>
      </c>
      <c r="AB28" s="478">
        <v>0.4</v>
      </c>
      <c r="AC28" s="473">
        <v>0.4</v>
      </c>
      <c r="AD28" s="473">
        <v>0.4</v>
      </c>
      <c r="AE28" s="515">
        <v>35231275472</v>
      </c>
      <c r="AF28" s="379">
        <v>149750000</v>
      </c>
      <c r="AG28" s="2055">
        <v>11776505702.950001</v>
      </c>
      <c r="AH28" s="2117">
        <v>35196179335.839996</v>
      </c>
      <c r="AI28" s="1996">
        <f t="shared" si="4"/>
        <v>0.99900383577688245</v>
      </c>
      <c r="AJ28" s="379">
        <v>28000000</v>
      </c>
      <c r="AK28" s="379">
        <v>11545338771.700001</v>
      </c>
      <c r="AL28" s="1955">
        <v>29249454735.84</v>
      </c>
      <c r="AM28" s="642">
        <f t="shared" si="6"/>
        <v>0.83021276817201684</v>
      </c>
      <c r="AN28" s="997">
        <f t="shared" si="24"/>
        <v>5946724599.9999962</v>
      </c>
      <c r="AO28" s="1062">
        <v>121750000</v>
      </c>
      <c r="AP28" s="379">
        <v>121750000</v>
      </c>
      <c r="AQ28" s="1955">
        <v>231166931.25</v>
      </c>
      <c r="AR28" s="1955">
        <v>230358446</v>
      </c>
      <c r="AS28" s="614">
        <f t="shared" si="7"/>
        <v>0.99650259124162688</v>
      </c>
      <c r="AT28" s="249">
        <v>28800000000</v>
      </c>
      <c r="AU28" s="993">
        <f t="shared" si="16"/>
        <v>41174901953.540001</v>
      </c>
      <c r="AV28" s="180">
        <f t="shared" si="9"/>
        <v>1.4296840956090278</v>
      </c>
      <c r="AW28" s="156"/>
      <c r="AX28" s="157"/>
      <c r="AY28" s="152" t="s">
        <v>302</v>
      </c>
      <c r="AZ28" s="2289"/>
      <c r="BA28" s="93"/>
      <c r="BB28" s="93"/>
    </row>
    <row r="29" spans="1:54" ht="123" customHeight="1">
      <c r="A29" s="317" t="s">
        <v>523</v>
      </c>
      <c r="B29" s="415" t="s">
        <v>715</v>
      </c>
      <c r="C29" s="147">
        <v>1</v>
      </c>
      <c r="D29" s="383">
        <v>1</v>
      </c>
      <c r="E29" s="383">
        <v>1</v>
      </c>
      <c r="F29" s="213">
        <v>0</v>
      </c>
      <c r="G29" s="859">
        <v>1</v>
      </c>
      <c r="H29" s="679">
        <v>1</v>
      </c>
      <c r="I29" s="859">
        <v>1</v>
      </c>
      <c r="J29" s="859"/>
      <c r="K29" s="859"/>
      <c r="L29" s="180">
        <f t="shared" si="21"/>
        <v>1</v>
      </c>
      <c r="M29" s="980">
        <f t="shared" si="21"/>
        <v>1</v>
      </c>
      <c r="N29" s="821">
        <f t="shared" si="22"/>
        <v>1</v>
      </c>
      <c r="O29" s="2165" t="s">
        <v>2262</v>
      </c>
      <c r="P29" s="146"/>
      <c r="Q29" s="197" t="s">
        <v>336</v>
      </c>
      <c r="R29" s="104"/>
      <c r="S29" s="146" t="s">
        <v>2169</v>
      </c>
      <c r="T29" s="104" t="s">
        <v>2173</v>
      </c>
      <c r="U29" s="149"/>
      <c r="V29" s="149"/>
      <c r="W29" s="150"/>
      <c r="X29" s="155"/>
      <c r="Y29" s="147">
        <v>4</v>
      </c>
      <c r="Z29" s="1008">
        <f t="shared" si="14"/>
        <v>3</v>
      </c>
      <c r="AA29" s="153">
        <f t="shared" si="23"/>
        <v>0.75</v>
      </c>
      <c r="AB29" s="478">
        <v>0.2</v>
      </c>
      <c r="AC29" s="473">
        <v>0.2</v>
      </c>
      <c r="AD29" s="473">
        <v>0.2</v>
      </c>
      <c r="AE29" s="515">
        <v>807500000</v>
      </c>
      <c r="AF29" s="379">
        <v>2817080389.8000002</v>
      </c>
      <c r="AG29" s="2055">
        <v>2196156222.4000001</v>
      </c>
      <c r="AH29" s="2117">
        <v>801196031</v>
      </c>
      <c r="AI29" s="1996">
        <f t="shared" si="4"/>
        <v>0.99219322724458203</v>
      </c>
      <c r="AJ29" s="379">
        <v>426743180</v>
      </c>
      <c r="AK29" s="379">
        <v>1748051434.4100001</v>
      </c>
      <c r="AL29" s="1955">
        <v>726805330</v>
      </c>
      <c r="AM29" s="642">
        <f t="shared" si="6"/>
        <v>0.90006852012383898</v>
      </c>
      <c r="AN29" s="997">
        <f t="shared" si="24"/>
        <v>74390701</v>
      </c>
      <c r="AO29" s="1062">
        <v>2390337209.8000002</v>
      </c>
      <c r="AP29" s="379">
        <v>1770537275.3299999</v>
      </c>
      <c r="AQ29" s="1955">
        <v>448104787.99000001</v>
      </c>
      <c r="AR29" s="1955">
        <v>447482815</v>
      </c>
      <c r="AS29" s="614">
        <f t="shared" si="7"/>
        <v>0.99861199209053331</v>
      </c>
      <c r="AT29" s="249">
        <v>6800000000</v>
      </c>
      <c r="AU29" s="993">
        <f t="shared" si="16"/>
        <v>5119620034.7399998</v>
      </c>
      <c r="AV29" s="180">
        <f t="shared" si="9"/>
        <v>0.75288529922647052</v>
      </c>
      <c r="AW29" s="156"/>
      <c r="AX29" s="157"/>
      <c r="AY29" s="152" t="s">
        <v>302</v>
      </c>
      <c r="AZ29" s="2289"/>
      <c r="BA29" s="93"/>
      <c r="BB29" s="93"/>
    </row>
    <row r="30" spans="1:54" ht="191.25" customHeight="1">
      <c r="A30" s="317" t="s">
        <v>524</v>
      </c>
      <c r="B30" s="415" t="s">
        <v>716</v>
      </c>
      <c r="C30" s="147">
        <v>1</v>
      </c>
      <c r="D30" s="383">
        <v>1</v>
      </c>
      <c r="E30" s="383">
        <v>1</v>
      </c>
      <c r="F30" s="213">
        <v>1</v>
      </c>
      <c r="G30" s="147">
        <v>1</v>
      </c>
      <c r="H30" s="679">
        <v>1</v>
      </c>
      <c r="I30" s="147"/>
      <c r="J30" s="147"/>
      <c r="K30" s="147"/>
      <c r="L30" s="180">
        <f t="shared" si="21"/>
        <v>1</v>
      </c>
      <c r="M30" s="980">
        <f t="shared" si="21"/>
        <v>1</v>
      </c>
      <c r="N30" s="821">
        <f t="shared" si="22"/>
        <v>1</v>
      </c>
      <c r="O30" s="2165" t="s">
        <v>2263</v>
      </c>
      <c r="P30" s="146"/>
      <c r="Q30" s="197" t="s">
        <v>336</v>
      </c>
      <c r="R30" s="104"/>
      <c r="S30" s="146" t="s">
        <v>2169</v>
      </c>
      <c r="T30" s="104" t="s">
        <v>2174</v>
      </c>
      <c r="U30" s="149"/>
      <c r="V30" s="149"/>
      <c r="W30" s="150"/>
      <c r="X30" s="155"/>
      <c r="Y30" s="147">
        <v>4</v>
      </c>
      <c r="Z30" s="242">
        <f t="shared" si="14"/>
        <v>3</v>
      </c>
      <c r="AA30" s="153">
        <f t="shared" si="23"/>
        <v>0.75</v>
      </c>
      <c r="AB30" s="478">
        <v>0.2</v>
      </c>
      <c r="AC30" s="473">
        <v>0.2</v>
      </c>
      <c r="AD30" s="473">
        <v>0.2</v>
      </c>
      <c r="AE30" s="515">
        <v>9789274310</v>
      </c>
      <c r="AF30" s="359">
        <v>1573877311</v>
      </c>
      <c r="AG30" s="2055">
        <v>1130744278.5599999</v>
      </c>
      <c r="AH30" s="2117">
        <v>9777717102</v>
      </c>
      <c r="AI30" s="1996">
        <f t="shared" si="4"/>
        <v>0.99881940094495114</v>
      </c>
      <c r="AJ30" s="359">
        <v>20835141</v>
      </c>
      <c r="AK30" s="379">
        <v>851728517</v>
      </c>
      <c r="AL30" s="1955">
        <v>2866821057</v>
      </c>
      <c r="AM30" s="642">
        <f t="shared" si="6"/>
        <v>0.29285327657755666</v>
      </c>
      <c r="AN30" s="997">
        <f t="shared" si="24"/>
        <v>6910896045</v>
      </c>
      <c r="AO30" s="1063">
        <v>1553042170</v>
      </c>
      <c r="AP30" s="359">
        <v>1403042170</v>
      </c>
      <c r="AQ30" s="1031">
        <v>279015761.56</v>
      </c>
      <c r="AR30" s="1031">
        <v>126054906</v>
      </c>
      <c r="AS30" s="614">
        <f t="shared" si="7"/>
        <v>0.45178417626021083</v>
      </c>
      <c r="AT30" s="249">
        <v>9395000000</v>
      </c>
      <c r="AU30" s="993">
        <f t="shared" si="16"/>
        <v>5268481791</v>
      </c>
      <c r="AV30" s="180">
        <f t="shared" si="9"/>
        <v>0.56077507088877065</v>
      </c>
      <c r="AW30" s="156"/>
      <c r="AX30" s="157"/>
      <c r="AY30" s="152" t="s">
        <v>302</v>
      </c>
      <c r="AZ30" s="2289"/>
      <c r="BA30" s="93"/>
      <c r="BB30" s="93"/>
    </row>
    <row r="31" spans="1:54" ht="297.75" customHeight="1" thickBot="1">
      <c r="A31" s="321" t="s">
        <v>525</v>
      </c>
      <c r="B31" s="1020" t="s">
        <v>717</v>
      </c>
      <c r="C31" s="860">
        <v>1</v>
      </c>
      <c r="D31" s="820">
        <v>1</v>
      </c>
      <c r="E31" s="383">
        <v>1</v>
      </c>
      <c r="F31" s="870">
        <v>1</v>
      </c>
      <c r="G31" s="860">
        <v>2</v>
      </c>
      <c r="H31" s="147">
        <v>2</v>
      </c>
      <c r="I31" s="860"/>
      <c r="J31" s="860"/>
      <c r="K31" s="860"/>
      <c r="L31" s="1021">
        <f t="shared" si="21"/>
        <v>1</v>
      </c>
      <c r="M31" s="980">
        <f t="shared" si="21"/>
        <v>1</v>
      </c>
      <c r="N31" s="821">
        <f t="shared" si="22"/>
        <v>1</v>
      </c>
      <c r="O31" s="2165" t="s">
        <v>2264</v>
      </c>
      <c r="P31" s="1023"/>
      <c r="Q31" s="241" t="s">
        <v>336</v>
      </c>
      <c r="R31" s="207"/>
      <c r="S31" s="146" t="s">
        <v>2169</v>
      </c>
      <c r="T31" s="207" t="s">
        <v>2175</v>
      </c>
      <c r="U31" s="181"/>
      <c r="V31" s="181"/>
      <c r="W31" s="1024"/>
      <c r="X31" s="1049"/>
      <c r="Y31" s="860">
        <v>4</v>
      </c>
      <c r="Z31" s="1026">
        <f t="shared" si="14"/>
        <v>5</v>
      </c>
      <c r="AA31" s="1027">
        <f t="shared" si="23"/>
        <v>1</v>
      </c>
      <c r="AB31" s="1050">
        <v>0.1</v>
      </c>
      <c r="AC31" s="882">
        <v>0.1</v>
      </c>
      <c r="AD31" s="473">
        <v>0.1</v>
      </c>
      <c r="AE31" s="520">
        <v>322500000</v>
      </c>
      <c r="AF31" s="1028">
        <v>25000000</v>
      </c>
      <c r="AG31" s="2056">
        <v>295340879</v>
      </c>
      <c r="AH31" s="2117">
        <v>322056707</v>
      </c>
      <c r="AI31" s="1995">
        <f t="shared" si="4"/>
        <v>0.99862544806201547</v>
      </c>
      <c r="AJ31" s="1028">
        <v>15000000</v>
      </c>
      <c r="AK31" s="1064">
        <v>294799603</v>
      </c>
      <c r="AL31" s="1955">
        <v>311012803</v>
      </c>
      <c r="AM31" s="1030">
        <f t="shared" si="6"/>
        <v>0.96438078449612408</v>
      </c>
      <c r="AN31" s="997">
        <f t="shared" si="24"/>
        <v>11043904</v>
      </c>
      <c r="AO31" s="1052">
        <v>10000000</v>
      </c>
      <c r="AP31" s="1028">
        <v>10000000</v>
      </c>
      <c r="AQ31" s="1031">
        <v>541276</v>
      </c>
      <c r="AR31" s="1031">
        <v>403060</v>
      </c>
      <c r="AS31" s="1053">
        <f t="shared" si="7"/>
        <v>0.74464783215956365</v>
      </c>
      <c r="AT31" s="1034">
        <v>2700000000</v>
      </c>
      <c r="AU31" s="993">
        <f t="shared" si="16"/>
        <v>631215466</v>
      </c>
      <c r="AV31" s="1021">
        <f t="shared" si="9"/>
        <v>0.23378350592592592</v>
      </c>
      <c r="AW31" s="175"/>
      <c r="AX31" s="173"/>
      <c r="AY31" s="189" t="s">
        <v>302</v>
      </c>
      <c r="AZ31" s="1005" t="s">
        <v>892</v>
      </c>
      <c r="BA31" s="1037"/>
      <c r="BB31" s="1037"/>
    </row>
    <row r="32" spans="1:54" s="617" customFormat="1" ht="68.25" customHeight="1" thickBot="1">
      <c r="A32" s="1065" t="s">
        <v>421</v>
      </c>
      <c r="B32" s="1066"/>
      <c r="C32" s="862"/>
      <c r="D32" s="835"/>
      <c r="E32" s="224"/>
      <c r="F32" s="1067"/>
      <c r="G32" s="862"/>
      <c r="H32" s="200"/>
      <c r="I32" s="862"/>
      <c r="J32" s="862"/>
      <c r="K32" s="862"/>
      <c r="L32" s="1068">
        <f>+(L33*AB33)+(L37*AB37)+(L45*AB45)</f>
        <v>0.87424999999999997</v>
      </c>
      <c r="M32" s="1068">
        <f>+(M33*AC33)+(M37*AC37)+(M45*AC45)</f>
        <v>0.97199999999999998</v>
      </c>
      <c r="N32" s="1068">
        <f>+(N33*AD33)+(N37*AD37)+(N45*AD45)</f>
        <v>0.968225</v>
      </c>
      <c r="O32" s="948"/>
      <c r="P32" s="1066"/>
      <c r="Q32" s="1070"/>
      <c r="R32" s="1070"/>
      <c r="S32" s="1070"/>
      <c r="T32" s="1071"/>
      <c r="U32" s="1071"/>
      <c r="V32" s="1071"/>
      <c r="W32" s="1072"/>
      <c r="X32" s="1073"/>
      <c r="Y32" s="1074"/>
      <c r="Z32" s="1075">
        <f t="shared" si="14"/>
        <v>0</v>
      </c>
      <c r="AA32" s="1076">
        <f>+(AA33*AB33)+(AA37*AB37)+(AA45*AB45)</f>
        <v>0.7953520833333334</v>
      </c>
      <c r="AB32" s="1077">
        <v>0.25</v>
      </c>
      <c r="AC32" s="883">
        <v>0.25</v>
      </c>
      <c r="AD32" s="470">
        <v>0.25</v>
      </c>
      <c r="AE32" s="1078">
        <v>14739126021</v>
      </c>
      <c r="AF32" s="1078">
        <f>+AF33+AF37+AF45</f>
        <v>1659050070</v>
      </c>
      <c r="AG32" s="1066">
        <f>+AG33+AG37+AG45</f>
        <v>19181525696.200001</v>
      </c>
      <c r="AH32" s="2114">
        <f>+AH33+AH37+AH45</f>
        <v>14721169038</v>
      </c>
      <c r="AI32" s="1986">
        <f t="shared" si="4"/>
        <v>0.99878167925463046</v>
      </c>
      <c r="AJ32" s="1078">
        <f>+AJ33+AJ37+AJ45</f>
        <v>262300000</v>
      </c>
      <c r="AK32" s="1078">
        <f>+AK33+AK37+AK45</f>
        <v>8942596167</v>
      </c>
      <c r="AL32" s="1078">
        <f>+AL33+AL37+AL45</f>
        <v>7735525918</v>
      </c>
      <c r="AM32" s="1068">
        <f t="shared" si="6"/>
        <v>0.52482934924218594</v>
      </c>
      <c r="AN32" s="1066">
        <f>+AN33+AN37+AN45</f>
        <v>6985643120</v>
      </c>
      <c r="AO32" s="1640">
        <f>+AO33+AO37+AO45</f>
        <v>1396750070</v>
      </c>
      <c r="AP32" s="1078">
        <f>+AP33+AP37+AP45</f>
        <v>911842980</v>
      </c>
      <c r="AQ32" s="1078">
        <f>+AQ33+AQ37+AQ45</f>
        <v>10238929529.200001</v>
      </c>
      <c r="AR32" s="1078">
        <f>+AR33+AR37+AR45</f>
        <v>881473792.20000005</v>
      </c>
      <c r="AS32" s="1080">
        <f t="shared" si="7"/>
        <v>8.6090424754478437E-2</v>
      </c>
      <c r="AT32" s="1081">
        <f>+AT33+AT37+AT45</f>
        <v>29550000000</v>
      </c>
      <c r="AU32" s="1078">
        <f>+AU33+AU37+AU45</f>
        <v>18733738857.200001</v>
      </c>
      <c r="AV32" s="1077">
        <f t="shared" si="9"/>
        <v>0.63396747401692055</v>
      </c>
      <c r="AW32" s="1066"/>
      <c r="AX32" s="1071" t="s">
        <v>295</v>
      </c>
      <c r="AY32" s="1069"/>
      <c r="AZ32" s="1066"/>
      <c r="BA32" s="1082"/>
      <c r="BB32" s="1082"/>
    </row>
    <row r="33" spans="1:54" ht="57" customHeight="1" thickBot="1">
      <c r="A33" s="961" t="s">
        <v>450</v>
      </c>
      <c r="B33" s="962"/>
      <c r="C33" s="861"/>
      <c r="D33" s="826"/>
      <c r="E33" s="223"/>
      <c r="F33" s="963"/>
      <c r="G33" s="861"/>
      <c r="H33" s="139"/>
      <c r="I33" s="861"/>
      <c r="J33" s="861"/>
      <c r="K33" s="861"/>
      <c r="L33" s="964">
        <f>+(L34*50%)+(L35*50%)</f>
        <v>0.82250000000000001</v>
      </c>
      <c r="M33" s="964">
        <f>+SUMPRODUCT(M34:M36,AC34:AC36)</f>
        <v>0.72</v>
      </c>
      <c r="N33" s="964">
        <f>+SUMPRODUCT(N34:N36,AD34:AD36)</f>
        <v>0.68225000000000002</v>
      </c>
      <c r="O33" s="965"/>
      <c r="P33" s="962"/>
      <c r="Q33" s="966"/>
      <c r="R33" s="965"/>
      <c r="S33" s="965"/>
      <c r="T33" s="966"/>
      <c r="U33" s="966"/>
      <c r="V33" s="966"/>
      <c r="W33" s="966"/>
      <c r="X33" s="967"/>
      <c r="Y33" s="968"/>
      <c r="Z33" s="969">
        <f t="shared" si="14"/>
        <v>0</v>
      </c>
      <c r="AA33" s="970">
        <f>+SUMPRODUCT(AA34:AA36,AB34:AB36)</f>
        <v>0.67018750000000005</v>
      </c>
      <c r="AB33" s="964">
        <v>0.1</v>
      </c>
      <c r="AC33" s="879">
        <v>0.1</v>
      </c>
      <c r="AD33" s="471">
        <v>0.1</v>
      </c>
      <c r="AE33" s="971">
        <v>545400000</v>
      </c>
      <c r="AF33" s="971">
        <f>SUM(AF34:AF36)</f>
        <v>162750000</v>
      </c>
      <c r="AG33" s="962">
        <f>SUM(AG34:AG36)</f>
        <v>695340879</v>
      </c>
      <c r="AH33" s="2115">
        <f>SUM(AH34:AH36)</f>
        <v>538263960</v>
      </c>
      <c r="AI33" s="1984">
        <f t="shared" si="4"/>
        <v>0.98691595159515955</v>
      </c>
      <c r="AJ33" s="971">
        <f>SUM(AJ34:AJ36)</f>
        <v>120400000</v>
      </c>
      <c r="AK33" s="971">
        <f>SUM(AK34:AK36)</f>
        <v>665439603</v>
      </c>
      <c r="AL33" s="971">
        <f>SUM(AL34:AL36)</f>
        <v>517582917</v>
      </c>
      <c r="AM33" s="973">
        <f t="shared" si="6"/>
        <v>0.94899691419141918</v>
      </c>
      <c r="AN33" s="974">
        <f>SUM(AN34:AN36)</f>
        <v>20681043</v>
      </c>
      <c r="AO33" s="1058">
        <f>SUM(AO34:AO36)</f>
        <v>42350000</v>
      </c>
      <c r="AP33" s="971">
        <f>SUM(AP34:AP36)</f>
        <v>42350000</v>
      </c>
      <c r="AQ33" s="971">
        <f>SUM(AQ34:AQ36)</f>
        <v>29901276</v>
      </c>
      <c r="AR33" s="971">
        <f>SUM(AR34:AR36)</f>
        <v>27003060</v>
      </c>
      <c r="AS33" s="967">
        <f t="shared" si="7"/>
        <v>0.90307383537746011</v>
      </c>
      <c r="AT33" s="1039">
        <f>SUM(AT34:AT36)</f>
        <v>1500000000</v>
      </c>
      <c r="AU33" s="971">
        <f>SUM(AU34:AU36)</f>
        <v>1372775580</v>
      </c>
      <c r="AV33" s="964">
        <f t="shared" si="9"/>
        <v>0.91518372000000003</v>
      </c>
      <c r="AW33" s="974"/>
      <c r="AX33" s="975"/>
      <c r="AY33" s="283"/>
      <c r="AZ33" s="974"/>
      <c r="BA33" s="286"/>
      <c r="BB33" s="286"/>
    </row>
    <row r="34" spans="1:54" ht="125.25" customHeight="1">
      <c r="A34" s="318" t="s">
        <v>526</v>
      </c>
      <c r="B34" s="416" t="s">
        <v>718</v>
      </c>
      <c r="C34" s="864">
        <v>0.4</v>
      </c>
      <c r="D34" s="821">
        <v>0.6</v>
      </c>
      <c r="E34" s="180">
        <v>0.8</v>
      </c>
      <c r="F34" s="1083">
        <v>0.16</v>
      </c>
      <c r="G34" s="863">
        <v>0.52</v>
      </c>
      <c r="H34" s="182">
        <v>0.3916</v>
      </c>
      <c r="I34" s="863">
        <v>0.15</v>
      </c>
      <c r="J34" s="863">
        <v>0.15</v>
      </c>
      <c r="K34" s="863"/>
      <c r="L34" s="821">
        <f t="shared" ref="L34:M36" si="25">IF((F34+I34)/C34&gt;=100%,100%,(F34+I34)/C34)</f>
        <v>0.77499999999999991</v>
      </c>
      <c r="M34" s="980">
        <f t="shared" si="25"/>
        <v>1</v>
      </c>
      <c r="N34" s="821">
        <f t="shared" ref="N34:N48" si="26">IF((H34/E34)&gt;=100%,100%,(H34/E34))</f>
        <v>0.48949999999999999</v>
      </c>
      <c r="O34" s="2165" t="s">
        <v>2265</v>
      </c>
      <c r="P34" s="1084"/>
      <c r="Q34" s="2040" t="s">
        <v>336</v>
      </c>
      <c r="R34" s="1086"/>
      <c r="S34" s="1084" t="s">
        <v>2169</v>
      </c>
      <c r="T34" s="1086" t="s">
        <v>2176</v>
      </c>
      <c r="U34" s="1087"/>
      <c r="V34" s="1087"/>
      <c r="W34" s="1088"/>
      <c r="X34" s="1089"/>
      <c r="Y34" s="863">
        <v>0.9</v>
      </c>
      <c r="Z34" s="1090">
        <f t="shared" si="14"/>
        <v>1.3715999999999999</v>
      </c>
      <c r="AA34" s="153">
        <f t="shared" si="23"/>
        <v>1</v>
      </c>
      <c r="AB34" s="478">
        <v>0.35</v>
      </c>
      <c r="AC34" s="473">
        <v>0.35</v>
      </c>
      <c r="AD34" s="473">
        <v>0.5</v>
      </c>
      <c r="AE34" s="516">
        <v>295700000</v>
      </c>
      <c r="AF34" s="360">
        <v>77150000</v>
      </c>
      <c r="AG34" s="989">
        <v>200000000</v>
      </c>
      <c r="AH34" s="2116">
        <v>293075474</v>
      </c>
      <c r="AI34" s="2110">
        <f t="shared" si="4"/>
        <v>0.9911243625295908</v>
      </c>
      <c r="AJ34" s="360">
        <v>56300000</v>
      </c>
      <c r="AK34" s="360">
        <v>188000000</v>
      </c>
      <c r="AL34" s="1031">
        <v>278874807</v>
      </c>
      <c r="AM34" s="988">
        <f t="shared" si="6"/>
        <v>0.94310046330740616</v>
      </c>
      <c r="AN34" s="997">
        <f>+AH34-AL34</f>
        <v>14200667</v>
      </c>
      <c r="AO34" s="1091">
        <v>20850000</v>
      </c>
      <c r="AP34" s="360">
        <v>20850000</v>
      </c>
      <c r="AQ34" s="1031">
        <v>12000000</v>
      </c>
      <c r="AR34" s="1031">
        <v>12000000</v>
      </c>
      <c r="AS34" s="614">
        <f t="shared" si="7"/>
        <v>1</v>
      </c>
      <c r="AT34" s="993">
        <v>600000000</v>
      </c>
      <c r="AU34" s="993">
        <f t="shared" ref="AU34:AU36" si="27">SUM(AJ34:AL34)+AP34+AR34</f>
        <v>556024807</v>
      </c>
      <c r="AV34" s="821">
        <f t="shared" si="9"/>
        <v>0.92670801166666672</v>
      </c>
      <c r="AW34" s="1044"/>
      <c r="AX34" s="191"/>
      <c r="AY34" s="190" t="s">
        <v>302</v>
      </c>
      <c r="AZ34" s="2314" t="s">
        <v>893</v>
      </c>
      <c r="BA34" s="1047"/>
      <c r="BB34" s="1047"/>
    </row>
    <row r="35" spans="1:54" ht="60" customHeight="1">
      <c r="A35" s="318" t="s">
        <v>527</v>
      </c>
      <c r="B35" s="417" t="s">
        <v>720</v>
      </c>
      <c r="C35" s="182">
        <v>1</v>
      </c>
      <c r="D35" s="180">
        <v>1</v>
      </c>
      <c r="E35" s="180">
        <v>1</v>
      </c>
      <c r="F35" s="1002">
        <v>0.87</v>
      </c>
      <c r="G35" s="182">
        <v>0.2</v>
      </c>
      <c r="H35" s="182">
        <v>0.875</v>
      </c>
      <c r="I35" s="147"/>
      <c r="J35" s="147"/>
      <c r="K35" s="147"/>
      <c r="L35" s="180">
        <f t="shared" si="25"/>
        <v>0.87</v>
      </c>
      <c r="M35" s="980">
        <f t="shared" si="25"/>
        <v>0.2</v>
      </c>
      <c r="N35" s="821">
        <f t="shared" si="26"/>
        <v>0.875</v>
      </c>
      <c r="O35" s="2165" t="s">
        <v>2266</v>
      </c>
      <c r="P35" s="1013"/>
      <c r="Q35" s="2041" t="s">
        <v>336</v>
      </c>
      <c r="R35" s="1015"/>
      <c r="S35" s="1084" t="s">
        <v>2169</v>
      </c>
      <c r="T35" s="1015">
        <v>132</v>
      </c>
      <c r="U35" s="1016"/>
      <c r="V35" s="1016"/>
      <c r="W35" s="1017"/>
      <c r="X35" s="1092"/>
      <c r="Y35" s="872">
        <v>4</v>
      </c>
      <c r="Z35" s="1010">
        <f t="shared" si="14"/>
        <v>1.9450000000000001</v>
      </c>
      <c r="AA35" s="153">
        <f t="shared" si="23"/>
        <v>0.48625000000000002</v>
      </c>
      <c r="AB35" s="478">
        <v>0.35</v>
      </c>
      <c r="AC35" s="473">
        <v>0.35</v>
      </c>
      <c r="AD35" s="473">
        <v>0.5</v>
      </c>
      <c r="AE35" s="516">
        <v>249700000</v>
      </c>
      <c r="AF35" s="359">
        <v>85600000</v>
      </c>
      <c r="AG35" s="997">
        <v>200000000</v>
      </c>
      <c r="AH35" s="2116">
        <v>245188486</v>
      </c>
      <c r="AI35" s="1996">
        <f t="shared" si="4"/>
        <v>0.98193226271525835</v>
      </c>
      <c r="AJ35" s="359">
        <v>64100000</v>
      </c>
      <c r="AK35" s="359">
        <v>182640000</v>
      </c>
      <c r="AL35" s="1031">
        <v>238708110</v>
      </c>
      <c r="AM35" s="642">
        <f t="shared" si="6"/>
        <v>0.95597961553864641</v>
      </c>
      <c r="AN35" s="997">
        <f t="shared" ref="AN35:AN48" si="28">+AH35-AL35</f>
        <v>6480376</v>
      </c>
      <c r="AO35" s="1063">
        <v>21500000</v>
      </c>
      <c r="AP35" s="359">
        <v>21500000</v>
      </c>
      <c r="AQ35" s="1031">
        <v>17360000</v>
      </c>
      <c r="AR35" s="1031">
        <v>14600000</v>
      </c>
      <c r="AS35" s="614">
        <f t="shared" si="7"/>
        <v>0.84101382488479259</v>
      </c>
      <c r="AT35" s="249">
        <v>600000000</v>
      </c>
      <c r="AU35" s="993">
        <f t="shared" si="27"/>
        <v>521548110</v>
      </c>
      <c r="AV35" s="180">
        <f t="shared" si="9"/>
        <v>0.86924685000000002</v>
      </c>
      <c r="AW35" s="156"/>
      <c r="AX35" s="157"/>
      <c r="AY35" s="152" t="s">
        <v>7</v>
      </c>
      <c r="AZ35" s="2289"/>
      <c r="BA35" s="93"/>
      <c r="BB35" s="93"/>
    </row>
    <row r="36" spans="1:54" ht="153" customHeight="1" thickBot="1">
      <c r="A36" s="320" t="s">
        <v>528</v>
      </c>
      <c r="B36" s="1093" t="s">
        <v>719</v>
      </c>
      <c r="C36" s="860">
        <v>0</v>
      </c>
      <c r="D36" s="820">
        <v>1</v>
      </c>
      <c r="E36" s="383">
        <v>0</v>
      </c>
      <c r="F36" s="870">
        <v>0</v>
      </c>
      <c r="G36" s="860">
        <v>0</v>
      </c>
      <c r="H36" s="147">
        <v>0</v>
      </c>
      <c r="I36" s="860"/>
      <c r="J36" s="860">
        <v>1</v>
      </c>
      <c r="K36" s="860"/>
      <c r="L36" s="1021" t="e">
        <f t="shared" si="25"/>
        <v>#DIV/0!</v>
      </c>
      <c r="M36" s="980">
        <f t="shared" si="25"/>
        <v>1</v>
      </c>
      <c r="N36" s="821" t="s">
        <v>2163</v>
      </c>
      <c r="O36" s="2165"/>
      <c r="P36" s="1023"/>
      <c r="Q36" s="206"/>
      <c r="R36" s="207"/>
      <c r="S36" s="1023"/>
      <c r="T36" s="181"/>
      <c r="U36" s="181"/>
      <c r="V36" s="181"/>
      <c r="W36" s="1024"/>
      <c r="X36" s="1049"/>
      <c r="Y36" s="860">
        <v>2</v>
      </c>
      <c r="Z36" s="1021">
        <f t="shared" si="14"/>
        <v>1</v>
      </c>
      <c r="AA36" s="1027">
        <f t="shared" si="23"/>
        <v>0.5</v>
      </c>
      <c r="AB36" s="1050">
        <v>0.3</v>
      </c>
      <c r="AC36" s="882">
        <v>0.3</v>
      </c>
      <c r="AD36" s="473">
        <v>0</v>
      </c>
      <c r="AE36" s="1051">
        <v>0</v>
      </c>
      <c r="AF36" s="1094" t="s">
        <v>887</v>
      </c>
      <c r="AG36" s="2053">
        <v>295340879</v>
      </c>
      <c r="AH36" s="2116">
        <v>0</v>
      </c>
      <c r="AI36" s="1995" t="e">
        <f t="shared" si="4"/>
        <v>#DIV/0!</v>
      </c>
      <c r="AJ36" s="1094" t="s">
        <v>887</v>
      </c>
      <c r="AK36" s="1028">
        <v>294799603</v>
      </c>
      <c r="AL36" s="1031"/>
      <c r="AM36" s="1030" t="e">
        <f t="shared" si="6"/>
        <v>#DIV/0!</v>
      </c>
      <c r="AN36" s="997">
        <f t="shared" si="28"/>
        <v>0</v>
      </c>
      <c r="AO36" s="1095">
        <v>0</v>
      </c>
      <c r="AP36" s="1094">
        <v>0</v>
      </c>
      <c r="AQ36" s="2000">
        <v>541276</v>
      </c>
      <c r="AR36" s="2000">
        <v>403060</v>
      </c>
      <c r="AS36" s="1053">
        <f t="shared" si="7"/>
        <v>0.74464783215956365</v>
      </c>
      <c r="AT36" s="1096">
        <v>300000000</v>
      </c>
      <c r="AU36" s="993">
        <f t="shared" si="27"/>
        <v>295202663</v>
      </c>
      <c r="AV36" s="1021">
        <f t="shared" si="9"/>
        <v>0.9840088766666667</v>
      </c>
      <c r="AW36" s="175"/>
      <c r="AX36" s="173"/>
      <c r="AY36" s="189" t="s">
        <v>302</v>
      </c>
      <c r="AZ36" s="1097" t="s">
        <v>891</v>
      </c>
      <c r="BA36" s="1037"/>
      <c r="BB36" s="1037"/>
    </row>
    <row r="37" spans="1:54" ht="60.75" customHeight="1" thickBot="1">
      <c r="A37" s="961" t="s">
        <v>451</v>
      </c>
      <c r="B37" s="962"/>
      <c r="C37" s="861"/>
      <c r="D37" s="826"/>
      <c r="E37" s="223"/>
      <c r="F37" s="963"/>
      <c r="G37" s="861"/>
      <c r="H37" s="139"/>
      <c r="I37" s="861"/>
      <c r="J37" s="861"/>
      <c r="K37" s="861"/>
      <c r="L37" s="973">
        <f>+(L38*18%)+(L39*38%)+(L40*27%)+(L43*17%)</f>
        <v>0.73000000000000009</v>
      </c>
      <c r="M37" s="964">
        <f>+SUMPRODUCT(M38:M44,AC38:AC44)</f>
        <v>1</v>
      </c>
      <c r="N37" s="964">
        <f>+SUMPRODUCT(N38:N44,AD38:AD44)</f>
        <v>1</v>
      </c>
      <c r="O37" s="965"/>
      <c r="P37" s="962"/>
      <c r="Q37" s="1098"/>
      <c r="R37" s="1098"/>
      <c r="S37" s="1098"/>
      <c r="T37" s="966"/>
      <c r="U37" s="966"/>
      <c r="V37" s="966"/>
      <c r="W37" s="1099"/>
      <c r="X37" s="1100"/>
      <c r="Y37" s="968"/>
      <c r="Z37" s="969">
        <f t="shared" si="14"/>
        <v>0</v>
      </c>
      <c r="AA37" s="1055">
        <f>+SUMPRODUCT(AA38:AA44,AB38:AB44)</f>
        <v>0.73333333333333328</v>
      </c>
      <c r="AB37" s="964">
        <v>0.4</v>
      </c>
      <c r="AC37" s="879">
        <v>0.4</v>
      </c>
      <c r="AD37" s="471">
        <v>0.4</v>
      </c>
      <c r="AE37" s="971">
        <v>1549700000</v>
      </c>
      <c r="AF37" s="971">
        <f>SUM(AF38:AF44)</f>
        <v>919742980</v>
      </c>
      <c r="AG37" s="962">
        <f>SUM(AG38:AG44)</f>
        <v>1950651505.2</v>
      </c>
      <c r="AH37" s="2115">
        <f>SUM(AH38:AH44)</f>
        <v>1543714533</v>
      </c>
      <c r="AI37" s="1984">
        <f t="shared" si="4"/>
        <v>0.99613766083758148</v>
      </c>
      <c r="AJ37" s="971">
        <f>SUM(AJ38:AJ44)</f>
        <v>90600000</v>
      </c>
      <c r="AK37" s="971">
        <f>SUM(AK38:AK44)</f>
        <v>1366882913</v>
      </c>
      <c r="AL37" s="971">
        <f>SUM(AL38:AL44)</f>
        <v>1157568651</v>
      </c>
      <c r="AM37" s="973">
        <f t="shared" si="6"/>
        <v>0.74696305801122798</v>
      </c>
      <c r="AN37" s="974">
        <f>SUM(AN38:AN44)</f>
        <v>386145882</v>
      </c>
      <c r="AO37" s="1101">
        <f>SUM(AO38:AO44)</f>
        <v>829142980</v>
      </c>
      <c r="AP37" s="971">
        <f>SUM(AP38:AP44)</f>
        <v>829142980</v>
      </c>
      <c r="AQ37" s="971">
        <f>SUM(AQ38:AQ44)</f>
        <v>583768592.20000005</v>
      </c>
      <c r="AR37" s="971">
        <f>SUM(AR38:AR44)</f>
        <v>581417756.20000005</v>
      </c>
      <c r="AS37" s="967">
        <f t="shared" si="7"/>
        <v>0.99597300020691315</v>
      </c>
      <c r="AT37" s="1039">
        <f>SUM(AT38:AT44)</f>
        <v>6370000000</v>
      </c>
      <c r="AU37" s="971">
        <f>SUM(AU38:AU44)</f>
        <v>4025612300.1999998</v>
      </c>
      <c r="AV37" s="1102">
        <f t="shared" si="9"/>
        <v>0.63196425434850856</v>
      </c>
      <c r="AW37" s="974"/>
      <c r="AX37" s="975"/>
      <c r="AY37" s="283"/>
      <c r="AZ37" s="974"/>
      <c r="BA37" s="286"/>
      <c r="BB37" s="286"/>
    </row>
    <row r="38" spans="1:54" ht="111" customHeight="1">
      <c r="A38" s="319" t="s">
        <v>529</v>
      </c>
      <c r="B38" s="418" t="s">
        <v>726</v>
      </c>
      <c r="C38" s="864">
        <v>1</v>
      </c>
      <c r="D38" s="821">
        <v>1</v>
      </c>
      <c r="E38" s="180">
        <v>1</v>
      </c>
      <c r="F38" s="1083">
        <v>0.93</v>
      </c>
      <c r="G38" s="864">
        <v>1</v>
      </c>
      <c r="H38" s="182">
        <v>1</v>
      </c>
      <c r="I38" s="864">
        <v>7.0000000000000007E-2</v>
      </c>
      <c r="J38" s="864"/>
      <c r="K38" s="864"/>
      <c r="L38" s="821">
        <f>IF((F38+I38)/C38&gt;=100%,100%,(F38+I38)/C38)</f>
        <v>1</v>
      </c>
      <c r="M38" s="980">
        <f t="shared" ref="M38:M48" si="29">IF((G38+J38)/D38&gt;=100%,100%,(G38+J38)/D38)</f>
        <v>1</v>
      </c>
      <c r="N38" s="821">
        <f t="shared" si="26"/>
        <v>1</v>
      </c>
      <c r="O38" s="2165" t="s">
        <v>2267</v>
      </c>
      <c r="P38" s="982"/>
      <c r="Q38" s="2039" t="s">
        <v>336</v>
      </c>
      <c r="R38" s="984"/>
      <c r="S38" s="204" t="s">
        <v>2169</v>
      </c>
      <c r="T38" s="984" t="s">
        <v>2177</v>
      </c>
      <c r="U38" s="204"/>
      <c r="V38" s="204"/>
      <c r="W38" s="985"/>
      <c r="X38" s="1103"/>
      <c r="Y38" s="863">
        <v>4</v>
      </c>
      <c r="Z38" s="1090">
        <f t="shared" si="14"/>
        <v>3</v>
      </c>
      <c r="AA38" s="1104">
        <f t="shared" ref="AA38:AA44" si="30">IF(Z38/Y38&gt;=100%,100%,Z38/Y38)</f>
        <v>0.75</v>
      </c>
      <c r="AB38" s="1105">
        <v>0.1</v>
      </c>
      <c r="AC38" s="884">
        <v>0.12</v>
      </c>
      <c r="AD38" s="2025">
        <v>0.14000000000000001</v>
      </c>
      <c r="AE38" s="517">
        <v>189700000</v>
      </c>
      <c r="AF38" s="360">
        <v>70850000</v>
      </c>
      <c r="AG38" s="989">
        <v>170000000</v>
      </c>
      <c r="AH38" s="2116">
        <v>189510018</v>
      </c>
      <c r="AI38" s="2112">
        <f t="shared" si="4"/>
        <v>0.9989985134422773</v>
      </c>
      <c r="AJ38" s="360">
        <v>53100000</v>
      </c>
      <c r="AK38" s="360">
        <v>166500000</v>
      </c>
      <c r="AL38" s="1031">
        <v>188663299</v>
      </c>
      <c r="AM38" s="1107">
        <f t="shared" si="6"/>
        <v>0.99453505007907217</v>
      </c>
      <c r="AN38" s="997">
        <f t="shared" si="28"/>
        <v>846719</v>
      </c>
      <c r="AO38" s="1045">
        <v>17750000</v>
      </c>
      <c r="AP38" s="360">
        <v>17750000</v>
      </c>
      <c r="AQ38" s="1031">
        <v>3500000</v>
      </c>
      <c r="AR38" s="1031">
        <v>3500000</v>
      </c>
      <c r="AS38" s="1089">
        <f t="shared" si="7"/>
        <v>1</v>
      </c>
      <c r="AT38" s="1109">
        <v>550000000</v>
      </c>
      <c r="AU38" s="993">
        <f t="shared" ref="AU38:AU43" si="31">SUM(AJ38:AL38)+AP38+AR38</f>
        <v>429513299</v>
      </c>
      <c r="AV38" s="1090">
        <f t="shared" si="9"/>
        <v>0.78093327090909093</v>
      </c>
      <c r="AW38" s="1108"/>
      <c r="AX38" s="1111"/>
      <c r="AY38" s="981" t="s">
        <v>29</v>
      </c>
      <c r="AZ38" s="418" t="s">
        <v>889</v>
      </c>
      <c r="BA38" s="1047"/>
      <c r="BB38" s="1047"/>
    </row>
    <row r="39" spans="1:54" ht="122.25" customHeight="1">
      <c r="A39" s="319" t="s">
        <v>530</v>
      </c>
      <c r="B39" s="1112" t="s">
        <v>721</v>
      </c>
      <c r="C39" s="1113">
        <v>1</v>
      </c>
      <c r="D39" s="384">
        <v>1</v>
      </c>
      <c r="E39" s="908">
        <v>1</v>
      </c>
      <c r="F39" s="213">
        <v>1</v>
      </c>
      <c r="G39" s="147">
        <v>1</v>
      </c>
      <c r="H39" s="147">
        <v>1</v>
      </c>
      <c r="I39" s="147"/>
      <c r="J39" s="147"/>
      <c r="K39" s="147"/>
      <c r="L39" s="180">
        <f t="shared" ref="L39:L48" si="32">IF((F39+I39)/C39&gt;=100%,100%,(F39+I39)/C39)</f>
        <v>1</v>
      </c>
      <c r="M39" s="980">
        <f t="shared" si="29"/>
        <v>1</v>
      </c>
      <c r="N39" s="821">
        <f t="shared" si="26"/>
        <v>1</v>
      </c>
      <c r="O39" s="2165" t="s">
        <v>2268</v>
      </c>
      <c r="P39" s="146"/>
      <c r="Q39" s="101" t="s">
        <v>336</v>
      </c>
      <c r="R39" s="104"/>
      <c r="S39" s="146" t="s">
        <v>2169</v>
      </c>
      <c r="T39" s="149">
        <v>279</v>
      </c>
      <c r="U39" s="149"/>
      <c r="V39" s="149"/>
      <c r="W39" s="150"/>
      <c r="X39" s="158"/>
      <c r="Y39" s="859">
        <v>4</v>
      </c>
      <c r="Z39" s="1008">
        <f t="shared" si="14"/>
        <v>3</v>
      </c>
      <c r="AA39" s="1104">
        <f t="shared" si="30"/>
        <v>0.75</v>
      </c>
      <c r="AB39" s="1105">
        <v>0.3</v>
      </c>
      <c r="AC39" s="881">
        <v>0.32</v>
      </c>
      <c r="AD39" s="2025">
        <v>0.34</v>
      </c>
      <c r="AE39" s="517">
        <v>961700000</v>
      </c>
      <c r="AF39" s="359">
        <v>599224500</v>
      </c>
      <c r="AG39" s="997">
        <v>883408011</v>
      </c>
      <c r="AH39" s="2116">
        <v>960976437</v>
      </c>
      <c r="AI39" s="1993">
        <f t="shared" si="4"/>
        <v>0.99924762087969221</v>
      </c>
      <c r="AJ39" s="359">
        <v>0</v>
      </c>
      <c r="AK39" s="359">
        <v>463150138</v>
      </c>
      <c r="AL39" s="1031">
        <v>699614855</v>
      </c>
      <c r="AM39" s="1115">
        <f t="shared" si="6"/>
        <v>0.72747723302485179</v>
      </c>
      <c r="AN39" s="997">
        <f t="shared" si="28"/>
        <v>261361582</v>
      </c>
      <c r="AO39" s="1063">
        <v>599224500</v>
      </c>
      <c r="AP39" s="359">
        <v>599224500</v>
      </c>
      <c r="AQ39" s="1031">
        <v>420257873</v>
      </c>
      <c r="AR39" s="1031">
        <v>419797153</v>
      </c>
      <c r="AS39" s="1089">
        <f t="shared" si="7"/>
        <v>0.99890372071625655</v>
      </c>
      <c r="AT39" s="1117">
        <v>3600000000</v>
      </c>
      <c r="AU39" s="993">
        <f t="shared" si="31"/>
        <v>2181786646</v>
      </c>
      <c r="AV39" s="1010">
        <f t="shared" si="9"/>
        <v>0.60605184611111107</v>
      </c>
      <c r="AW39" s="1116"/>
      <c r="AX39" s="1119"/>
      <c r="AY39" s="1012" t="s">
        <v>302</v>
      </c>
      <c r="AZ39" s="2315" t="s">
        <v>894</v>
      </c>
      <c r="BA39" s="93"/>
      <c r="BB39" s="93"/>
    </row>
    <row r="40" spans="1:54" ht="240.75" customHeight="1">
      <c r="A40" s="319" t="s">
        <v>531</v>
      </c>
      <c r="B40" s="1112" t="s">
        <v>722</v>
      </c>
      <c r="C40" s="1113">
        <v>1</v>
      </c>
      <c r="D40" s="384">
        <v>1</v>
      </c>
      <c r="E40" s="908">
        <v>1</v>
      </c>
      <c r="F40" s="213">
        <v>0</v>
      </c>
      <c r="G40" s="147">
        <v>0</v>
      </c>
      <c r="H40" s="147">
        <v>1</v>
      </c>
      <c r="I40" s="147"/>
      <c r="J40" s="147">
        <v>1</v>
      </c>
      <c r="K40" s="147"/>
      <c r="L40" s="180">
        <f t="shared" si="32"/>
        <v>0</v>
      </c>
      <c r="M40" s="980">
        <f t="shared" si="29"/>
        <v>1</v>
      </c>
      <c r="N40" s="821">
        <f t="shared" si="26"/>
        <v>1</v>
      </c>
      <c r="O40" s="2165" t="s">
        <v>2269</v>
      </c>
      <c r="P40" s="146"/>
      <c r="Q40" s="101" t="s">
        <v>336</v>
      </c>
      <c r="R40" s="104"/>
      <c r="S40" s="146"/>
      <c r="T40" s="149" t="s">
        <v>2270</v>
      </c>
      <c r="U40" s="149"/>
      <c r="V40" s="149"/>
      <c r="W40" s="150"/>
      <c r="X40" s="158"/>
      <c r="Y40" s="859">
        <v>4</v>
      </c>
      <c r="Z40" s="1008">
        <f t="shared" si="14"/>
        <v>2</v>
      </c>
      <c r="AA40" s="1104">
        <f t="shared" si="30"/>
        <v>0.5</v>
      </c>
      <c r="AB40" s="1105">
        <v>0.2</v>
      </c>
      <c r="AC40" s="881">
        <v>0.21</v>
      </c>
      <c r="AD40" s="2025">
        <v>0.24</v>
      </c>
      <c r="AE40" s="517">
        <v>238300000</v>
      </c>
      <c r="AF40" s="508" t="s">
        <v>887</v>
      </c>
      <c r="AG40" s="997">
        <v>254533137</v>
      </c>
      <c r="AH40" s="2116">
        <v>233567242</v>
      </c>
      <c r="AI40" s="1993">
        <f t="shared" si="4"/>
        <v>0.98013949643306753</v>
      </c>
      <c r="AJ40" s="508" t="s">
        <v>887</v>
      </c>
      <c r="AK40" s="359">
        <v>129012074</v>
      </c>
      <c r="AL40" s="1031">
        <v>112257536</v>
      </c>
      <c r="AM40" s="1010">
        <f t="shared" si="6"/>
        <v>0.47107652538816619</v>
      </c>
      <c r="AN40" s="997">
        <f t="shared" si="28"/>
        <v>121309706</v>
      </c>
      <c r="AO40" s="1120" t="s">
        <v>887</v>
      </c>
      <c r="AP40" s="997">
        <v>0</v>
      </c>
      <c r="AQ40" s="2001">
        <v>125521063</v>
      </c>
      <c r="AR40" s="2001">
        <v>124949833</v>
      </c>
      <c r="AS40" s="1089">
        <f t="shared" si="7"/>
        <v>0.99544913031847093</v>
      </c>
      <c r="AT40" s="1117">
        <v>1200000000</v>
      </c>
      <c r="AU40" s="993">
        <f t="shared" si="31"/>
        <v>366219443</v>
      </c>
      <c r="AV40" s="1010">
        <f t="shared" si="9"/>
        <v>0.30518286916666665</v>
      </c>
      <c r="AW40" s="1116"/>
      <c r="AX40" s="1119"/>
      <c r="AY40" s="1012" t="s">
        <v>302</v>
      </c>
      <c r="AZ40" s="2290"/>
      <c r="BA40" s="93"/>
      <c r="BB40" s="93"/>
    </row>
    <row r="41" spans="1:54" ht="68.25" customHeight="1">
      <c r="A41" s="319" t="s">
        <v>532</v>
      </c>
      <c r="B41" s="419" t="s">
        <v>727</v>
      </c>
      <c r="C41" s="1113">
        <v>0</v>
      </c>
      <c r="D41" s="384">
        <v>1</v>
      </c>
      <c r="E41" s="384">
        <v>0</v>
      </c>
      <c r="F41" s="213">
        <v>0</v>
      </c>
      <c r="G41" s="147">
        <v>1</v>
      </c>
      <c r="H41" s="147">
        <v>0</v>
      </c>
      <c r="I41" s="147"/>
      <c r="J41" s="147"/>
      <c r="K41" s="147"/>
      <c r="L41" s="180" t="e">
        <f t="shared" si="32"/>
        <v>#DIV/0!</v>
      </c>
      <c r="M41" s="980">
        <f t="shared" si="29"/>
        <v>1</v>
      </c>
      <c r="N41" s="821" t="s">
        <v>2163</v>
      </c>
      <c r="O41" s="2165"/>
      <c r="P41" s="146"/>
      <c r="Q41" s="101"/>
      <c r="R41" s="104"/>
      <c r="S41" s="146"/>
      <c r="T41" s="149"/>
      <c r="U41" s="149"/>
      <c r="V41" s="149"/>
      <c r="W41" s="150"/>
      <c r="X41" s="158"/>
      <c r="Y41" s="1121">
        <v>1</v>
      </c>
      <c r="Z41" s="1008">
        <f t="shared" si="14"/>
        <v>1</v>
      </c>
      <c r="AA41" s="1104">
        <f t="shared" si="30"/>
        <v>1</v>
      </c>
      <c r="AB41" s="1105">
        <v>0.1</v>
      </c>
      <c r="AC41" s="881">
        <v>0.12</v>
      </c>
      <c r="AD41" s="472">
        <v>0</v>
      </c>
      <c r="AE41" s="518">
        <v>0</v>
      </c>
      <c r="AF41" s="509" t="s">
        <v>887</v>
      </c>
      <c r="AG41" s="997">
        <v>485294769</v>
      </c>
      <c r="AH41" s="2116">
        <v>0</v>
      </c>
      <c r="AI41" s="1993" t="e">
        <f t="shared" si="4"/>
        <v>#DIV/0!</v>
      </c>
      <c r="AJ41" s="509" t="s">
        <v>887</v>
      </c>
      <c r="AK41" s="359">
        <v>468731314</v>
      </c>
      <c r="AL41" s="1031"/>
      <c r="AM41" s="1115" t="e">
        <f t="shared" si="6"/>
        <v>#DIV/0!</v>
      </c>
      <c r="AN41" s="997">
        <f t="shared" si="28"/>
        <v>0</v>
      </c>
      <c r="AO41" s="1122" t="s">
        <v>887</v>
      </c>
      <c r="AP41" s="997">
        <v>0</v>
      </c>
      <c r="AQ41" s="2001">
        <v>16563455</v>
      </c>
      <c r="AR41" s="2001">
        <v>16425239</v>
      </c>
      <c r="AS41" s="1089">
        <f t="shared" si="7"/>
        <v>0.99165536417371858</v>
      </c>
      <c r="AT41" s="1117">
        <v>0</v>
      </c>
      <c r="AU41" s="993">
        <f t="shared" si="31"/>
        <v>485156553</v>
      </c>
      <c r="AV41" s="1008" t="e">
        <f t="shared" si="9"/>
        <v>#DIV/0!</v>
      </c>
      <c r="AW41" s="1116"/>
      <c r="AX41" s="1119"/>
      <c r="AY41" s="1012" t="s">
        <v>302</v>
      </c>
      <c r="AZ41" s="2304" t="s">
        <v>894</v>
      </c>
      <c r="BA41" s="93"/>
      <c r="BB41" s="93"/>
    </row>
    <row r="42" spans="1:54" ht="165" customHeight="1">
      <c r="A42" s="319" t="s">
        <v>533</v>
      </c>
      <c r="B42" s="420" t="s">
        <v>723</v>
      </c>
      <c r="C42" s="1113">
        <v>0</v>
      </c>
      <c r="D42" s="384">
        <v>1</v>
      </c>
      <c r="E42" s="384">
        <v>1</v>
      </c>
      <c r="F42" s="213">
        <v>0</v>
      </c>
      <c r="G42" s="147">
        <v>1</v>
      </c>
      <c r="H42" s="147">
        <v>1</v>
      </c>
      <c r="I42" s="147"/>
      <c r="J42" s="147"/>
      <c r="K42" s="147"/>
      <c r="L42" s="180" t="e">
        <f t="shared" si="32"/>
        <v>#DIV/0!</v>
      </c>
      <c r="M42" s="980">
        <f t="shared" si="29"/>
        <v>1</v>
      </c>
      <c r="N42" s="821">
        <f t="shared" si="26"/>
        <v>1</v>
      </c>
      <c r="O42" s="2165" t="s">
        <v>2271</v>
      </c>
      <c r="P42" s="146"/>
      <c r="Q42" s="2039" t="s">
        <v>336</v>
      </c>
      <c r="R42" s="104"/>
      <c r="S42" s="204" t="s">
        <v>2169</v>
      </c>
      <c r="T42" s="2037" t="s">
        <v>2178</v>
      </c>
      <c r="U42" s="149"/>
      <c r="V42" s="149"/>
      <c r="W42" s="150"/>
      <c r="X42" s="158"/>
      <c r="Y42" s="1121">
        <v>3</v>
      </c>
      <c r="Z42" s="1008">
        <f t="shared" si="14"/>
        <v>2</v>
      </c>
      <c r="AA42" s="1104">
        <f t="shared" si="30"/>
        <v>0.66666666666666663</v>
      </c>
      <c r="AB42" s="1105">
        <v>0.1</v>
      </c>
      <c r="AC42" s="881">
        <v>0.12</v>
      </c>
      <c r="AD42" s="2025">
        <v>0.14000000000000001</v>
      </c>
      <c r="AE42" s="1124">
        <v>100000000</v>
      </c>
      <c r="AF42" s="363" t="s">
        <v>887</v>
      </c>
      <c r="AG42" s="997">
        <v>98347412</v>
      </c>
      <c r="AH42" s="2116">
        <v>99692062</v>
      </c>
      <c r="AI42" s="1993">
        <f t="shared" si="4"/>
        <v>0.99692062000000004</v>
      </c>
      <c r="AJ42" s="363" t="s">
        <v>887</v>
      </c>
      <c r="AK42" s="359">
        <v>81178105</v>
      </c>
      <c r="AL42" s="1031">
        <v>97634559</v>
      </c>
      <c r="AM42" s="1115">
        <f t="shared" si="6"/>
        <v>0.97634558999999999</v>
      </c>
      <c r="AN42" s="997">
        <f t="shared" si="28"/>
        <v>2057503</v>
      </c>
      <c r="AO42" s="1125" t="s">
        <v>887</v>
      </c>
      <c r="AP42" s="997">
        <v>0</v>
      </c>
      <c r="AQ42" s="2002">
        <v>17169307</v>
      </c>
      <c r="AR42" s="2002">
        <v>16016280</v>
      </c>
      <c r="AS42" s="1089">
        <f t="shared" si="7"/>
        <v>0.93284370766973879</v>
      </c>
      <c r="AT42" s="1117">
        <v>200000000</v>
      </c>
      <c r="AU42" s="993">
        <f t="shared" si="31"/>
        <v>194828944</v>
      </c>
      <c r="AV42" s="1010">
        <f t="shared" si="9"/>
        <v>0.97414471999999996</v>
      </c>
      <c r="AW42" s="1116"/>
      <c r="AX42" s="1119"/>
      <c r="AY42" s="1012" t="s">
        <v>302</v>
      </c>
      <c r="AZ42" s="2289"/>
      <c r="BA42" s="93"/>
      <c r="BB42" s="93"/>
    </row>
    <row r="43" spans="1:54" ht="51.75" customHeight="1">
      <c r="A43" s="319" t="s">
        <v>534</v>
      </c>
      <c r="B43" s="420" t="s">
        <v>724</v>
      </c>
      <c r="C43" s="1113">
        <v>1</v>
      </c>
      <c r="D43" s="384">
        <v>0</v>
      </c>
      <c r="E43" s="384">
        <v>0</v>
      </c>
      <c r="F43" s="213">
        <v>0</v>
      </c>
      <c r="G43" s="147">
        <v>0</v>
      </c>
      <c r="H43" s="147"/>
      <c r="I43" s="147">
        <v>1</v>
      </c>
      <c r="J43" s="147">
        <v>1</v>
      </c>
      <c r="K43" s="147"/>
      <c r="L43" s="180">
        <f t="shared" si="32"/>
        <v>1</v>
      </c>
      <c r="M43" s="980" t="s">
        <v>2163</v>
      </c>
      <c r="N43" s="821" t="s">
        <v>2163</v>
      </c>
      <c r="O43" s="2165"/>
      <c r="P43" s="146"/>
      <c r="Q43" s="101"/>
      <c r="R43" s="104"/>
      <c r="S43" s="146"/>
      <c r="T43" s="149"/>
      <c r="U43" s="149"/>
      <c r="V43" s="149"/>
      <c r="W43" s="150"/>
      <c r="X43" s="149"/>
      <c r="Y43" s="1121">
        <v>1</v>
      </c>
      <c r="Z43" s="1008">
        <f t="shared" si="14"/>
        <v>2</v>
      </c>
      <c r="AA43" s="1104">
        <f t="shared" si="30"/>
        <v>1</v>
      </c>
      <c r="AB43" s="1105">
        <v>0.1</v>
      </c>
      <c r="AC43" s="881">
        <v>0</v>
      </c>
      <c r="AD43" s="472">
        <v>0</v>
      </c>
      <c r="AE43" s="517">
        <v>0</v>
      </c>
      <c r="AF43" s="359">
        <v>249668480</v>
      </c>
      <c r="AG43" s="997">
        <v>0</v>
      </c>
      <c r="AH43" s="2116">
        <v>0</v>
      </c>
      <c r="AI43" s="1993" t="e">
        <f t="shared" si="4"/>
        <v>#DIV/0!</v>
      </c>
      <c r="AJ43" s="359">
        <v>37500000</v>
      </c>
      <c r="AK43" s="359">
        <v>0</v>
      </c>
      <c r="AL43" s="1031"/>
      <c r="AM43" s="1008" t="e">
        <f t="shared" si="6"/>
        <v>#DIV/0!</v>
      </c>
      <c r="AN43" s="997">
        <f t="shared" si="28"/>
        <v>0</v>
      </c>
      <c r="AO43" s="1063">
        <v>212168480</v>
      </c>
      <c r="AP43" s="359">
        <v>212168480</v>
      </c>
      <c r="AQ43" s="1031"/>
      <c r="AR43" s="1031"/>
      <c r="AS43" s="1089" t="e">
        <f t="shared" si="7"/>
        <v>#DIV/0!</v>
      </c>
      <c r="AT43" s="1117">
        <v>700000000</v>
      </c>
      <c r="AU43" s="993">
        <f t="shared" si="31"/>
        <v>249668480</v>
      </c>
      <c r="AV43" s="1010">
        <f t="shared" si="9"/>
        <v>0.35666925714285713</v>
      </c>
      <c r="AW43" s="1116"/>
      <c r="AX43" s="1119"/>
      <c r="AY43" s="1012" t="s">
        <v>302</v>
      </c>
      <c r="AZ43" s="2290"/>
      <c r="BA43" s="93"/>
      <c r="BB43" s="93"/>
    </row>
    <row r="44" spans="1:54" ht="76.5" customHeight="1" thickBot="1">
      <c r="A44" s="1126" t="s">
        <v>535</v>
      </c>
      <c r="B44" s="1127" t="s">
        <v>725</v>
      </c>
      <c r="C44" s="1128">
        <v>0</v>
      </c>
      <c r="D44" s="822">
        <v>1</v>
      </c>
      <c r="E44" s="908">
        <v>1</v>
      </c>
      <c r="F44" s="870">
        <v>0</v>
      </c>
      <c r="G44" s="860">
        <v>1</v>
      </c>
      <c r="H44" s="147">
        <v>1</v>
      </c>
      <c r="I44" s="860"/>
      <c r="J44" s="860"/>
      <c r="K44" s="860"/>
      <c r="L44" s="1021" t="e">
        <f t="shared" si="32"/>
        <v>#DIV/0!</v>
      </c>
      <c r="M44" s="980">
        <f t="shared" si="29"/>
        <v>1</v>
      </c>
      <c r="N44" s="821">
        <f t="shared" si="26"/>
        <v>1</v>
      </c>
      <c r="O44" s="2165" t="s">
        <v>2272</v>
      </c>
      <c r="P44" s="1023"/>
      <c r="Q44" s="206"/>
      <c r="R44" s="241"/>
      <c r="S44" s="1023"/>
      <c r="T44" s="181"/>
      <c r="U44" s="181"/>
      <c r="V44" s="181"/>
      <c r="W44" s="1024"/>
      <c r="X44" s="181"/>
      <c r="Y44" s="1129">
        <v>3</v>
      </c>
      <c r="Z44" s="1130">
        <f t="shared" si="14"/>
        <v>2</v>
      </c>
      <c r="AA44" s="1131">
        <f t="shared" si="30"/>
        <v>0.66666666666666663</v>
      </c>
      <c r="AB44" s="1132">
        <v>0.1</v>
      </c>
      <c r="AC44" s="885">
        <v>0.11</v>
      </c>
      <c r="AD44" s="2025">
        <v>0.14000000000000001</v>
      </c>
      <c r="AE44" s="518">
        <v>60000000</v>
      </c>
      <c r="AF44" s="363" t="s">
        <v>887</v>
      </c>
      <c r="AG44" s="2053">
        <v>59068176.200000003</v>
      </c>
      <c r="AH44" s="2116">
        <v>59968774</v>
      </c>
      <c r="AI44" s="1997">
        <f t="shared" si="4"/>
        <v>0.99947956666666671</v>
      </c>
      <c r="AJ44" s="363" t="s">
        <v>887</v>
      </c>
      <c r="AK44" s="1028">
        <v>58311282</v>
      </c>
      <c r="AL44" s="1031">
        <v>59398402</v>
      </c>
      <c r="AM44" s="1134">
        <f t="shared" si="6"/>
        <v>0.98997336666666669</v>
      </c>
      <c r="AN44" s="997">
        <f t="shared" si="28"/>
        <v>570372</v>
      </c>
      <c r="AO44" s="1125" t="s">
        <v>887</v>
      </c>
      <c r="AP44" s="2002">
        <v>0</v>
      </c>
      <c r="AQ44" s="2002">
        <v>756894.2</v>
      </c>
      <c r="AR44" s="2002">
        <v>729251.2</v>
      </c>
      <c r="AS44" s="1136">
        <f t="shared" si="7"/>
        <v>0.96347838310823364</v>
      </c>
      <c r="AT44" s="1137">
        <v>120000000</v>
      </c>
      <c r="AU44" s="993">
        <f>SUM(AJ44:AL44)+AR44+AP44</f>
        <v>118438935.2</v>
      </c>
      <c r="AV44" s="1139">
        <f t="shared" si="9"/>
        <v>0.98699112666666666</v>
      </c>
      <c r="AW44" s="1135"/>
      <c r="AX44" s="1140"/>
      <c r="AY44" s="1141" t="s">
        <v>302</v>
      </c>
      <c r="AZ44" s="1123" t="s">
        <v>894</v>
      </c>
      <c r="BA44" s="1037"/>
      <c r="BB44" s="1037"/>
    </row>
    <row r="45" spans="1:54" ht="45" customHeight="1" thickBot="1">
      <c r="A45" s="961" t="s">
        <v>452</v>
      </c>
      <c r="B45" s="962"/>
      <c r="C45" s="861"/>
      <c r="D45" s="826"/>
      <c r="E45" s="223"/>
      <c r="F45" s="963"/>
      <c r="G45" s="861"/>
      <c r="H45" s="139"/>
      <c r="I45" s="861"/>
      <c r="J45" s="861"/>
      <c r="K45" s="861"/>
      <c r="L45" s="964">
        <f>+(L46*40%)+(L47*60%)</f>
        <v>1</v>
      </c>
      <c r="M45" s="964">
        <f>+SUMPRODUCT(M46:M48,AC46:AC48)</f>
        <v>1</v>
      </c>
      <c r="N45" s="964">
        <f>+SUMPRODUCT(N46:N48,AD46:AD48)</f>
        <v>1</v>
      </c>
      <c r="O45" s="965"/>
      <c r="P45" s="962"/>
      <c r="Q45" s="1098"/>
      <c r="R45" s="1098"/>
      <c r="S45" s="1098"/>
      <c r="T45" s="966"/>
      <c r="U45" s="966"/>
      <c r="V45" s="966"/>
      <c r="W45" s="1099"/>
      <c r="X45" s="1100"/>
      <c r="Y45" s="968"/>
      <c r="Z45" s="1142">
        <f t="shared" si="14"/>
        <v>0</v>
      </c>
      <c r="AA45" s="1055">
        <f>+SUMPRODUCT(AA46:AA48,AB46:AB48)</f>
        <v>0.87000000000000011</v>
      </c>
      <c r="AB45" s="1102">
        <v>0.5</v>
      </c>
      <c r="AC45" s="886">
        <v>0.5</v>
      </c>
      <c r="AD45" s="471">
        <v>0.5</v>
      </c>
      <c r="AE45" s="1143">
        <v>12644026021</v>
      </c>
      <c r="AF45" s="1143">
        <f>SUM(AF46:AF48)</f>
        <v>576557090</v>
      </c>
      <c r="AG45" s="2057">
        <f>SUM(AG46:AG48)</f>
        <v>16535533312</v>
      </c>
      <c r="AH45" s="2118">
        <f>SUM(AH46:AH48)</f>
        <v>12639190545</v>
      </c>
      <c r="AI45" s="1987">
        <f t="shared" si="4"/>
        <v>0.99961756832895088</v>
      </c>
      <c r="AJ45" s="1143">
        <f>SUM(AJ46:AJ48)</f>
        <v>51300000</v>
      </c>
      <c r="AK45" s="1143">
        <f t="shared" ref="AK45:AR45" si="33">SUM(AK46:AK48)</f>
        <v>6910273651</v>
      </c>
      <c r="AL45" s="1143">
        <f t="shared" si="33"/>
        <v>6060374350</v>
      </c>
      <c r="AM45" s="1145">
        <f t="shared" si="6"/>
        <v>0.47930732979626473</v>
      </c>
      <c r="AN45" s="1146">
        <f t="shared" si="33"/>
        <v>6578816195</v>
      </c>
      <c r="AO45" s="1101">
        <f t="shared" si="33"/>
        <v>525257090</v>
      </c>
      <c r="AP45" s="1143">
        <f t="shared" si="33"/>
        <v>40350000</v>
      </c>
      <c r="AQ45" s="1143">
        <f t="shared" si="33"/>
        <v>9625259661</v>
      </c>
      <c r="AR45" s="1143">
        <f t="shared" si="33"/>
        <v>273052976</v>
      </c>
      <c r="AS45" s="1147">
        <f t="shared" si="7"/>
        <v>2.8368375048245881E-2</v>
      </c>
      <c r="AT45" s="1148">
        <f t="shared" ref="AT45" si="34">SUM(AT46:AT48)</f>
        <v>21680000000</v>
      </c>
      <c r="AU45" s="1143">
        <f>SUM(AU46:AU48)</f>
        <v>13335350977</v>
      </c>
      <c r="AV45" s="1149">
        <f t="shared" si="9"/>
        <v>0.61509921480627305</v>
      </c>
      <c r="AW45" s="1146"/>
      <c r="AX45" s="975"/>
      <c r="AY45" s="283"/>
      <c r="AZ45" s="974"/>
      <c r="BA45" s="286"/>
      <c r="BB45" s="286"/>
    </row>
    <row r="46" spans="1:54" ht="105" customHeight="1">
      <c r="A46" s="318" t="s">
        <v>536</v>
      </c>
      <c r="B46" s="977" t="s">
        <v>728</v>
      </c>
      <c r="C46" s="1150">
        <v>1</v>
      </c>
      <c r="D46" s="823">
        <v>1</v>
      </c>
      <c r="E46" s="214">
        <v>1</v>
      </c>
      <c r="F46" s="978">
        <v>1</v>
      </c>
      <c r="G46" s="858">
        <v>1</v>
      </c>
      <c r="H46" s="678">
        <v>1</v>
      </c>
      <c r="I46" s="858"/>
      <c r="J46" s="858"/>
      <c r="K46" s="858"/>
      <c r="L46" s="821">
        <f t="shared" si="32"/>
        <v>1</v>
      </c>
      <c r="M46" s="980">
        <f t="shared" si="29"/>
        <v>1</v>
      </c>
      <c r="N46" s="821">
        <f t="shared" si="26"/>
        <v>1</v>
      </c>
      <c r="O46" s="2165" t="s">
        <v>2273</v>
      </c>
      <c r="P46" s="1084"/>
      <c r="Q46" s="1085"/>
      <c r="R46" s="1086"/>
      <c r="S46" s="1084"/>
      <c r="T46" s="1087"/>
      <c r="U46" s="1087"/>
      <c r="V46" s="1087"/>
      <c r="W46" s="1088"/>
      <c r="X46" s="1151"/>
      <c r="Y46" s="1152">
        <v>4</v>
      </c>
      <c r="Z46" s="1059">
        <f t="shared" si="14"/>
        <v>3</v>
      </c>
      <c r="AA46" s="1104">
        <f>IF(Z46/Y46&gt;=100%,100%,Z46/Y46)</f>
        <v>0.75</v>
      </c>
      <c r="AB46" s="1153">
        <v>0.2</v>
      </c>
      <c r="AC46" s="884">
        <v>0.2</v>
      </c>
      <c r="AD46" s="472">
        <v>0.2</v>
      </c>
      <c r="AE46" s="1019">
        <v>255000000</v>
      </c>
      <c r="AF46" s="360">
        <v>91650000</v>
      </c>
      <c r="AG46" s="2058">
        <v>120000000</v>
      </c>
      <c r="AH46" s="2119">
        <v>251567304</v>
      </c>
      <c r="AI46" s="2112">
        <f t="shared" si="4"/>
        <v>0.98653844705882354</v>
      </c>
      <c r="AJ46" s="360">
        <v>51300000</v>
      </c>
      <c r="AK46" s="1019">
        <v>120000000</v>
      </c>
      <c r="AL46" s="1956">
        <v>209824030</v>
      </c>
      <c r="AM46" s="1107">
        <f t="shared" si="6"/>
        <v>0.82283933333333337</v>
      </c>
      <c r="AN46" s="997">
        <f t="shared" si="28"/>
        <v>41743274</v>
      </c>
      <c r="AO46" s="1045">
        <v>40350000</v>
      </c>
      <c r="AP46" s="360">
        <v>40350000</v>
      </c>
      <c r="AQ46" s="1031"/>
      <c r="AR46" s="1031"/>
      <c r="AS46" s="1089" t="e">
        <f t="shared" si="7"/>
        <v>#DIV/0!</v>
      </c>
      <c r="AT46" s="1154">
        <v>480000000</v>
      </c>
      <c r="AU46" s="993">
        <f t="shared" ref="AU46:AU48" si="35">SUM(AJ46:AL46)+AR46+AP46</f>
        <v>421474030</v>
      </c>
      <c r="AV46" s="1090">
        <f t="shared" si="9"/>
        <v>0.87807089583333331</v>
      </c>
      <c r="AW46" s="1108"/>
      <c r="AX46" s="1111"/>
      <c r="AY46" s="190" t="s">
        <v>5</v>
      </c>
      <c r="AZ46" s="1156" t="s">
        <v>894</v>
      </c>
      <c r="BA46" s="1047"/>
      <c r="BB46" s="1047"/>
    </row>
    <row r="47" spans="1:54" ht="143.25" customHeight="1">
      <c r="A47" s="320" t="s">
        <v>537</v>
      </c>
      <c r="B47" s="414" t="s">
        <v>729</v>
      </c>
      <c r="C47" s="1157">
        <v>1</v>
      </c>
      <c r="D47" s="214">
        <v>2</v>
      </c>
      <c r="E47" s="214">
        <v>1</v>
      </c>
      <c r="F47" s="213">
        <v>0</v>
      </c>
      <c r="G47" s="147">
        <v>2</v>
      </c>
      <c r="H47" s="678">
        <v>1</v>
      </c>
      <c r="I47" s="147">
        <v>1</v>
      </c>
      <c r="J47" s="147">
        <v>1</v>
      </c>
      <c r="K47" s="147"/>
      <c r="L47" s="180">
        <f t="shared" si="32"/>
        <v>1</v>
      </c>
      <c r="M47" s="980">
        <f t="shared" si="29"/>
        <v>1</v>
      </c>
      <c r="N47" s="821">
        <f t="shared" si="26"/>
        <v>1</v>
      </c>
      <c r="O47" s="2165" t="s">
        <v>2274</v>
      </c>
      <c r="P47" s="1013"/>
      <c r="Q47" s="1014"/>
      <c r="R47" s="1015"/>
      <c r="S47" s="1013"/>
      <c r="T47" s="1016"/>
      <c r="U47" s="1016"/>
      <c r="V47" s="1016"/>
      <c r="W47" s="1017"/>
      <c r="X47" s="1018"/>
      <c r="Y47" s="1121">
        <v>5</v>
      </c>
      <c r="Z47" s="1008">
        <f t="shared" si="14"/>
        <v>5</v>
      </c>
      <c r="AA47" s="1104">
        <f t="shared" ref="AA47:AA48" si="36">IF(Z47/Y47&gt;=100%,100%,Z47/Y47)</f>
        <v>1</v>
      </c>
      <c r="AB47" s="1158">
        <v>0.4</v>
      </c>
      <c r="AC47" s="881">
        <v>0.4</v>
      </c>
      <c r="AD47" s="472">
        <v>0.4</v>
      </c>
      <c r="AE47" s="1159">
        <v>0</v>
      </c>
      <c r="AF47" s="510">
        <v>484907090</v>
      </c>
      <c r="AG47" s="2058">
        <f>16415533312/2</f>
        <v>8207766656</v>
      </c>
      <c r="AH47" s="2119">
        <v>0</v>
      </c>
      <c r="AI47" s="1993" t="e">
        <f t="shared" si="4"/>
        <v>#DIV/0!</v>
      </c>
      <c r="AJ47" s="510">
        <v>0</v>
      </c>
      <c r="AK47" s="1019">
        <f>6790273651/2</f>
        <v>3395136825.5</v>
      </c>
      <c r="AL47" s="1956"/>
      <c r="AM47" s="1010" t="e">
        <f t="shared" si="6"/>
        <v>#DIV/0!</v>
      </c>
      <c r="AN47" s="997">
        <f t="shared" si="28"/>
        <v>0</v>
      </c>
      <c r="AO47" s="1160">
        <f>484907090/2</f>
        <v>242453545</v>
      </c>
      <c r="AP47" s="510">
        <v>0</v>
      </c>
      <c r="AQ47" s="2003"/>
      <c r="AR47" s="2003">
        <v>0</v>
      </c>
      <c r="AS47" s="1089" t="e">
        <f t="shared" si="7"/>
        <v>#DIV/0!</v>
      </c>
      <c r="AT47" s="1208">
        <v>21200000000</v>
      </c>
      <c r="AU47" s="993">
        <f t="shared" si="35"/>
        <v>3395136825.5</v>
      </c>
      <c r="AV47" s="1010">
        <f t="shared" si="9"/>
        <v>0.16014796346698112</v>
      </c>
      <c r="AW47" s="1116"/>
      <c r="AX47" s="1119"/>
      <c r="AY47" s="152" t="s">
        <v>302</v>
      </c>
      <c r="AZ47" s="2305" t="s">
        <v>895</v>
      </c>
      <c r="BA47" s="93"/>
      <c r="BB47" s="93"/>
    </row>
    <row r="48" spans="1:54" ht="122.25" customHeight="1" thickBot="1">
      <c r="A48" s="1162" t="s">
        <v>538</v>
      </c>
      <c r="B48" s="1048" t="s">
        <v>1470</v>
      </c>
      <c r="C48" s="1163">
        <v>0</v>
      </c>
      <c r="D48" s="824">
        <v>2</v>
      </c>
      <c r="E48" s="214">
        <v>2</v>
      </c>
      <c r="F48" s="870">
        <v>0</v>
      </c>
      <c r="G48" s="860">
        <v>2</v>
      </c>
      <c r="H48" s="678">
        <v>2</v>
      </c>
      <c r="I48" s="860"/>
      <c r="J48" s="860"/>
      <c r="K48" s="860"/>
      <c r="L48" s="1021" t="e">
        <f t="shared" si="32"/>
        <v>#DIV/0!</v>
      </c>
      <c r="M48" s="980">
        <f t="shared" si="29"/>
        <v>1</v>
      </c>
      <c r="N48" s="821">
        <f t="shared" si="26"/>
        <v>1</v>
      </c>
      <c r="O48" s="2165" t="s">
        <v>2275</v>
      </c>
      <c r="P48" s="1023"/>
      <c r="Q48" s="2039" t="s">
        <v>336</v>
      </c>
      <c r="R48" s="207"/>
      <c r="S48" s="204" t="s">
        <v>2169</v>
      </c>
      <c r="T48" s="2038" t="s">
        <v>2179</v>
      </c>
      <c r="U48" s="181"/>
      <c r="V48" s="181"/>
      <c r="W48" s="1024"/>
      <c r="X48" s="181"/>
      <c r="Y48" s="236">
        <v>5</v>
      </c>
      <c r="Z48" s="1026">
        <f t="shared" si="14"/>
        <v>4</v>
      </c>
      <c r="AA48" s="1027">
        <f t="shared" si="36"/>
        <v>0.8</v>
      </c>
      <c r="AB48" s="1164">
        <v>0.4</v>
      </c>
      <c r="AC48" s="477">
        <v>0.4</v>
      </c>
      <c r="AD48" s="472">
        <v>0.4</v>
      </c>
      <c r="AE48" s="1165">
        <v>12389026021</v>
      </c>
      <c r="AF48" s="1166">
        <v>0</v>
      </c>
      <c r="AG48" s="2059">
        <f>16415533312/2</f>
        <v>8207766656</v>
      </c>
      <c r="AH48" s="2120">
        <v>12387623241</v>
      </c>
      <c r="AI48" s="1995">
        <f t="shared" si="4"/>
        <v>0.99988677237438828</v>
      </c>
      <c r="AJ48" s="1166">
        <v>0</v>
      </c>
      <c r="AK48" s="1167">
        <f>6790273651/2</f>
        <v>3395136825.5</v>
      </c>
      <c r="AL48" s="1167">
        <v>5850550320</v>
      </c>
      <c r="AM48" s="1021">
        <f t="shared" si="6"/>
        <v>0.47223650269868134</v>
      </c>
      <c r="AN48" s="997">
        <f t="shared" si="28"/>
        <v>6537072921</v>
      </c>
      <c r="AO48" s="1168">
        <f>484907090/2</f>
        <v>242453545</v>
      </c>
      <c r="AP48" s="1166">
        <v>0</v>
      </c>
      <c r="AQ48" s="520">
        <v>9625259661</v>
      </c>
      <c r="AR48" s="520">
        <v>273052976</v>
      </c>
      <c r="AS48" s="1053">
        <f t="shared" si="7"/>
        <v>2.8368375048245881E-2</v>
      </c>
      <c r="AT48" s="1034">
        <v>0</v>
      </c>
      <c r="AU48" s="993">
        <f t="shared" si="35"/>
        <v>9518740121.5</v>
      </c>
      <c r="AV48" s="1026" t="e">
        <f t="shared" si="9"/>
        <v>#DIV/0!</v>
      </c>
      <c r="AW48" s="175"/>
      <c r="AX48" s="173"/>
      <c r="AY48" s="190" t="s">
        <v>22</v>
      </c>
      <c r="AZ48" s="2289"/>
      <c r="BA48" s="1037"/>
      <c r="BB48" s="1037"/>
    </row>
    <row r="49" spans="1:54" s="617" customFormat="1" ht="51.75" customHeight="1" thickBot="1">
      <c r="A49" s="1065" t="s">
        <v>422</v>
      </c>
      <c r="B49" s="1066"/>
      <c r="C49" s="862"/>
      <c r="D49" s="835"/>
      <c r="E49" s="224"/>
      <c r="F49" s="1067"/>
      <c r="G49" s="862"/>
      <c r="H49" s="200"/>
      <c r="I49" s="862"/>
      <c r="J49" s="862"/>
      <c r="K49" s="862"/>
      <c r="L49" s="1068">
        <f>+(L50*AB50)</f>
        <v>1</v>
      </c>
      <c r="M49" s="1068">
        <f>+(M50*AC50)</f>
        <v>1</v>
      </c>
      <c r="N49" s="1068">
        <f>+(N50*AD50)</f>
        <v>0.73000000000000009</v>
      </c>
      <c r="O49" s="948"/>
      <c r="P49" s="1066"/>
      <c r="Q49" s="1070"/>
      <c r="R49" s="1070"/>
      <c r="S49" s="1070"/>
      <c r="T49" s="1071"/>
      <c r="U49" s="1071"/>
      <c r="V49" s="1071"/>
      <c r="W49" s="1072"/>
      <c r="X49" s="1073"/>
      <c r="Y49" s="1074"/>
      <c r="Z49" s="1075">
        <f t="shared" si="14"/>
        <v>0</v>
      </c>
      <c r="AA49" s="1170">
        <f>+(AA50*AB50)</f>
        <v>0.5083769633507853</v>
      </c>
      <c r="AB49" s="1077">
        <v>0.1</v>
      </c>
      <c r="AC49" s="883">
        <v>0.1</v>
      </c>
      <c r="AD49" s="470">
        <v>0.1</v>
      </c>
      <c r="AE49" s="1078">
        <v>37264268053</v>
      </c>
      <c r="AF49" s="1171">
        <f>+AF50</f>
        <v>38574898240.900002</v>
      </c>
      <c r="AG49" s="1066">
        <f>+AG50</f>
        <v>32549790015.5</v>
      </c>
      <c r="AH49" s="2114">
        <f>+AH50</f>
        <v>37239673326</v>
      </c>
      <c r="AI49" s="1986">
        <f t="shared" si="4"/>
        <v>0.99933999167875731</v>
      </c>
      <c r="AJ49" s="1171">
        <f>+AJ50</f>
        <v>31071162272</v>
      </c>
      <c r="AK49" s="1078">
        <f>+AK50</f>
        <v>32549790015.5</v>
      </c>
      <c r="AL49" s="1078">
        <f>+AL50</f>
        <v>37205622885</v>
      </c>
      <c r="AM49" s="1068">
        <f t="shared" si="6"/>
        <v>0.99842623588053336</v>
      </c>
      <c r="AN49" s="1066">
        <f>+AN50</f>
        <v>34050441</v>
      </c>
      <c r="AO49" s="1069">
        <f>+AO50</f>
        <v>7503735968.8999996</v>
      </c>
      <c r="AP49" s="1078">
        <f>+AP50</f>
        <v>6580131258.8800001</v>
      </c>
      <c r="AQ49" s="1078">
        <f>+AQ50</f>
        <v>0</v>
      </c>
      <c r="AR49" s="1078">
        <f>+AR50</f>
        <v>0</v>
      </c>
      <c r="AS49" s="1080" t="e">
        <f t="shared" si="7"/>
        <v>#DIV/0!</v>
      </c>
      <c r="AT49" s="1081">
        <f t="shared" ref="AT49:AU49" si="37">+AT50</f>
        <v>147218908891.20001</v>
      </c>
      <c r="AU49" s="1078">
        <f t="shared" si="37"/>
        <v>107406706431.38</v>
      </c>
      <c r="AV49" s="1077">
        <f t="shared" si="9"/>
        <v>0.72957140655591579</v>
      </c>
      <c r="AW49" s="1066"/>
      <c r="AX49" s="1071" t="s">
        <v>297</v>
      </c>
      <c r="AY49" s="1069"/>
      <c r="AZ49" s="1066"/>
      <c r="BA49" s="1082"/>
      <c r="BB49" s="1082"/>
    </row>
    <row r="50" spans="1:54" ht="53.25" customHeight="1" thickBot="1">
      <c r="A50" s="961" t="s">
        <v>453</v>
      </c>
      <c r="B50" s="962"/>
      <c r="C50" s="861"/>
      <c r="D50" s="826"/>
      <c r="E50" s="223"/>
      <c r="F50" s="963"/>
      <c r="G50" s="861"/>
      <c r="H50" s="139"/>
      <c r="I50" s="861"/>
      <c r="J50" s="861"/>
      <c r="K50" s="861"/>
      <c r="L50" s="964">
        <f>+(L52*35%)+(L53*35%)+(L54*15%)+(L55*15%)</f>
        <v>1</v>
      </c>
      <c r="M50" s="964">
        <f>+SUMPRODUCT(M51:M55,AC51:AC55)</f>
        <v>1</v>
      </c>
      <c r="N50" s="964">
        <f>+SUMPRODUCT(N51:N55,AD51:AD55)</f>
        <v>0.73000000000000009</v>
      </c>
      <c r="O50" s="965"/>
      <c r="P50" s="962"/>
      <c r="Q50" s="1098"/>
      <c r="R50" s="1098"/>
      <c r="S50" s="1098"/>
      <c r="T50" s="966"/>
      <c r="U50" s="966"/>
      <c r="V50" s="966"/>
      <c r="W50" s="1099"/>
      <c r="X50" s="1100"/>
      <c r="Y50" s="968"/>
      <c r="Z50" s="1142">
        <f t="shared" si="14"/>
        <v>0</v>
      </c>
      <c r="AA50" s="1055">
        <f>+SUMPRODUCT(AA51:AA55,AB51:AB55)</f>
        <v>0.5083769633507853</v>
      </c>
      <c r="AB50" s="1102">
        <v>1</v>
      </c>
      <c r="AC50" s="886">
        <v>1</v>
      </c>
      <c r="AD50" s="471">
        <v>1</v>
      </c>
      <c r="AE50" s="1143">
        <v>37264268053</v>
      </c>
      <c r="AF50" s="1172">
        <f>SUM(AF51:AF55)</f>
        <v>38574898240.900002</v>
      </c>
      <c r="AG50" s="2057">
        <f>SUM(AG51:AG55)</f>
        <v>32549790015.5</v>
      </c>
      <c r="AH50" s="2118">
        <f>SUM(AH51:AH55)</f>
        <v>37239673326</v>
      </c>
      <c r="AI50" s="1987">
        <f t="shared" si="4"/>
        <v>0.99933999167875731</v>
      </c>
      <c r="AJ50" s="1172">
        <f>SUM(AJ51:AJ55)</f>
        <v>31071162272</v>
      </c>
      <c r="AK50" s="1143">
        <f>SUM(AK51:AK55)</f>
        <v>32549790015.5</v>
      </c>
      <c r="AL50" s="1143">
        <f>SUM(AL51:AL55)</f>
        <v>37205622885</v>
      </c>
      <c r="AM50" s="1149">
        <f t="shared" si="6"/>
        <v>0.99842623588053336</v>
      </c>
      <c r="AN50" s="1146">
        <f>SUM(AN51:AN55)</f>
        <v>34050441</v>
      </c>
      <c r="AO50" s="1101">
        <f>SUM(AO51:AO55)</f>
        <v>7503735968.8999996</v>
      </c>
      <c r="AP50" s="1143">
        <f>SUM(AP51:AP55)</f>
        <v>6580131258.8800001</v>
      </c>
      <c r="AQ50" s="1143">
        <f>SUM(AQ51:AQ55)</f>
        <v>0</v>
      </c>
      <c r="AR50" s="1143">
        <f>SUM(AR51:AR55)</f>
        <v>0</v>
      </c>
      <c r="AS50" s="1173" t="e">
        <f t="shared" si="7"/>
        <v>#DIV/0!</v>
      </c>
      <c r="AT50" s="1148">
        <f t="shared" ref="AT50:AU50" si="38">SUM(AT51:AT55)</f>
        <v>147218908891.20001</v>
      </c>
      <c r="AU50" s="1143">
        <f t="shared" si="38"/>
        <v>107406706431.38</v>
      </c>
      <c r="AV50" s="1102">
        <f t="shared" si="9"/>
        <v>0.72957140655591579</v>
      </c>
      <c r="AW50" s="1146"/>
      <c r="AX50" s="975"/>
      <c r="AY50" s="283"/>
      <c r="AZ50" s="974"/>
      <c r="BA50" s="286"/>
      <c r="BB50" s="286"/>
    </row>
    <row r="51" spans="1:54" ht="95.25" customHeight="1">
      <c r="A51" s="317" t="s">
        <v>539</v>
      </c>
      <c r="B51" s="977" t="s">
        <v>731</v>
      </c>
      <c r="C51" s="1174">
        <v>0</v>
      </c>
      <c r="D51" s="386">
        <v>0</v>
      </c>
      <c r="E51" s="385">
        <v>1</v>
      </c>
      <c r="F51" s="978">
        <v>0</v>
      </c>
      <c r="G51" s="858" t="s">
        <v>2163</v>
      </c>
      <c r="H51" s="147">
        <v>0</v>
      </c>
      <c r="I51" s="858"/>
      <c r="J51" s="858"/>
      <c r="K51" s="858"/>
      <c r="L51" s="821" t="e">
        <f>IF((F51+I51)/C51&gt;=100%,100%,(F51+I51)/C51)</f>
        <v>#DIV/0!</v>
      </c>
      <c r="M51" s="980" t="s">
        <v>2163</v>
      </c>
      <c r="N51" s="821">
        <f t="shared" ref="N51:N55" si="39">IF((H51/E51)&gt;=100%,100%,(H51/E51))</f>
        <v>0</v>
      </c>
      <c r="O51" s="2165" t="s">
        <v>2276</v>
      </c>
      <c r="P51" s="982"/>
      <c r="Q51" s="983" t="s">
        <v>336</v>
      </c>
      <c r="R51" s="984"/>
      <c r="S51" s="982" t="s">
        <v>2169</v>
      </c>
      <c r="T51" s="204">
        <v>358</v>
      </c>
      <c r="U51" s="204"/>
      <c r="V51" s="204"/>
      <c r="W51" s="985"/>
      <c r="X51" s="204"/>
      <c r="Y51" s="1152">
        <v>1</v>
      </c>
      <c r="Z51" s="1059">
        <f t="shared" si="14"/>
        <v>0</v>
      </c>
      <c r="AA51" s="1104">
        <f t="shared" ref="AA51:AA55" si="40">IF(Z51/Y51&gt;=100%,100%,Z51/Y51)</f>
        <v>0</v>
      </c>
      <c r="AB51" s="478">
        <v>0.2</v>
      </c>
      <c r="AC51" s="884">
        <v>0</v>
      </c>
      <c r="AD51" s="2025">
        <v>0.27</v>
      </c>
      <c r="AE51" s="515">
        <v>500000000</v>
      </c>
      <c r="AF51" s="360">
        <v>0</v>
      </c>
      <c r="AG51" s="989">
        <v>0</v>
      </c>
      <c r="AH51" s="2116">
        <v>475405273</v>
      </c>
      <c r="AI51" s="2112">
        <f t="shared" si="4"/>
        <v>0.95081054600000003</v>
      </c>
      <c r="AJ51" s="360">
        <v>0</v>
      </c>
      <c r="AK51" s="360">
        <v>0</v>
      </c>
      <c r="AL51" s="1031">
        <v>441354832</v>
      </c>
      <c r="AM51" s="1059">
        <f t="shared" si="6"/>
        <v>0.88270966399999995</v>
      </c>
      <c r="AN51" s="997">
        <f t="shared" ref="AN51:AN55" si="41">+AH51-AL51</f>
        <v>34050441</v>
      </c>
      <c r="AO51" s="1045">
        <v>0</v>
      </c>
      <c r="AP51" s="360">
        <v>0</v>
      </c>
      <c r="AQ51" s="1031"/>
      <c r="AR51" s="1031"/>
      <c r="AS51" s="1089" t="e">
        <f t="shared" si="7"/>
        <v>#DIV/0!</v>
      </c>
      <c r="AT51" s="1109">
        <v>600000000</v>
      </c>
      <c r="AU51" s="993">
        <f t="shared" ref="AU51:AU55" si="42">SUM(AJ51:AL51)+AR51+AP51</f>
        <v>441354832</v>
      </c>
      <c r="AV51" s="1090">
        <f t="shared" si="9"/>
        <v>0.73559138666666668</v>
      </c>
      <c r="AW51" s="1108"/>
      <c r="AX51" s="191"/>
      <c r="AY51" s="190" t="s">
        <v>22</v>
      </c>
      <c r="AZ51" s="1176" t="s">
        <v>896</v>
      </c>
      <c r="BA51" s="1047"/>
      <c r="BB51" s="1047"/>
    </row>
    <row r="52" spans="1:54" ht="45" customHeight="1">
      <c r="A52" s="317" t="s">
        <v>540</v>
      </c>
      <c r="B52" s="414" t="s">
        <v>732</v>
      </c>
      <c r="C52" s="1177">
        <v>1</v>
      </c>
      <c r="D52" s="386">
        <v>0</v>
      </c>
      <c r="E52" s="386">
        <v>0</v>
      </c>
      <c r="F52" s="213">
        <v>0</v>
      </c>
      <c r="G52" s="858" t="s">
        <v>2163</v>
      </c>
      <c r="H52" s="147"/>
      <c r="I52" s="147">
        <v>1</v>
      </c>
      <c r="J52" s="147"/>
      <c r="K52" s="147"/>
      <c r="L52" s="180">
        <f>IF((F52+I52)/C52&gt;=100%,100%,(F52+I52)/C52)</f>
        <v>1</v>
      </c>
      <c r="M52" s="980" t="s">
        <v>2163</v>
      </c>
      <c r="N52" s="821" t="s">
        <v>2163</v>
      </c>
      <c r="O52" s="2165"/>
      <c r="P52" s="146"/>
      <c r="Q52" s="101"/>
      <c r="R52" s="104"/>
      <c r="S52" s="146"/>
      <c r="T52" s="149"/>
      <c r="U52" s="149"/>
      <c r="V52" s="149"/>
      <c r="W52" s="150"/>
      <c r="X52" s="149"/>
      <c r="Y52" s="1121">
        <v>2</v>
      </c>
      <c r="Z52" s="1008">
        <f t="shared" si="14"/>
        <v>1</v>
      </c>
      <c r="AA52" s="1104">
        <f t="shared" si="40"/>
        <v>0.5</v>
      </c>
      <c r="AB52" s="1178">
        <v>0.3</v>
      </c>
      <c r="AC52" s="881">
        <v>0</v>
      </c>
      <c r="AD52" s="472">
        <v>0</v>
      </c>
      <c r="AE52" s="515">
        <v>0</v>
      </c>
      <c r="AF52" s="359">
        <v>2000000000</v>
      </c>
      <c r="AG52" s="997">
        <v>0</v>
      </c>
      <c r="AH52" s="2116">
        <v>0</v>
      </c>
      <c r="AI52" s="1993" t="e">
        <f t="shared" si="4"/>
        <v>#DIV/0!</v>
      </c>
      <c r="AJ52" s="359">
        <v>1500000</v>
      </c>
      <c r="AK52" s="359">
        <v>0</v>
      </c>
      <c r="AL52" s="1031"/>
      <c r="AM52" s="1008" t="e">
        <f t="shared" si="6"/>
        <v>#DIV/0!</v>
      </c>
      <c r="AN52" s="997">
        <f t="shared" si="41"/>
        <v>0</v>
      </c>
      <c r="AO52" s="1063">
        <v>1998500000</v>
      </c>
      <c r="AP52" s="359">
        <v>1101694661.6700001</v>
      </c>
      <c r="AQ52" s="1031"/>
      <c r="AR52" s="1031"/>
      <c r="AS52" s="1089" t="e">
        <f t="shared" si="7"/>
        <v>#DIV/0!</v>
      </c>
      <c r="AT52" s="1117">
        <v>7200000000</v>
      </c>
      <c r="AU52" s="993">
        <f t="shared" si="42"/>
        <v>1103194661.6700001</v>
      </c>
      <c r="AV52" s="1010">
        <f t="shared" si="9"/>
        <v>0.1532214807875</v>
      </c>
      <c r="AW52" s="1116"/>
      <c r="AX52" s="157"/>
      <c r="AY52" s="152" t="s">
        <v>22</v>
      </c>
      <c r="AZ52" s="1179" t="s">
        <v>897</v>
      </c>
      <c r="BA52" s="93"/>
      <c r="BB52" s="93"/>
    </row>
    <row r="53" spans="1:54" ht="82.5" customHeight="1">
      <c r="A53" s="317" t="s">
        <v>541</v>
      </c>
      <c r="B53" s="414" t="s">
        <v>733</v>
      </c>
      <c r="C53" s="1180">
        <v>300</v>
      </c>
      <c r="D53" s="385">
        <v>300</v>
      </c>
      <c r="E53" s="385">
        <v>196</v>
      </c>
      <c r="F53" s="1181">
        <v>300</v>
      </c>
      <c r="G53" s="147">
        <v>273</v>
      </c>
      <c r="H53" s="147">
        <v>196</v>
      </c>
      <c r="I53" s="147"/>
      <c r="J53" s="147">
        <v>27</v>
      </c>
      <c r="K53" s="147"/>
      <c r="L53" s="180">
        <f>IF((F53+I53)/C53&gt;=100%,100%,(F53+I53)/C53)</f>
        <v>1</v>
      </c>
      <c r="M53" s="980">
        <f>IF((G53+J53)/D53&gt;=100%,100%,(G53+J53)/D53)</f>
        <v>1</v>
      </c>
      <c r="N53" s="821">
        <f t="shared" si="39"/>
        <v>1</v>
      </c>
      <c r="O53" s="2165" t="s">
        <v>2277</v>
      </c>
      <c r="P53" s="146"/>
      <c r="Q53" s="2039" t="s">
        <v>336</v>
      </c>
      <c r="R53" s="207"/>
      <c r="S53" s="204" t="s">
        <v>2169</v>
      </c>
      <c r="T53" s="2038" t="s">
        <v>2180</v>
      </c>
      <c r="U53" s="149"/>
      <c r="V53" s="149"/>
      <c r="W53" s="150"/>
      <c r="X53" s="149"/>
      <c r="Y53" s="1121">
        <v>1146</v>
      </c>
      <c r="Z53" s="1008">
        <f t="shared" si="14"/>
        <v>796</v>
      </c>
      <c r="AA53" s="1104">
        <f t="shared" si="40"/>
        <v>0.69458987783595116</v>
      </c>
      <c r="AB53" s="478">
        <v>0.3</v>
      </c>
      <c r="AC53" s="881">
        <v>0.47</v>
      </c>
      <c r="AD53" s="2025">
        <v>0.38</v>
      </c>
      <c r="AE53" s="515">
        <v>5601321786</v>
      </c>
      <c r="AF53" s="359">
        <v>5376651240</v>
      </c>
      <c r="AG53" s="997">
        <v>5222458000</v>
      </c>
      <c r="AH53" s="2116">
        <v>5601321786</v>
      </c>
      <c r="AI53" s="1993">
        <f t="shared" si="4"/>
        <v>1</v>
      </c>
      <c r="AJ53" s="359">
        <v>5376651240</v>
      </c>
      <c r="AK53" s="359">
        <v>5222458000</v>
      </c>
      <c r="AL53" s="1031">
        <v>5601321786</v>
      </c>
      <c r="AM53" s="1115">
        <f t="shared" si="6"/>
        <v>1</v>
      </c>
      <c r="AN53" s="997">
        <f t="shared" si="41"/>
        <v>0</v>
      </c>
      <c r="AO53" s="1063">
        <v>0</v>
      </c>
      <c r="AP53" s="359">
        <v>0</v>
      </c>
      <c r="AQ53" s="1031"/>
      <c r="AR53" s="1031"/>
      <c r="AS53" s="1089" t="e">
        <f t="shared" si="7"/>
        <v>#DIV/0!</v>
      </c>
      <c r="AT53" s="1117">
        <v>20419852480</v>
      </c>
      <c r="AU53" s="993">
        <f t="shared" si="42"/>
        <v>16200431026</v>
      </c>
      <c r="AV53" s="1115">
        <f t="shared" si="9"/>
        <v>0.79336670242193641</v>
      </c>
      <c r="AW53" s="1116"/>
      <c r="AX53" s="157"/>
      <c r="AY53" s="152" t="s">
        <v>22</v>
      </c>
      <c r="AZ53" s="1179" t="s">
        <v>897</v>
      </c>
      <c r="BA53" s="93"/>
      <c r="BB53" s="93"/>
    </row>
    <row r="54" spans="1:54" ht="71.25" customHeight="1">
      <c r="A54" s="317" t="s">
        <v>542</v>
      </c>
      <c r="B54" s="414" t="s">
        <v>734</v>
      </c>
      <c r="C54" s="1177">
        <v>1</v>
      </c>
      <c r="D54" s="385">
        <v>1</v>
      </c>
      <c r="E54" s="385">
        <v>1</v>
      </c>
      <c r="F54" s="213">
        <v>1</v>
      </c>
      <c r="G54" s="147">
        <v>1</v>
      </c>
      <c r="H54" s="147">
        <v>1</v>
      </c>
      <c r="I54" s="147"/>
      <c r="J54" s="147"/>
      <c r="K54" s="147"/>
      <c r="L54" s="180">
        <f>IF((F54+I54)/C54&gt;=100%,100%,(F54+I54)/C54)</f>
        <v>1</v>
      </c>
      <c r="M54" s="980">
        <f>IF((G54+J54)/D54&gt;=100%,100%,(G54+J54)/D54)</f>
        <v>1</v>
      </c>
      <c r="N54" s="821">
        <f t="shared" si="39"/>
        <v>1</v>
      </c>
      <c r="O54" s="2165" t="s">
        <v>2278</v>
      </c>
      <c r="P54" s="146"/>
      <c r="Q54" s="2039" t="s">
        <v>336</v>
      </c>
      <c r="R54" s="207"/>
      <c r="S54" s="204" t="s">
        <v>2169</v>
      </c>
      <c r="T54" s="2038" t="s">
        <v>2180</v>
      </c>
      <c r="U54" s="149"/>
      <c r="V54" s="149"/>
      <c r="W54" s="150"/>
      <c r="X54" s="158"/>
      <c r="Y54" s="1121">
        <v>4</v>
      </c>
      <c r="Z54" s="1008">
        <f t="shared" si="14"/>
        <v>3</v>
      </c>
      <c r="AA54" s="1104">
        <f t="shared" si="40"/>
        <v>0.75</v>
      </c>
      <c r="AB54" s="1178">
        <v>0.1</v>
      </c>
      <c r="AC54" s="881">
        <v>0.27</v>
      </c>
      <c r="AD54" s="2025">
        <v>0.18</v>
      </c>
      <c r="AE54" s="519">
        <v>0</v>
      </c>
      <c r="AF54" s="359">
        <v>0</v>
      </c>
      <c r="AG54" s="997">
        <v>0</v>
      </c>
      <c r="AH54" s="2116"/>
      <c r="AI54" s="1993" t="e">
        <f t="shared" si="4"/>
        <v>#DIV/0!</v>
      </c>
      <c r="AJ54" s="359">
        <v>0</v>
      </c>
      <c r="AK54" s="359">
        <v>0</v>
      </c>
      <c r="AL54" s="1031"/>
      <c r="AM54" s="1115" t="e">
        <f t="shared" si="6"/>
        <v>#DIV/0!</v>
      </c>
      <c r="AN54" s="997">
        <f t="shared" si="41"/>
        <v>0</v>
      </c>
      <c r="AO54" s="1063">
        <v>0</v>
      </c>
      <c r="AP54" s="359">
        <v>0</v>
      </c>
      <c r="AQ54" s="1031"/>
      <c r="AR54" s="1031"/>
      <c r="AS54" s="1089" t="e">
        <f t="shared" si="7"/>
        <v>#DIV/0!</v>
      </c>
      <c r="AT54" s="1117">
        <v>53909327.199996941</v>
      </c>
      <c r="AU54" s="993">
        <f t="shared" si="42"/>
        <v>0</v>
      </c>
      <c r="AV54" s="1010">
        <f t="shared" si="9"/>
        <v>0</v>
      </c>
      <c r="AW54" s="1116"/>
      <c r="AX54" s="157"/>
      <c r="AY54" s="152" t="s">
        <v>22</v>
      </c>
      <c r="AZ54" s="2306" t="s">
        <v>897</v>
      </c>
      <c r="BA54" s="93"/>
      <c r="BB54" s="93"/>
    </row>
    <row r="55" spans="1:54" ht="54" customHeight="1" thickBot="1">
      <c r="A55" s="321" t="s">
        <v>543</v>
      </c>
      <c r="B55" s="422" t="s">
        <v>735</v>
      </c>
      <c r="C55" s="1182">
        <v>1</v>
      </c>
      <c r="D55" s="825">
        <v>1</v>
      </c>
      <c r="E55" s="385">
        <v>1</v>
      </c>
      <c r="F55" s="870">
        <v>1</v>
      </c>
      <c r="G55" s="860">
        <v>1</v>
      </c>
      <c r="H55" s="147">
        <v>1</v>
      </c>
      <c r="I55" s="860"/>
      <c r="J55" s="860"/>
      <c r="K55" s="860"/>
      <c r="L55" s="1021">
        <f>IF((F55+I55)/C55&gt;=100%,100%,(F55+I55)/C55)</f>
        <v>1</v>
      </c>
      <c r="M55" s="980">
        <f>IF((G55+J55)/D55&gt;=100%,100%,(G55+J55)/D55)</f>
        <v>1</v>
      </c>
      <c r="N55" s="821">
        <f t="shared" si="39"/>
        <v>1</v>
      </c>
      <c r="O55" s="2165" t="s">
        <v>2279</v>
      </c>
      <c r="P55" s="1023"/>
      <c r="Q55" s="206"/>
      <c r="R55" s="207"/>
      <c r="S55" s="1023"/>
      <c r="T55" s="181"/>
      <c r="U55" s="181"/>
      <c r="V55" s="181"/>
      <c r="W55" s="1024"/>
      <c r="X55" s="1025"/>
      <c r="Y55" s="1129">
        <v>4</v>
      </c>
      <c r="Z55" s="1130">
        <f t="shared" si="14"/>
        <v>3</v>
      </c>
      <c r="AA55" s="1131">
        <f t="shared" si="40"/>
        <v>0.75</v>
      </c>
      <c r="AB55" s="1183">
        <v>0.1</v>
      </c>
      <c r="AC55" s="885">
        <v>0.26</v>
      </c>
      <c r="AD55" s="2025">
        <v>0.17</v>
      </c>
      <c r="AE55" s="520">
        <v>31162946267</v>
      </c>
      <c r="AF55" s="1184">
        <f>27218924156+3979322844.9</f>
        <v>31198247000.900002</v>
      </c>
      <c r="AG55" s="2053">
        <v>27327332015.5</v>
      </c>
      <c r="AH55" s="2116">
        <v>31162946267</v>
      </c>
      <c r="AI55" s="1997">
        <f t="shared" si="4"/>
        <v>1</v>
      </c>
      <c r="AJ55" s="1184">
        <v>25693011032</v>
      </c>
      <c r="AK55" s="1028">
        <v>27327332015.5</v>
      </c>
      <c r="AL55" s="1031">
        <v>31162946267</v>
      </c>
      <c r="AM55" s="1134">
        <f t="shared" si="6"/>
        <v>1</v>
      </c>
      <c r="AN55" s="997">
        <f t="shared" si="41"/>
        <v>0</v>
      </c>
      <c r="AO55" s="1052">
        <v>5505235968.8999996</v>
      </c>
      <c r="AP55" s="1028">
        <v>5478436597.21</v>
      </c>
      <c r="AQ55" s="1031"/>
      <c r="AR55" s="1031"/>
      <c r="AS55" s="1136" t="e">
        <f t="shared" si="7"/>
        <v>#DIV/0!</v>
      </c>
      <c r="AT55" s="1137">
        <v>118945147084</v>
      </c>
      <c r="AU55" s="993">
        <f t="shared" si="42"/>
        <v>89661725911.710007</v>
      </c>
      <c r="AV55" s="1139">
        <f t="shared" si="9"/>
        <v>0.75380734825936357</v>
      </c>
      <c r="AW55" s="1135"/>
      <c r="AX55" s="173"/>
      <c r="AY55" s="189" t="s">
        <v>22</v>
      </c>
      <c r="AZ55" s="2289"/>
      <c r="BA55" s="1037"/>
      <c r="BB55" s="1037"/>
    </row>
    <row r="56" spans="1:54" ht="61.5" customHeight="1" thickBot="1">
      <c r="A56" s="919" t="s">
        <v>417</v>
      </c>
      <c r="B56" s="920"/>
      <c r="C56" s="1935"/>
      <c r="D56" s="1936"/>
      <c r="E56" s="1936"/>
      <c r="F56" s="1936"/>
      <c r="G56" s="1936"/>
      <c r="H56" s="1936"/>
      <c r="I56" s="1935"/>
      <c r="J56" s="1935"/>
      <c r="K56" s="1935"/>
      <c r="L56" s="1937">
        <f>+(L57*AB57)+(L70*AB70)+(L79*AB79)</f>
        <v>0.82520000000000004</v>
      </c>
      <c r="M56" s="1937">
        <f>+(M57*AC57)+(M70*AC70)+(M79*AC79)</f>
        <v>0.73260000000000003</v>
      </c>
      <c r="N56" s="1937">
        <f>+(N57*AD57)+(N70*AD70)+(N79*AD79)</f>
        <v>0.75459999999999994</v>
      </c>
      <c r="O56" s="925"/>
      <c r="P56" s="1189"/>
      <c r="Q56" s="1190"/>
      <c r="R56" s="1191"/>
      <c r="S56" s="1191"/>
      <c r="T56" s="1192"/>
      <c r="U56" s="1192"/>
      <c r="V56" s="1192"/>
      <c r="W56" s="1192"/>
      <c r="X56" s="1192"/>
      <c r="Y56" s="1938"/>
      <c r="Z56" s="1939">
        <f t="shared" si="14"/>
        <v>0</v>
      </c>
      <c r="AA56" s="1940">
        <f>+(AA57*AB57)+(AA70*AB70)+(AA79*AB79)</f>
        <v>0.82846587661677773</v>
      </c>
      <c r="AB56" s="877">
        <v>0.15</v>
      </c>
      <c r="AC56" s="877">
        <v>0.15</v>
      </c>
      <c r="AD56" s="877">
        <v>0.15</v>
      </c>
      <c r="AE56" s="1942">
        <v>7065300000</v>
      </c>
      <c r="AF56" s="1942">
        <f>+AF57+AF70+AF79</f>
        <v>2671026967</v>
      </c>
      <c r="AG56" s="2060">
        <f>+AG57+AG70+AG79</f>
        <v>3993944361.1999998</v>
      </c>
      <c r="AH56" s="2121">
        <f>+AH57+AH70+AH79</f>
        <v>7036396547</v>
      </c>
      <c r="AI56" s="1989">
        <f t="shared" si="4"/>
        <v>0.99590909756132084</v>
      </c>
      <c r="AJ56" s="1942">
        <f>+AJ57+AJ70+AJ79</f>
        <v>1096965751</v>
      </c>
      <c r="AK56" s="1942">
        <f>+AK57+AK70+AK79</f>
        <v>2874263215</v>
      </c>
      <c r="AL56" s="1942">
        <f>+AL57+AL70+AL79</f>
        <v>5840107139</v>
      </c>
      <c r="AM56" s="1943">
        <f t="shared" si="6"/>
        <v>0.82659011492788703</v>
      </c>
      <c r="AN56" s="1944">
        <f>+AN57+AN70+AN79</f>
        <v>1196289408</v>
      </c>
      <c r="AO56" s="1945">
        <f>+AO57+AO70+AO79</f>
        <v>1874417406.9000001</v>
      </c>
      <c r="AP56" s="1942">
        <f>+AP57+AP70+AP79</f>
        <v>1845306970.21</v>
      </c>
      <c r="AQ56" s="1942">
        <f>+AQ57+AQ70+AQ79</f>
        <v>1119681146.2</v>
      </c>
      <c r="AR56" s="1942">
        <f>+AR57+AR70+AR79</f>
        <v>896397351</v>
      </c>
      <c r="AS56" s="1946">
        <f t="shared" si="7"/>
        <v>0.80058269628118162</v>
      </c>
      <c r="AT56" s="1942">
        <f>+AT57+AT70+AT79</f>
        <v>26050000000</v>
      </c>
      <c r="AU56" s="1942">
        <f>+AU57+AU70+AU79</f>
        <v>12553040426.209999</v>
      </c>
      <c r="AV56" s="1941">
        <f t="shared" si="9"/>
        <v>0.4818825499504798</v>
      </c>
      <c r="AW56" s="1944"/>
      <c r="AX56" s="1947"/>
      <c r="AY56" s="1945"/>
      <c r="AZ56" s="1944"/>
      <c r="BA56" s="1948"/>
      <c r="BB56" s="1948"/>
    </row>
    <row r="57" spans="1:54" s="617" customFormat="1" ht="54" customHeight="1" thickBot="1">
      <c r="A57" s="1065" t="s">
        <v>423</v>
      </c>
      <c r="B57" s="1066"/>
      <c r="C57" s="862"/>
      <c r="D57" s="835"/>
      <c r="E57" s="835"/>
      <c r="F57" s="835"/>
      <c r="G57" s="835"/>
      <c r="H57" s="835"/>
      <c r="I57" s="862"/>
      <c r="J57" s="862"/>
      <c r="K57" s="862"/>
      <c r="L57" s="1198">
        <f>+(L58*50%)+(L64*50%)</f>
        <v>1</v>
      </c>
      <c r="M57" s="1198">
        <f>+(M58*AC58)+(M64*AC64)</f>
        <v>1</v>
      </c>
      <c r="N57" s="1198">
        <f>+(N58*AD58)+(N64*AD64)</f>
        <v>0.93</v>
      </c>
      <c r="O57" s="948"/>
      <c r="P57" s="1066"/>
      <c r="Q57" s="1071"/>
      <c r="R57" s="1069"/>
      <c r="S57" s="1069"/>
      <c r="T57" s="1071"/>
      <c r="U57" s="1071"/>
      <c r="V57" s="1071"/>
      <c r="W57" s="1072"/>
      <c r="X57" s="1071"/>
      <c r="Y57" s="1074"/>
      <c r="Z57" s="1075">
        <f t="shared" si="14"/>
        <v>0</v>
      </c>
      <c r="AA57" s="1076">
        <f>+(AA58*AB58)+(AA64*AB64)</f>
        <v>1.6646743267714286</v>
      </c>
      <c r="AB57" s="1077">
        <v>0.3</v>
      </c>
      <c r="AC57" s="883">
        <v>0.3</v>
      </c>
      <c r="AD57" s="470">
        <v>0.3</v>
      </c>
      <c r="AE57" s="1078">
        <v>2620000000</v>
      </c>
      <c r="AF57" s="1078">
        <f>+AF58+AF64</f>
        <v>1620388056</v>
      </c>
      <c r="AG57" s="1066">
        <f>+AG58+AG64</f>
        <v>859909131</v>
      </c>
      <c r="AH57" s="2114">
        <f>+AH58+AH64</f>
        <v>2615234468</v>
      </c>
      <c r="AI57" s="1986">
        <f t="shared" si="4"/>
        <v>0.99818109465648852</v>
      </c>
      <c r="AJ57" s="1078">
        <f>+AJ58+AJ64</f>
        <v>179725140</v>
      </c>
      <c r="AK57" s="1078">
        <f>+AK58+AK64</f>
        <v>642270869</v>
      </c>
      <c r="AL57" s="1078">
        <f>+AL58+AL64</f>
        <v>1547677444</v>
      </c>
      <c r="AM57" s="1068">
        <f t="shared" si="6"/>
        <v>0.59071658167938934</v>
      </c>
      <c r="AN57" s="1066">
        <f>+AN58+AN64</f>
        <v>1067557024</v>
      </c>
      <c r="AO57" s="1069">
        <f>+AO58+AO64</f>
        <v>1741019106.9000001</v>
      </c>
      <c r="AP57" s="1078">
        <f>+AP58+AP64</f>
        <v>1714219735.21</v>
      </c>
      <c r="AQ57" s="1078">
        <f>+AQ58+AQ64</f>
        <v>217638262</v>
      </c>
      <c r="AR57" s="1078">
        <f>+AR58+AR64</f>
        <v>217190769</v>
      </c>
      <c r="AS57" s="1080">
        <f t="shared" si="7"/>
        <v>0.99794386797667034</v>
      </c>
      <c r="AT57" s="1078">
        <f>+AT58+AT64</f>
        <v>9080000000</v>
      </c>
      <c r="AU57" s="1078">
        <f>+AU58+AU64</f>
        <v>4301083957.21</v>
      </c>
      <c r="AV57" s="1077">
        <f t="shared" si="9"/>
        <v>0.47368766048568284</v>
      </c>
      <c r="AW57" s="1066"/>
      <c r="AX57" s="1071" t="s">
        <v>294</v>
      </c>
      <c r="AY57" s="1069"/>
      <c r="AZ57" s="1066"/>
      <c r="BA57" s="1082"/>
      <c r="BB57" s="1082"/>
    </row>
    <row r="58" spans="1:54" ht="50.25" customHeight="1" thickBot="1">
      <c r="A58" s="961" t="s">
        <v>454</v>
      </c>
      <c r="B58" s="962"/>
      <c r="C58" s="861"/>
      <c r="D58" s="826"/>
      <c r="E58" s="223"/>
      <c r="F58" s="963"/>
      <c r="G58" s="861"/>
      <c r="H58" s="139"/>
      <c r="I58" s="861"/>
      <c r="J58" s="861"/>
      <c r="K58" s="861"/>
      <c r="L58" s="964">
        <f>+L62*100%</f>
        <v>1</v>
      </c>
      <c r="M58" s="964">
        <f>+SUMPRODUCT(M59:M63,AC59:AC63)</f>
        <v>1</v>
      </c>
      <c r="N58" s="964">
        <f>+SUMPRODUCT(N59:N63,AD59:AD63)</f>
        <v>0.8600000000000001</v>
      </c>
      <c r="O58" s="965"/>
      <c r="P58" s="962"/>
      <c r="Q58" s="1098"/>
      <c r="R58" s="1098"/>
      <c r="S58" s="1098"/>
      <c r="T58" s="966"/>
      <c r="U58" s="966"/>
      <c r="V58" s="966"/>
      <c r="W58" s="1099"/>
      <c r="X58" s="1100"/>
      <c r="Y58" s="968"/>
      <c r="Z58" s="969">
        <f t="shared" si="14"/>
        <v>0</v>
      </c>
      <c r="AA58" s="1199">
        <f>+SUMPRODUCT(AA59:AA63,AV59:AV63)</f>
        <v>2.4388724630666667</v>
      </c>
      <c r="AB58" s="964">
        <v>0.5</v>
      </c>
      <c r="AC58" s="879">
        <v>0.5</v>
      </c>
      <c r="AD58" s="471">
        <v>0.5</v>
      </c>
      <c r="AE58" s="971">
        <v>1700000000</v>
      </c>
      <c r="AF58" s="971">
        <f>SUM(AF59:AF63)</f>
        <v>202888056</v>
      </c>
      <c r="AG58" s="962">
        <f>SUM(AG59:AG63)</f>
        <v>267680487</v>
      </c>
      <c r="AH58" s="2115">
        <f>SUM(AH59:AH63)</f>
        <v>1696254619</v>
      </c>
      <c r="AI58" s="1984">
        <f t="shared" si="4"/>
        <v>0.99779683470588232</v>
      </c>
      <c r="AJ58" s="971">
        <f>SUM(AJ59:AJ63)</f>
        <v>137225140</v>
      </c>
      <c r="AK58" s="971">
        <f>SUM(AK59:AK63)</f>
        <v>56522524</v>
      </c>
      <c r="AL58" s="971">
        <f>SUM(AL59:AL63)</f>
        <v>634050886</v>
      </c>
      <c r="AM58" s="973">
        <f t="shared" si="6"/>
        <v>0.3729711094117647</v>
      </c>
      <c r="AN58" s="974">
        <f>SUM(AN59:AN63)</f>
        <v>1062203733</v>
      </c>
      <c r="AO58" s="283">
        <f>SUM(AO59:AO63)</f>
        <v>366019106.89999998</v>
      </c>
      <c r="AP58" s="976">
        <f>SUM(AP59:AP63)</f>
        <v>339219735.20999998</v>
      </c>
      <c r="AQ58" s="976">
        <f>SUM(AQ59:AQ63)</f>
        <v>211157963</v>
      </c>
      <c r="AR58" s="976">
        <f>SUM(AR59:AR63)</f>
        <v>210940830</v>
      </c>
      <c r="AS58" s="967">
        <f t="shared" si="7"/>
        <v>0.99897170347300612</v>
      </c>
      <c r="AT58" s="976">
        <f>SUM(AT59:AT63)</f>
        <v>4350000000</v>
      </c>
      <c r="AU58" s="976">
        <f>SUM(AU59:AU63)</f>
        <v>1377959115.21</v>
      </c>
      <c r="AV58" s="1200">
        <f t="shared" si="9"/>
        <v>0.31677221039310344</v>
      </c>
      <c r="AW58" s="974"/>
      <c r="AX58" s="975"/>
      <c r="AY58" s="283"/>
      <c r="AZ58" s="974"/>
      <c r="BA58" s="286"/>
      <c r="BB58" s="286"/>
    </row>
    <row r="59" spans="1:54" ht="54.75" customHeight="1">
      <c r="A59" s="323" t="s">
        <v>544</v>
      </c>
      <c r="B59" s="1201" t="s">
        <v>738</v>
      </c>
      <c r="C59" s="1202">
        <v>0</v>
      </c>
      <c r="D59" s="388">
        <v>0</v>
      </c>
      <c r="E59" s="387">
        <v>50</v>
      </c>
      <c r="F59" s="1203">
        <v>0</v>
      </c>
      <c r="G59" s="865" t="s">
        <v>2163</v>
      </c>
      <c r="H59" s="147">
        <v>50</v>
      </c>
      <c r="I59" s="865"/>
      <c r="J59" s="865"/>
      <c r="K59" s="865"/>
      <c r="L59" s="1090" t="e">
        <f>IF((F59+I59)/C59&gt;=100%,100%,(F59+I59)/C59)</f>
        <v>#DIV/0!</v>
      </c>
      <c r="M59" s="1204" t="s">
        <v>2163</v>
      </c>
      <c r="N59" s="821">
        <f t="shared" ref="N59:N69" si="43">IF((H59/E59)&gt;=100%,100%,(H59/E59))</f>
        <v>1</v>
      </c>
      <c r="O59" s="2165" t="s">
        <v>2280</v>
      </c>
      <c r="P59" s="1084"/>
      <c r="Q59" s="1085" t="s">
        <v>2281</v>
      </c>
      <c r="R59" s="1086"/>
      <c r="S59" s="1084" t="s">
        <v>2282</v>
      </c>
      <c r="T59" s="1087">
        <v>362</v>
      </c>
      <c r="U59" s="1087"/>
      <c r="V59" s="1087"/>
      <c r="W59" s="1088"/>
      <c r="X59" s="1151"/>
      <c r="Y59" s="1152">
        <v>150</v>
      </c>
      <c r="Z59" s="1059">
        <f t="shared" si="14"/>
        <v>50</v>
      </c>
      <c r="AA59" s="1104">
        <f t="shared" ref="AA59:AA63" si="44">IF(Z59/Y59&gt;=100%,100%,Z59/Y59)</f>
        <v>0.33333333333333331</v>
      </c>
      <c r="AB59" s="1205">
        <v>0.25</v>
      </c>
      <c r="AC59" s="884">
        <v>0</v>
      </c>
      <c r="AD59" s="472">
        <v>0.25</v>
      </c>
      <c r="AE59" s="521">
        <v>400000000</v>
      </c>
      <c r="AF59" s="365" t="s">
        <v>887</v>
      </c>
      <c r="AG59" s="2061">
        <v>0</v>
      </c>
      <c r="AH59" s="2122">
        <v>398607608</v>
      </c>
      <c r="AI59" s="2112">
        <f t="shared" si="4"/>
        <v>0.99651902000000003</v>
      </c>
      <c r="AJ59" s="365" t="s">
        <v>887</v>
      </c>
      <c r="AK59" s="365">
        <v>0</v>
      </c>
      <c r="AL59" s="1957">
        <v>54267918</v>
      </c>
      <c r="AM59" s="1059">
        <f t="shared" si="6"/>
        <v>0.13566979500000001</v>
      </c>
      <c r="AN59" s="997">
        <f t="shared" ref="AN59:AN63" si="45">+AH59-AL59</f>
        <v>344339690</v>
      </c>
      <c r="AO59" s="1206" t="s">
        <v>887</v>
      </c>
      <c r="AP59" s="997">
        <v>0</v>
      </c>
      <c r="AQ59" s="1957"/>
      <c r="AR59" s="1957"/>
      <c r="AS59" s="1089" t="e">
        <f t="shared" si="7"/>
        <v>#DIV/0!</v>
      </c>
      <c r="AT59" s="1110">
        <v>1500000000</v>
      </c>
      <c r="AU59" s="993">
        <f t="shared" ref="AU59:AU63" si="46">SUM(AJ59:AL59)+AR59+AP59</f>
        <v>54267918</v>
      </c>
      <c r="AV59" s="1090">
        <f t="shared" si="9"/>
        <v>3.6178611999999999E-2</v>
      </c>
      <c r="AW59" s="1108"/>
      <c r="AX59" s="1111"/>
      <c r="AY59" s="981" t="s">
        <v>10</v>
      </c>
      <c r="AZ59" s="427" t="s">
        <v>898</v>
      </c>
      <c r="BA59" s="1207"/>
      <c r="BB59" s="1047"/>
    </row>
    <row r="60" spans="1:54" ht="87.75" customHeight="1">
      <c r="A60" s="323" t="s">
        <v>545</v>
      </c>
      <c r="B60" s="425" t="s">
        <v>736</v>
      </c>
      <c r="C60" s="1202">
        <v>0</v>
      </c>
      <c r="D60" s="388">
        <v>50000</v>
      </c>
      <c r="E60" s="666">
        <v>50000</v>
      </c>
      <c r="F60" s="1009">
        <v>0</v>
      </c>
      <c r="G60" s="859">
        <v>0</v>
      </c>
      <c r="H60" s="147">
        <v>50000</v>
      </c>
      <c r="I60" s="859"/>
      <c r="J60" s="859">
        <v>50000</v>
      </c>
      <c r="K60" s="859"/>
      <c r="L60" s="1010" t="e">
        <f>IF((F60+I60)/C60&gt;=100%,100%,(F60+I60)/C60)</f>
        <v>#DIV/0!</v>
      </c>
      <c r="M60" s="1011">
        <f>IF((G60+J60)/D60&gt;=100%,100%,(G60+J60)/D60)</f>
        <v>1</v>
      </c>
      <c r="N60" s="821">
        <f t="shared" si="43"/>
        <v>1</v>
      </c>
      <c r="O60" s="2165" t="s">
        <v>2283</v>
      </c>
      <c r="P60" s="1013"/>
      <c r="Q60" s="1085" t="s">
        <v>2281</v>
      </c>
      <c r="R60" s="1086"/>
      <c r="S60" s="1084" t="s">
        <v>2282</v>
      </c>
      <c r="T60" s="1087">
        <v>339</v>
      </c>
      <c r="U60" s="1016"/>
      <c r="V60" s="1016"/>
      <c r="W60" s="1017"/>
      <c r="X60" s="1018"/>
      <c r="Y60" s="1121">
        <v>150000</v>
      </c>
      <c r="Z60" s="1008">
        <f t="shared" si="14"/>
        <v>100000</v>
      </c>
      <c r="AA60" s="1104">
        <f t="shared" si="44"/>
        <v>0.66666666666666663</v>
      </c>
      <c r="AB60" s="1205">
        <v>0.2</v>
      </c>
      <c r="AC60" s="881">
        <v>0.5</v>
      </c>
      <c r="AD60" s="472">
        <v>0.2</v>
      </c>
      <c r="AE60" s="521">
        <v>250000000</v>
      </c>
      <c r="AF60" s="365">
        <v>0</v>
      </c>
      <c r="AG60" s="2062">
        <v>20786566</v>
      </c>
      <c r="AH60" s="2122">
        <v>248712470</v>
      </c>
      <c r="AI60" s="1993">
        <f t="shared" si="4"/>
        <v>0.99484987999999996</v>
      </c>
      <c r="AJ60" s="365">
        <v>0</v>
      </c>
      <c r="AK60" s="364">
        <v>17325906</v>
      </c>
      <c r="AL60" s="1957">
        <v>241853887</v>
      </c>
      <c r="AM60" s="1010">
        <f t="shared" si="6"/>
        <v>0.96741554799999996</v>
      </c>
      <c r="AN60" s="997">
        <f t="shared" si="45"/>
        <v>6858583</v>
      </c>
      <c r="AO60" s="1206">
        <v>0</v>
      </c>
      <c r="AP60" s="365">
        <v>0</v>
      </c>
      <c r="AQ60" s="1957">
        <v>3460660</v>
      </c>
      <c r="AR60" s="1957">
        <v>3335671</v>
      </c>
      <c r="AS60" s="1089">
        <f t="shared" si="7"/>
        <v>0.96388290094952989</v>
      </c>
      <c r="AT60" s="1208">
        <v>600000000</v>
      </c>
      <c r="AU60" s="993">
        <f t="shared" si="46"/>
        <v>262515464</v>
      </c>
      <c r="AV60" s="1010">
        <f t="shared" si="9"/>
        <v>0.43752577333333331</v>
      </c>
      <c r="AW60" s="1116"/>
      <c r="AX60" s="1119"/>
      <c r="AY60" s="1012" t="s">
        <v>302</v>
      </c>
      <c r="AZ60" s="1209" t="s">
        <v>898</v>
      </c>
      <c r="BA60" s="1210"/>
      <c r="BB60" s="93"/>
    </row>
    <row r="61" spans="1:54" ht="61.5" customHeight="1">
      <c r="A61" s="323" t="s">
        <v>546</v>
      </c>
      <c r="B61" s="426" t="s">
        <v>737</v>
      </c>
      <c r="C61" s="1211">
        <v>0</v>
      </c>
      <c r="D61" s="389">
        <v>0</v>
      </c>
      <c r="E61" s="389">
        <v>2</v>
      </c>
      <c r="F61" s="1009">
        <v>0</v>
      </c>
      <c r="G61" s="865" t="s">
        <v>2163</v>
      </c>
      <c r="H61" s="147">
        <v>2</v>
      </c>
      <c r="I61" s="859"/>
      <c r="J61" s="859"/>
      <c r="K61" s="859"/>
      <c r="L61" s="1010" t="e">
        <f>IF((F61+I61)/C61&gt;=100%,100%,(F61+I61)/C61)</f>
        <v>#DIV/0!</v>
      </c>
      <c r="M61" s="1204" t="s">
        <v>2163</v>
      </c>
      <c r="N61" s="821">
        <f t="shared" si="43"/>
        <v>1</v>
      </c>
      <c r="O61" s="2165" t="s">
        <v>2284</v>
      </c>
      <c r="P61" s="1013"/>
      <c r="Q61" s="1085" t="s">
        <v>2281</v>
      </c>
      <c r="R61" s="1086"/>
      <c r="S61" s="1084" t="s">
        <v>2282</v>
      </c>
      <c r="T61" s="1087" t="s">
        <v>2285</v>
      </c>
      <c r="U61" s="1016"/>
      <c r="V61" s="1016"/>
      <c r="W61" s="1017"/>
      <c r="X61" s="1018"/>
      <c r="Y61" s="1121">
        <v>4</v>
      </c>
      <c r="Z61" s="1008">
        <f t="shared" si="14"/>
        <v>2</v>
      </c>
      <c r="AA61" s="1104">
        <f t="shared" si="44"/>
        <v>0.5</v>
      </c>
      <c r="AB61" s="1212">
        <v>0.15</v>
      </c>
      <c r="AC61" s="881">
        <v>0</v>
      </c>
      <c r="AD61" s="472">
        <v>0.15</v>
      </c>
      <c r="AE61" s="521">
        <v>300000000</v>
      </c>
      <c r="AF61" s="365" t="s">
        <v>887</v>
      </c>
      <c r="AG61" s="2062">
        <v>0</v>
      </c>
      <c r="AH61" s="2122">
        <v>299667241</v>
      </c>
      <c r="AI61" s="1993">
        <f t="shared" si="4"/>
        <v>0.99889080333333335</v>
      </c>
      <c r="AJ61" s="365" t="s">
        <v>887</v>
      </c>
      <c r="AK61" s="364">
        <v>0</v>
      </c>
      <c r="AL61" s="1957">
        <v>37257534</v>
      </c>
      <c r="AM61" s="1008">
        <f t="shared" si="6"/>
        <v>0.12419178</v>
      </c>
      <c r="AN61" s="997">
        <f t="shared" si="45"/>
        <v>262409707</v>
      </c>
      <c r="AO61" s="1206">
        <v>0</v>
      </c>
      <c r="AP61" s="365">
        <v>0</v>
      </c>
      <c r="AQ61" s="1957"/>
      <c r="AR61" s="1957"/>
      <c r="AS61" s="1089" t="e">
        <f t="shared" si="7"/>
        <v>#DIV/0!</v>
      </c>
      <c r="AT61" s="1118">
        <v>800000000</v>
      </c>
      <c r="AU61" s="993">
        <f t="shared" si="46"/>
        <v>37257534</v>
      </c>
      <c r="AV61" s="1010">
        <f t="shared" si="9"/>
        <v>4.6571917499999997E-2</v>
      </c>
      <c r="AW61" s="1116"/>
      <c r="AX61" s="1119"/>
      <c r="AY61" s="1012" t="s">
        <v>302</v>
      </c>
      <c r="AZ61" s="1209" t="s">
        <v>898</v>
      </c>
      <c r="BA61" s="1210"/>
      <c r="BB61" s="93"/>
    </row>
    <row r="62" spans="1:54" ht="97.5" customHeight="1">
      <c r="A62" s="323" t="s">
        <v>547</v>
      </c>
      <c r="B62" s="424" t="s">
        <v>739</v>
      </c>
      <c r="C62" s="1213">
        <v>0.1</v>
      </c>
      <c r="D62" s="387">
        <v>1</v>
      </c>
      <c r="E62" s="908">
        <v>1</v>
      </c>
      <c r="F62" s="1213">
        <v>0.1</v>
      </c>
      <c r="G62" s="859">
        <v>1</v>
      </c>
      <c r="H62" s="679">
        <v>1</v>
      </c>
      <c r="I62" s="859"/>
      <c r="J62" s="859"/>
      <c r="K62" s="859"/>
      <c r="L62" s="1010">
        <f>IF((F62+I62)/C62&gt;=100%,100%,(F62+I62)/C62)</f>
        <v>1</v>
      </c>
      <c r="M62" s="1011">
        <f>IF((G62+J62)/D62&gt;=100%,100%,(G62+J62)/D62)</f>
        <v>1</v>
      </c>
      <c r="N62" s="821">
        <f t="shared" si="43"/>
        <v>1</v>
      </c>
      <c r="O62" s="2165" t="s">
        <v>2286</v>
      </c>
      <c r="P62" s="1013"/>
      <c r="Q62" s="1085" t="s">
        <v>2281</v>
      </c>
      <c r="R62" s="1086"/>
      <c r="S62" s="1084" t="s">
        <v>2282</v>
      </c>
      <c r="T62" s="1087" t="s">
        <v>2285</v>
      </c>
      <c r="U62" s="1016"/>
      <c r="V62" s="1016"/>
      <c r="W62" s="1017"/>
      <c r="X62" s="1018"/>
      <c r="Y62" s="1121">
        <v>2.1</v>
      </c>
      <c r="Z62" s="1008">
        <f t="shared" si="14"/>
        <v>2.1</v>
      </c>
      <c r="AA62" s="1104">
        <f t="shared" si="44"/>
        <v>1</v>
      </c>
      <c r="AB62" s="1214">
        <v>0.2</v>
      </c>
      <c r="AC62" s="881">
        <v>0.5</v>
      </c>
      <c r="AD62" s="472">
        <v>0.2</v>
      </c>
      <c r="AE62" s="521">
        <v>350000000</v>
      </c>
      <c r="AF62" s="359">
        <v>202888056</v>
      </c>
      <c r="AG62" s="2062">
        <v>246893921</v>
      </c>
      <c r="AH62" s="2122">
        <v>349611974</v>
      </c>
      <c r="AI62" s="1993">
        <f t="shared" si="4"/>
        <v>0.99889135428571429</v>
      </c>
      <c r="AJ62" s="359">
        <v>137225140</v>
      </c>
      <c r="AK62" s="364">
        <v>39196618</v>
      </c>
      <c r="AL62" s="1957">
        <v>221755948</v>
      </c>
      <c r="AM62" s="1010">
        <f t="shared" si="6"/>
        <v>0.6335884228571429</v>
      </c>
      <c r="AN62" s="997">
        <f t="shared" si="45"/>
        <v>127856026</v>
      </c>
      <c r="AO62" s="1949">
        <v>366019106.89999998</v>
      </c>
      <c r="AP62" s="1950">
        <v>339219735.20999998</v>
      </c>
      <c r="AQ62" s="2004">
        <v>207697303</v>
      </c>
      <c r="AR62" s="2004">
        <v>207605159</v>
      </c>
      <c r="AS62" s="1089">
        <f t="shared" si="7"/>
        <v>0.99955635437403823</v>
      </c>
      <c r="AT62" s="1208">
        <v>450000000</v>
      </c>
      <c r="AU62" s="993">
        <f t="shared" si="46"/>
        <v>945002600.21000004</v>
      </c>
      <c r="AV62" s="1115">
        <f t="shared" si="9"/>
        <v>2.1000057782444443</v>
      </c>
      <c r="AW62" s="1116"/>
      <c r="AX62" s="1119"/>
      <c r="AY62" s="1012" t="s">
        <v>21</v>
      </c>
      <c r="AZ62" s="1209" t="s">
        <v>890</v>
      </c>
      <c r="BA62" s="1210"/>
      <c r="BB62" s="93"/>
    </row>
    <row r="63" spans="1:54" ht="60" customHeight="1" thickBot="1">
      <c r="A63" s="1215" t="s">
        <v>548</v>
      </c>
      <c r="B63" s="1216" t="s">
        <v>740</v>
      </c>
      <c r="C63" s="1211">
        <v>0</v>
      </c>
      <c r="D63" s="389">
        <v>0</v>
      </c>
      <c r="E63" s="388">
        <v>50</v>
      </c>
      <c r="F63" s="1217">
        <v>0</v>
      </c>
      <c r="G63" s="866" t="s">
        <v>2163</v>
      </c>
      <c r="H63" s="147">
        <v>15</v>
      </c>
      <c r="I63" s="866"/>
      <c r="J63" s="866"/>
      <c r="K63" s="866"/>
      <c r="L63" s="1139" t="e">
        <f>IF((F63+I63)/C63&gt;=100%,100%,(F63+I63)/C63)</f>
        <v>#DIV/0!</v>
      </c>
      <c r="M63" s="1204" t="s">
        <v>2163</v>
      </c>
      <c r="N63" s="821">
        <f t="shared" si="43"/>
        <v>0.3</v>
      </c>
      <c r="O63" s="2165" t="s">
        <v>2287</v>
      </c>
      <c r="P63" s="1219"/>
      <c r="Q63" s="1085" t="s">
        <v>2281</v>
      </c>
      <c r="R63" s="1086"/>
      <c r="S63" s="1084" t="s">
        <v>2282</v>
      </c>
      <c r="T63" s="1087" t="s">
        <v>2285</v>
      </c>
      <c r="U63" s="1222"/>
      <c r="V63" s="1222"/>
      <c r="W63" s="1223"/>
      <c r="X63" s="1222"/>
      <c r="Y63" s="1129">
        <v>100</v>
      </c>
      <c r="Z63" s="1130">
        <f t="shared" si="14"/>
        <v>15</v>
      </c>
      <c r="AA63" s="1131">
        <f t="shared" si="44"/>
        <v>0.15</v>
      </c>
      <c r="AB63" s="1212">
        <v>0.2</v>
      </c>
      <c r="AC63" s="885">
        <v>0</v>
      </c>
      <c r="AD63" s="472">
        <v>0.2</v>
      </c>
      <c r="AE63" s="1224">
        <v>400000000</v>
      </c>
      <c r="AF63" s="1225" t="s">
        <v>887</v>
      </c>
      <c r="AG63" s="2063">
        <v>0</v>
      </c>
      <c r="AH63" s="2122">
        <v>399655326</v>
      </c>
      <c r="AI63" s="1997">
        <f t="shared" si="4"/>
        <v>0.99913831500000005</v>
      </c>
      <c r="AJ63" s="1225" t="s">
        <v>887</v>
      </c>
      <c r="AK63" s="1226">
        <v>0</v>
      </c>
      <c r="AL63" s="1957">
        <v>78915599</v>
      </c>
      <c r="AM63" s="1130">
        <f t="shared" si="6"/>
        <v>0.19728899750000001</v>
      </c>
      <c r="AN63" s="997">
        <f t="shared" si="45"/>
        <v>320739727</v>
      </c>
      <c r="AO63" s="1227">
        <v>0</v>
      </c>
      <c r="AP63" s="1225">
        <v>0</v>
      </c>
      <c r="AQ63" s="1957"/>
      <c r="AR63" s="1957"/>
      <c r="AS63" s="1136" t="e">
        <f t="shared" si="7"/>
        <v>#DIV/0!</v>
      </c>
      <c r="AT63" s="1228">
        <v>1000000000</v>
      </c>
      <c r="AU63" s="993">
        <f t="shared" si="46"/>
        <v>78915599</v>
      </c>
      <c r="AV63" s="1139">
        <f t="shared" si="9"/>
        <v>7.8915599000000003E-2</v>
      </c>
      <c r="AW63" s="1135"/>
      <c r="AX63" s="1140"/>
      <c r="AY63" s="1141" t="s">
        <v>10</v>
      </c>
      <c r="AZ63" s="1229" t="s">
        <v>899</v>
      </c>
      <c r="BA63" s="1230"/>
      <c r="BB63" s="1037"/>
    </row>
    <row r="64" spans="1:54" ht="62.25" customHeight="1" thickBot="1">
      <c r="A64" s="961" t="s">
        <v>455</v>
      </c>
      <c r="B64" s="962"/>
      <c r="C64" s="861"/>
      <c r="D64" s="826"/>
      <c r="E64" s="826"/>
      <c r="F64" s="826"/>
      <c r="G64" s="826"/>
      <c r="H64" s="826"/>
      <c r="I64" s="861"/>
      <c r="J64" s="861"/>
      <c r="K64" s="861"/>
      <c r="L64" s="964">
        <f>+(L65*15%)+(L67*25%)+(L68*25%)+(L69*35%)</f>
        <v>1</v>
      </c>
      <c r="M64" s="964">
        <f>+SUMPRODUCT(M65:M69,AC65:AC69)</f>
        <v>1</v>
      </c>
      <c r="N64" s="964">
        <f>+SUMPRODUCT(N65:N69,AD65:AD69)</f>
        <v>1</v>
      </c>
      <c r="O64" s="965"/>
      <c r="P64" s="962"/>
      <c r="Q64" s="1098"/>
      <c r="R64" s="1098"/>
      <c r="S64" s="1098"/>
      <c r="T64" s="966"/>
      <c r="U64" s="966"/>
      <c r="V64" s="966"/>
      <c r="W64" s="1099"/>
      <c r="X64" s="1100"/>
      <c r="Y64" s="968"/>
      <c r="Z64" s="969">
        <f t="shared" si="14"/>
        <v>0</v>
      </c>
      <c r="AA64" s="1231">
        <f>+SUMPRODUCT(AA65:AA69,AB65:AB69)</f>
        <v>0.89047619047619042</v>
      </c>
      <c r="AB64" s="1102">
        <v>0.5</v>
      </c>
      <c r="AC64" s="886">
        <v>0.5</v>
      </c>
      <c r="AD64" s="471">
        <v>0.5</v>
      </c>
      <c r="AE64" s="1143">
        <v>920000000</v>
      </c>
      <c r="AF64" s="1143">
        <f>SUM(AF65:AF69)</f>
        <v>1417500000</v>
      </c>
      <c r="AG64" s="2057">
        <f>SUM(AG65:AG69)</f>
        <v>592228644</v>
      </c>
      <c r="AH64" s="2118">
        <f>SUM(AH65:AH69)</f>
        <v>918979849</v>
      </c>
      <c r="AI64" s="1987">
        <f t="shared" si="4"/>
        <v>0.99889114021739134</v>
      </c>
      <c r="AJ64" s="1143">
        <f>SUM(AJ65:AJ69)</f>
        <v>42500000</v>
      </c>
      <c r="AK64" s="1143">
        <f>SUM(AK65:AK69)</f>
        <v>585748345</v>
      </c>
      <c r="AL64" s="1143">
        <f>SUM(AL65:AL69)</f>
        <v>913626558</v>
      </c>
      <c r="AM64" s="1149">
        <f t="shared" si="6"/>
        <v>0.99307234565217395</v>
      </c>
      <c r="AN64" s="1146">
        <f>SUM(AN65:AN69)</f>
        <v>5353291</v>
      </c>
      <c r="AO64" s="1101">
        <f>SUM(AO65:AO69)</f>
        <v>1375000000</v>
      </c>
      <c r="AP64" s="1143">
        <f>SUM(AP65:AP69)</f>
        <v>1375000000</v>
      </c>
      <c r="AQ64" s="1143">
        <f>SUM(AQ65:AQ69)</f>
        <v>6480299</v>
      </c>
      <c r="AR64" s="1143">
        <f>SUM(AR65:AR69)</f>
        <v>6249939</v>
      </c>
      <c r="AS64" s="1173">
        <f t="shared" si="7"/>
        <v>0.96445225752700603</v>
      </c>
      <c r="AT64" s="1143">
        <f>SUM(AT65:AT69)</f>
        <v>4730000000</v>
      </c>
      <c r="AU64" s="1143">
        <f>SUM(AU65:AU69)</f>
        <v>2923124842</v>
      </c>
      <c r="AV64" s="1102">
        <f t="shared" si="9"/>
        <v>0.61799679534883722</v>
      </c>
      <c r="AW64" s="974"/>
      <c r="AX64" s="975"/>
      <c r="AY64" s="283"/>
      <c r="AZ64" s="974"/>
      <c r="BA64" s="286"/>
      <c r="BB64" s="286"/>
    </row>
    <row r="65" spans="1:54" ht="53.25" customHeight="1">
      <c r="A65" s="324" t="s">
        <v>549</v>
      </c>
      <c r="B65" s="428" t="s">
        <v>741</v>
      </c>
      <c r="C65" s="1232">
        <v>1</v>
      </c>
      <c r="D65" s="390">
        <v>0</v>
      </c>
      <c r="E65" s="390">
        <v>0</v>
      </c>
      <c r="F65" s="978">
        <v>0</v>
      </c>
      <c r="G65" s="858" t="s">
        <v>2163</v>
      </c>
      <c r="H65" s="147"/>
      <c r="I65" s="865">
        <v>1</v>
      </c>
      <c r="J65" s="865">
        <v>1</v>
      </c>
      <c r="K65" s="865"/>
      <c r="L65" s="1090">
        <f>IF((F65+I65)/C65&gt;=100%,100%,(F65+I65)/C65)</f>
        <v>1</v>
      </c>
      <c r="M65" s="1204" t="s">
        <v>2163</v>
      </c>
      <c r="N65" s="1204" t="s">
        <v>2163</v>
      </c>
      <c r="O65" s="2165"/>
      <c r="P65" s="1084"/>
      <c r="Q65" s="1085"/>
      <c r="R65" s="1086"/>
      <c r="S65" s="1084"/>
      <c r="T65" s="1087"/>
      <c r="U65" s="1087"/>
      <c r="V65" s="1087"/>
      <c r="W65" s="1088"/>
      <c r="X65" s="1151"/>
      <c r="Y65" s="1152">
        <v>1</v>
      </c>
      <c r="Z65" s="1059">
        <f t="shared" si="14"/>
        <v>2</v>
      </c>
      <c r="AA65" s="1104">
        <f>IF(Z65/Y65&gt;=100%,100%,Z65/Y65)</f>
        <v>1</v>
      </c>
      <c r="AB65" s="1233">
        <v>0.1</v>
      </c>
      <c r="AC65" s="884">
        <v>0</v>
      </c>
      <c r="AD65" s="472">
        <v>0</v>
      </c>
      <c r="AE65" s="1234">
        <v>0</v>
      </c>
      <c r="AF65" s="360">
        <v>300000000</v>
      </c>
      <c r="AG65" s="989">
        <v>0</v>
      </c>
      <c r="AH65" s="2116">
        <v>0</v>
      </c>
      <c r="AI65" s="2112" t="e">
        <f t="shared" si="4"/>
        <v>#DIV/0!</v>
      </c>
      <c r="AJ65" s="360">
        <v>0</v>
      </c>
      <c r="AK65" s="360">
        <v>0</v>
      </c>
      <c r="AL65" s="1031"/>
      <c r="AM65" s="1059" t="e">
        <f t="shared" si="6"/>
        <v>#DIV/0!</v>
      </c>
      <c r="AN65" s="997">
        <f t="shared" ref="AN65:AN69" si="47">+AH65-AL65</f>
        <v>0</v>
      </c>
      <c r="AO65" s="1045">
        <v>300000000</v>
      </c>
      <c r="AP65" s="360">
        <v>300000000</v>
      </c>
      <c r="AQ65" s="1031"/>
      <c r="AR65" s="1031"/>
      <c r="AS65" s="1089" t="e">
        <f t="shared" si="7"/>
        <v>#DIV/0!</v>
      </c>
      <c r="AT65" s="1110">
        <v>300000000</v>
      </c>
      <c r="AU65" s="993">
        <f t="shared" ref="AU65:AU69" si="48">SUM(AJ65:AL65)+AR65+AP65</f>
        <v>300000000</v>
      </c>
      <c r="AV65" s="1107">
        <f t="shared" si="9"/>
        <v>1</v>
      </c>
      <c r="AW65" s="1108"/>
      <c r="AX65" s="1111"/>
      <c r="AY65" s="190" t="s">
        <v>302</v>
      </c>
      <c r="AZ65" s="429" t="s">
        <v>900</v>
      </c>
      <c r="BA65" s="1047"/>
      <c r="BB65" s="1047"/>
    </row>
    <row r="66" spans="1:54" ht="165.75">
      <c r="A66" s="324" t="s">
        <v>550</v>
      </c>
      <c r="B66" s="429" t="s">
        <v>17</v>
      </c>
      <c r="C66" s="1232">
        <v>0</v>
      </c>
      <c r="D66" s="390">
        <v>2</v>
      </c>
      <c r="E66" s="390">
        <v>2</v>
      </c>
      <c r="F66" s="213">
        <v>0</v>
      </c>
      <c r="G66" s="147">
        <v>2</v>
      </c>
      <c r="H66" s="147">
        <v>2</v>
      </c>
      <c r="I66" s="859"/>
      <c r="J66" s="859"/>
      <c r="K66" s="859"/>
      <c r="L66" s="1010" t="e">
        <f>IF((F66+I66)/C66&gt;=100%,100%,(F66+I66)/C66)</f>
        <v>#DIV/0!</v>
      </c>
      <c r="M66" s="1090">
        <f>IF((G66+J66)/D66&gt;=100%,100%,(G66+J66)/D66)</f>
        <v>1</v>
      </c>
      <c r="N66" s="821">
        <f t="shared" si="43"/>
        <v>1</v>
      </c>
      <c r="O66" s="2165" t="s">
        <v>2288</v>
      </c>
      <c r="P66" s="1013"/>
      <c r="Q66" s="1085" t="s">
        <v>2281</v>
      </c>
      <c r="R66" s="1086"/>
      <c r="S66" s="1084" t="s">
        <v>2282</v>
      </c>
      <c r="T66" s="1087">
        <v>295</v>
      </c>
      <c r="U66" s="1016"/>
      <c r="V66" s="1016"/>
      <c r="W66" s="1017"/>
      <c r="X66" s="1018"/>
      <c r="Y66" s="1121">
        <v>6</v>
      </c>
      <c r="Z66" s="1008">
        <f t="shared" si="14"/>
        <v>4</v>
      </c>
      <c r="AA66" s="1235">
        <f t="shared" ref="AA66:AA69" si="49">IF(Z66/Y66&gt;=100%,100%,Z66/Y66)</f>
        <v>0.66666666666666663</v>
      </c>
      <c r="AB66" s="1233">
        <v>0.2</v>
      </c>
      <c r="AC66" s="881">
        <v>0.5</v>
      </c>
      <c r="AD66" s="472">
        <v>0.3</v>
      </c>
      <c r="AE66" s="523">
        <v>300000000</v>
      </c>
      <c r="AF66" s="365" t="s">
        <v>887</v>
      </c>
      <c r="AG66" s="997">
        <v>296110717</v>
      </c>
      <c r="AH66" s="2116">
        <v>299667241</v>
      </c>
      <c r="AI66" s="1993">
        <f t="shared" si="4"/>
        <v>0.99889080333333335</v>
      </c>
      <c r="AJ66" s="365" t="s">
        <v>887</v>
      </c>
      <c r="AK66" s="359">
        <v>292869958</v>
      </c>
      <c r="AL66" s="1031">
        <v>298357533</v>
      </c>
      <c r="AM66" s="1115">
        <f t="shared" si="6"/>
        <v>0.99452510999999999</v>
      </c>
      <c r="AN66" s="997">
        <f t="shared" si="47"/>
        <v>1309708</v>
      </c>
      <c r="AO66" s="1206" t="s">
        <v>887</v>
      </c>
      <c r="AP66" s="997">
        <v>0</v>
      </c>
      <c r="AQ66" s="1957">
        <v>3240759</v>
      </c>
      <c r="AR66" s="1957">
        <v>3125579</v>
      </c>
      <c r="AS66" s="1089">
        <f t="shared" si="7"/>
        <v>0.96445894310561198</v>
      </c>
      <c r="AT66" s="1118">
        <v>1200000000</v>
      </c>
      <c r="AU66" s="993">
        <f t="shared" si="48"/>
        <v>594353070</v>
      </c>
      <c r="AV66" s="1010">
        <f t="shared" si="9"/>
        <v>0.49529422499999998</v>
      </c>
      <c r="AW66" s="1116"/>
      <c r="AX66" s="1119"/>
      <c r="AY66" s="152" t="s">
        <v>16</v>
      </c>
      <c r="AZ66" s="1236" t="s">
        <v>900</v>
      </c>
      <c r="BA66" s="93"/>
      <c r="BB66" s="93"/>
    </row>
    <row r="67" spans="1:54" ht="78.75" customHeight="1">
      <c r="A67" s="324" t="s">
        <v>551</v>
      </c>
      <c r="B67" s="429" t="s">
        <v>742</v>
      </c>
      <c r="C67" s="1232">
        <v>1</v>
      </c>
      <c r="D67" s="390">
        <v>2</v>
      </c>
      <c r="E67" s="390">
        <v>1</v>
      </c>
      <c r="F67" s="213">
        <v>0</v>
      </c>
      <c r="G67" s="147">
        <v>2</v>
      </c>
      <c r="H67" s="147">
        <v>1</v>
      </c>
      <c r="I67" s="859">
        <v>1</v>
      </c>
      <c r="J67" s="859">
        <v>1</v>
      </c>
      <c r="K67" s="859"/>
      <c r="L67" s="1010">
        <f>IF((F67+I67)/C67&gt;=100%,100%,(F67+I67)/C67)</f>
        <v>1</v>
      </c>
      <c r="M67" s="1090">
        <f>IF((G67+J67)/D67&gt;=100%,100%,(G67+J67)/D67)</f>
        <v>1</v>
      </c>
      <c r="N67" s="821">
        <f t="shared" si="43"/>
        <v>1</v>
      </c>
      <c r="O67" s="2165" t="s">
        <v>2289</v>
      </c>
      <c r="P67" s="1013"/>
      <c r="Q67" s="1085" t="s">
        <v>2281</v>
      </c>
      <c r="R67" s="1086"/>
      <c r="S67" s="1084" t="s">
        <v>2282</v>
      </c>
      <c r="T67" s="1087">
        <v>295</v>
      </c>
      <c r="U67" s="1016"/>
      <c r="V67" s="1016"/>
      <c r="W67" s="1017"/>
      <c r="X67" s="1018"/>
      <c r="Y67" s="1121">
        <v>4</v>
      </c>
      <c r="Z67" s="1008">
        <f t="shared" si="14"/>
        <v>5</v>
      </c>
      <c r="AA67" s="1235">
        <f t="shared" si="49"/>
        <v>1</v>
      </c>
      <c r="AB67" s="1233">
        <v>0.2</v>
      </c>
      <c r="AC67" s="881">
        <v>0.5</v>
      </c>
      <c r="AD67" s="472">
        <v>0.3</v>
      </c>
      <c r="AE67" s="523">
        <v>220000000</v>
      </c>
      <c r="AF67" s="359">
        <v>220000000</v>
      </c>
      <c r="AG67" s="997">
        <v>296117927</v>
      </c>
      <c r="AH67" s="2116">
        <v>219755901</v>
      </c>
      <c r="AI67" s="1993">
        <f t="shared" si="4"/>
        <v>0.99889045909090912</v>
      </c>
      <c r="AJ67" s="359">
        <v>0</v>
      </c>
      <c r="AK67" s="359">
        <v>292878387</v>
      </c>
      <c r="AL67" s="1031">
        <v>218254661</v>
      </c>
      <c r="AM67" s="1115">
        <f t="shared" si="6"/>
        <v>0.99206664090909091</v>
      </c>
      <c r="AN67" s="997">
        <f t="shared" si="47"/>
        <v>1501240</v>
      </c>
      <c r="AO67" s="1063">
        <v>220000000</v>
      </c>
      <c r="AP67" s="359">
        <v>220000000</v>
      </c>
      <c r="AQ67" s="1031">
        <v>3239540</v>
      </c>
      <c r="AR67" s="1031">
        <v>3124360</v>
      </c>
      <c r="AS67" s="1089">
        <f t="shared" si="7"/>
        <v>0.96444556943269721</v>
      </c>
      <c r="AT67" s="1118">
        <v>880000000</v>
      </c>
      <c r="AU67" s="993">
        <f t="shared" si="48"/>
        <v>734257408</v>
      </c>
      <c r="AV67" s="1115">
        <f t="shared" si="9"/>
        <v>0.83438341818181816</v>
      </c>
      <c r="AW67" s="1116"/>
      <c r="AX67" s="1119"/>
      <c r="AY67" s="152" t="s">
        <v>302</v>
      </c>
      <c r="AZ67" s="1236" t="s">
        <v>901</v>
      </c>
      <c r="BA67" s="93"/>
      <c r="BB67" s="93"/>
    </row>
    <row r="68" spans="1:54" ht="40.5" customHeight="1">
      <c r="A68" s="324" t="s">
        <v>552</v>
      </c>
      <c r="B68" s="429" t="s">
        <v>743</v>
      </c>
      <c r="C68" s="1232">
        <v>1</v>
      </c>
      <c r="D68" s="390">
        <v>0</v>
      </c>
      <c r="E68" s="390">
        <v>0</v>
      </c>
      <c r="F68" s="213">
        <v>0</v>
      </c>
      <c r="G68" s="147" t="s">
        <v>2163</v>
      </c>
      <c r="H68" s="147"/>
      <c r="I68" s="859">
        <v>1</v>
      </c>
      <c r="J68" s="859">
        <v>1</v>
      </c>
      <c r="K68" s="859"/>
      <c r="L68" s="1010">
        <f>IF((F68+I68)/C68&gt;=100%,100%,(F68+I68)/C68)</f>
        <v>1</v>
      </c>
      <c r="M68" s="1204" t="s">
        <v>2163</v>
      </c>
      <c r="N68" s="1204" t="s">
        <v>2163</v>
      </c>
      <c r="O68" s="2165"/>
      <c r="P68" s="1013"/>
      <c r="Q68" s="1014"/>
      <c r="R68" s="1015"/>
      <c r="S68" s="1013"/>
      <c r="T68" s="1016"/>
      <c r="U68" s="1016"/>
      <c r="V68" s="1016"/>
      <c r="W68" s="1017"/>
      <c r="X68" s="1016"/>
      <c r="Y68" s="1121">
        <v>1</v>
      </c>
      <c r="Z68" s="1008">
        <f t="shared" si="14"/>
        <v>2</v>
      </c>
      <c r="AA68" s="1235">
        <f t="shared" si="49"/>
        <v>1</v>
      </c>
      <c r="AB68" s="1233">
        <v>0.2</v>
      </c>
      <c r="AC68" s="881">
        <v>0</v>
      </c>
      <c r="AD68" s="472">
        <v>0</v>
      </c>
      <c r="AE68" s="522">
        <v>0</v>
      </c>
      <c r="AF68" s="359">
        <v>500000000</v>
      </c>
      <c r="AG68" s="997">
        <v>0</v>
      </c>
      <c r="AH68" s="2116"/>
      <c r="AI68" s="1993" t="e">
        <f t="shared" si="4"/>
        <v>#DIV/0!</v>
      </c>
      <c r="AJ68" s="359">
        <v>25000000</v>
      </c>
      <c r="AK68" s="359">
        <v>0</v>
      </c>
      <c r="AL68" s="1031"/>
      <c r="AM68" s="1008" t="e">
        <f t="shared" si="6"/>
        <v>#DIV/0!</v>
      </c>
      <c r="AN68" s="997">
        <f t="shared" si="47"/>
        <v>0</v>
      </c>
      <c r="AO68" s="1063">
        <v>475000000</v>
      </c>
      <c r="AP68" s="359">
        <v>475000000</v>
      </c>
      <c r="AQ68" s="1031"/>
      <c r="AR68" s="1031"/>
      <c r="AS68" s="1089" t="e">
        <f t="shared" si="7"/>
        <v>#DIV/0!</v>
      </c>
      <c r="AT68" s="1118">
        <v>600000000</v>
      </c>
      <c r="AU68" s="993">
        <f t="shared" si="48"/>
        <v>500000000</v>
      </c>
      <c r="AV68" s="1115">
        <f t="shared" si="9"/>
        <v>0.83333333333333337</v>
      </c>
      <c r="AW68" s="1116"/>
      <c r="AX68" s="1119"/>
      <c r="AY68" s="152" t="s">
        <v>302</v>
      </c>
      <c r="AZ68" s="1236" t="s">
        <v>902</v>
      </c>
      <c r="BA68" s="93"/>
      <c r="BB68" s="93"/>
    </row>
    <row r="69" spans="1:54" ht="105" customHeight="1" thickBot="1">
      <c r="A69" s="1237" t="s">
        <v>553</v>
      </c>
      <c r="B69" s="1238" t="s">
        <v>744</v>
      </c>
      <c r="C69" s="1239">
        <v>2</v>
      </c>
      <c r="D69" s="827">
        <v>0</v>
      </c>
      <c r="E69" s="390">
        <v>2</v>
      </c>
      <c r="F69" s="870">
        <v>0</v>
      </c>
      <c r="G69" s="860" t="s">
        <v>2163</v>
      </c>
      <c r="H69" s="147">
        <v>2</v>
      </c>
      <c r="I69" s="860">
        <v>2</v>
      </c>
      <c r="J69" s="860">
        <v>2</v>
      </c>
      <c r="K69" s="860"/>
      <c r="L69" s="1021">
        <f>IF((F69+I69)/C69&gt;=100%,100%,(F69+I69)/C69)</f>
        <v>1</v>
      </c>
      <c r="M69" s="1204" t="s">
        <v>2163</v>
      </c>
      <c r="N69" s="821">
        <f t="shared" si="43"/>
        <v>1</v>
      </c>
      <c r="O69" s="2165" t="s">
        <v>2290</v>
      </c>
      <c r="P69"/>
      <c r="Q69" s="1085" t="s">
        <v>2281</v>
      </c>
      <c r="R69" s="1086"/>
      <c r="S69" s="1084" t="s">
        <v>2282</v>
      </c>
      <c r="T69" s="1087">
        <v>295</v>
      </c>
      <c r="U69" s="181"/>
      <c r="V69" s="181"/>
      <c r="W69" s="1024"/>
      <c r="X69" s="181"/>
      <c r="Y69" s="236">
        <v>7</v>
      </c>
      <c r="Z69" s="1130">
        <f t="shared" si="14"/>
        <v>6</v>
      </c>
      <c r="AA69" s="1240">
        <f t="shared" si="49"/>
        <v>0.8571428571428571</v>
      </c>
      <c r="AB69" s="1241">
        <v>0.3</v>
      </c>
      <c r="AC69" s="477">
        <v>0</v>
      </c>
      <c r="AD69" s="472">
        <v>0.4</v>
      </c>
      <c r="AE69" s="1242">
        <v>400000000</v>
      </c>
      <c r="AF69" s="1028">
        <v>397500000</v>
      </c>
      <c r="AG69" s="2053">
        <v>0</v>
      </c>
      <c r="AH69" s="2116">
        <v>399556707</v>
      </c>
      <c r="AI69" s="1995">
        <f t="shared" si="4"/>
        <v>0.99889176749999997</v>
      </c>
      <c r="AJ69" s="1028">
        <v>17500000</v>
      </c>
      <c r="AK69" s="1028">
        <v>0</v>
      </c>
      <c r="AL69" s="1031">
        <v>397014364</v>
      </c>
      <c r="AM69" s="1026">
        <f t="shared" si="6"/>
        <v>0.99253590999999997</v>
      </c>
      <c r="AN69" s="997">
        <f t="shared" si="47"/>
        <v>2542343</v>
      </c>
      <c r="AO69" s="1052">
        <v>380000000</v>
      </c>
      <c r="AP69" s="1028">
        <v>380000000</v>
      </c>
      <c r="AQ69" s="1031"/>
      <c r="AR69" s="1031"/>
      <c r="AS69" s="1053" t="e">
        <f t="shared" si="7"/>
        <v>#DIV/0!</v>
      </c>
      <c r="AT69" s="1054">
        <v>1750000000</v>
      </c>
      <c r="AU69" s="993">
        <f t="shared" si="48"/>
        <v>794514364</v>
      </c>
      <c r="AV69" s="1139">
        <f t="shared" si="9"/>
        <v>0.45400820800000002</v>
      </c>
      <c r="AW69" s="175"/>
      <c r="AX69" s="173"/>
      <c r="AY69" s="189" t="s">
        <v>15</v>
      </c>
      <c r="AZ69" s="1243" t="s">
        <v>901</v>
      </c>
      <c r="BA69" s="1244"/>
      <c r="BB69" s="1245"/>
    </row>
    <row r="70" spans="1:54" s="617" customFormat="1" ht="54" customHeight="1" thickBot="1">
      <c r="A70" s="1065" t="s">
        <v>424</v>
      </c>
      <c r="B70" s="1066"/>
      <c r="C70" s="862"/>
      <c r="D70" s="835"/>
      <c r="E70" s="835"/>
      <c r="F70" s="835"/>
      <c r="G70" s="835"/>
      <c r="H70" s="835"/>
      <c r="I70" s="835"/>
      <c r="J70" s="862"/>
      <c r="K70" s="862"/>
      <c r="L70" s="1198">
        <f>+(L71*0%)+(L74*0%)+(L76*100%)</f>
        <v>0.8</v>
      </c>
      <c r="M70" s="1077">
        <f>+(M71*AC71)+(M74*AC74)+(M76*AC76)</f>
        <v>0.3</v>
      </c>
      <c r="N70" s="2023">
        <f>+(N71*AD71)+(N74*AD74)+(N76*AD76)</f>
        <v>0.6</v>
      </c>
      <c r="O70" s="948"/>
      <c r="P70" s="2163" t="s">
        <v>2291</v>
      </c>
      <c r="Q70" s="1071"/>
      <c r="R70" s="1069"/>
      <c r="S70" s="1069"/>
      <c r="T70" s="1071"/>
      <c r="U70" s="1071"/>
      <c r="V70" s="1071"/>
      <c r="W70" s="1072"/>
      <c r="X70" s="1071"/>
      <c r="Y70" s="1074"/>
      <c r="Z70" s="1075">
        <f t="shared" si="14"/>
        <v>0</v>
      </c>
      <c r="AA70" s="1246">
        <f>+(AA71*AB71)+(AA74*AB74)+(AA76*AB76)</f>
        <v>0.30499999999999994</v>
      </c>
      <c r="AB70" s="1077">
        <v>0.3</v>
      </c>
      <c r="AC70" s="883">
        <v>0.3</v>
      </c>
      <c r="AD70" s="470">
        <v>0.3</v>
      </c>
      <c r="AE70" s="1078">
        <v>1300000000</v>
      </c>
      <c r="AF70" s="1078">
        <f>+AF71+AF74+AF76</f>
        <v>837503911</v>
      </c>
      <c r="AG70" s="1066">
        <f>+AG71+AG74+AG76</f>
        <v>620295093.20000005</v>
      </c>
      <c r="AH70" s="2114">
        <f>+AH71+AH74+AH76</f>
        <v>1282434799</v>
      </c>
      <c r="AI70" s="1986">
        <f t="shared" si="4"/>
        <v>0.98648830692307687</v>
      </c>
      <c r="AJ70" s="1078">
        <f>+AJ71+AJ74+AJ76</f>
        <v>815040611</v>
      </c>
      <c r="AK70" s="1078">
        <f>+AK71+AK74+AK76</f>
        <v>272712026</v>
      </c>
      <c r="AL70" s="1078">
        <f>+AL71+AL74+AL76</f>
        <v>1269974824</v>
      </c>
      <c r="AM70" s="1247">
        <f t="shared" si="6"/>
        <v>0.97690371076923077</v>
      </c>
      <c r="AN70" s="1066">
        <f>+AN71+AN74+AN76</f>
        <v>12459975</v>
      </c>
      <c r="AO70" s="1069">
        <f>+AO71+AO74+AO76</f>
        <v>22463300</v>
      </c>
      <c r="AP70" s="1078">
        <f>+AP71+AP74+AP76</f>
        <v>20152235</v>
      </c>
      <c r="AQ70" s="1078">
        <f>+AQ71+AQ74+AQ76</f>
        <v>347583067.19999999</v>
      </c>
      <c r="AR70" s="1078">
        <f>+AR71+AR74+AR76</f>
        <v>126895135</v>
      </c>
      <c r="AS70" s="1080">
        <f t="shared" si="7"/>
        <v>0.36507858688922923</v>
      </c>
      <c r="AT70" s="1078">
        <f t="shared" ref="AT70:AU70" si="50">+AT71+AT74+AT76</f>
        <v>4850000000</v>
      </c>
      <c r="AU70" s="1078">
        <f t="shared" si="50"/>
        <v>2504774831</v>
      </c>
      <c r="AV70" s="1247">
        <f t="shared" si="9"/>
        <v>0.51644841876288661</v>
      </c>
      <c r="AW70" s="1071"/>
      <c r="AX70" s="1071" t="s">
        <v>299</v>
      </c>
      <c r="AY70" s="1069"/>
      <c r="AZ70" s="1066"/>
      <c r="BA70" s="1248"/>
      <c r="BB70" s="1248"/>
    </row>
    <row r="71" spans="1:54" ht="52.5" customHeight="1" thickBot="1">
      <c r="A71" s="961" t="s">
        <v>456</v>
      </c>
      <c r="B71" s="962"/>
      <c r="C71" s="861"/>
      <c r="D71" s="826"/>
      <c r="E71" s="826"/>
      <c r="F71" s="826"/>
      <c r="G71" s="826"/>
      <c r="H71" s="826"/>
      <c r="I71" s="826"/>
      <c r="J71" s="861"/>
      <c r="K71" s="861"/>
      <c r="L71" s="964">
        <v>0</v>
      </c>
      <c r="M71" s="964">
        <f>+SUMPRODUCT(M72:M73,AC72:AC73)</f>
        <v>1</v>
      </c>
      <c r="N71" s="964">
        <f>+SUMPRODUCT(N72:N73,AD72:AD73)</f>
        <v>1</v>
      </c>
      <c r="O71" s="965"/>
      <c r="P71" s="2163" t="s">
        <v>2292</v>
      </c>
      <c r="Q71" s="966"/>
      <c r="R71" s="965"/>
      <c r="S71" s="965"/>
      <c r="T71" s="966"/>
      <c r="U71" s="966"/>
      <c r="V71" s="966"/>
      <c r="W71" s="1099"/>
      <c r="X71" s="966"/>
      <c r="Y71" s="968"/>
      <c r="Z71" s="969">
        <f t="shared" si="14"/>
        <v>0</v>
      </c>
      <c r="AA71" s="1199">
        <f>+SUMPRODUCT(AA72:AA73,AB72:AB73)</f>
        <v>0.54999999999999993</v>
      </c>
      <c r="AB71" s="964">
        <v>0.3</v>
      </c>
      <c r="AC71" s="879">
        <v>0.3</v>
      </c>
      <c r="AD71" s="471">
        <v>0.3</v>
      </c>
      <c r="AE71" s="971">
        <v>550000000</v>
      </c>
      <c r="AF71" s="971">
        <f>SUM(AF72:AF73)</f>
        <v>0</v>
      </c>
      <c r="AG71" s="962">
        <f>SUM(AG72:AG73)</f>
        <v>98322560</v>
      </c>
      <c r="AH71" s="2115">
        <f>SUM(AH72:AH73)</f>
        <v>533159966</v>
      </c>
      <c r="AI71" s="1984">
        <f t="shared" si="4"/>
        <v>0.96938175636363633</v>
      </c>
      <c r="AJ71" s="971">
        <f>SUM(AJ72:AJ73)</f>
        <v>0</v>
      </c>
      <c r="AK71" s="971">
        <f>SUM(AK72:AK73)</f>
        <v>7145145</v>
      </c>
      <c r="AL71" s="971">
        <f>SUM(AL72:AL73)</f>
        <v>523928564</v>
      </c>
      <c r="AM71" s="1102">
        <f t="shared" si="6"/>
        <v>0.95259738909090907</v>
      </c>
      <c r="AN71" s="1146">
        <f>SUM(AN72:AN73)</f>
        <v>9231402</v>
      </c>
      <c r="AO71" s="1101">
        <f>SUM(AO72:AO73)</f>
        <v>0</v>
      </c>
      <c r="AP71" s="1143">
        <f>SUM(AP72:AP73)</f>
        <v>0</v>
      </c>
      <c r="AQ71" s="1143">
        <f>SUM(AQ72:AQ73)</f>
        <v>91177415</v>
      </c>
      <c r="AR71" s="1143">
        <f>SUM(AR72:AR73)</f>
        <v>91131343</v>
      </c>
      <c r="AS71" s="1173">
        <f t="shared" si="7"/>
        <v>0.99949469942748437</v>
      </c>
      <c r="AT71" s="1143">
        <f t="shared" ref="AT71:AU71" si="51">SUM(AT72:AT73)</f>
        <v>1450000000</v>
      </c>
      <c r="AU71" s="1143">
        <f t="shared" si="51"/>
        <v>622205052</v>
      </c>
      <c r="AV71" s="1102">
        <f t="shared" si="9"/>
        <v>0.42910693241379311</v>
      </c>
      <c r="AW71" s="974"/>
      <c r="AX71" s="975"/>
      <c r="AY71" s="283"/>
      <c r="AZ71" s="974"/>
      <c r="BA71" s="286"/>
      <c r="BB71" s="286"/>
    </row>
    <row r="72" spans="1:54" ht="95.25" customHeight="1">
      <c r="A72" s="325" t="s">
        <v>554</v>
      </c>
      <c r="B72" s="430" t="s">
        <v>745</v>
      </c>
      <c r="C72" s="1249">
        <v>0</v>
      </c>
      <c r="D72" s="391">
        <v>1</v>
      </c>
      <c r="E72" s="391">
        <v>1</v>
      </c>
      <c r="F72" s="978">
        <v>0</v>
      </c>
      <c r="G72" s="865">
        <v>1</v>
      </c>
      <c r="H72" s="147">
        <v>1</v>
      </c>
      <c r="I72" s="865"/>
      <c r="J72" s="865"/>
      <c r="K72" s="865"/>
      <c r="L72" s="1090" t="e">
        <f>IF((F72+I72)/C72&gt;=100%,100%,(F72+I72)/C72)</f>
        <v>#DIV/0!</v>
      </c>
      <c r="M72" s="1090">
        <f>IF((G72+J72)/D72&gt;=100%,100%,(G72+J72)/D72)</f>
        <v>1</v>
      </c>
      <c r="N72" s="821">
        <f>IF((H72/E72)&gt;=100%,100%,(H72/E72))</f>
        <v>1</v>
      </c>
      <c r="O72" s="2165" t="s">
        <v>2293</v>
      </c>
      <c r="P72" s="2164" t="s">
        <v>2294</v>
      </c>
      <c r="Q72" s="1085"/>
      <c r="R72" s="1086"/>
      <c r="S72" s="1084"/>
      <c r="T72" s="1252"/>
      <c r="U72" s="1252"/>
      <c r="V72" s="1252"/>
      <c r="W72" s="1088"/>
      <c r="X72" s="1252"/>
      <c r="Y72" s="1253">
        <v>3</v>
      </c>
      <c r="Z72" s="1059">
        <f t="shared" si="14"/>
        <v>2</v>
      </c>
      <c r="AA72" s="1104">
        <f>IF(Z72/Y72&gt;=100%,100%,Z72/Y72)</f>
        <v>0.66666666666666663</v>
      </c>
      <c r="AB72" s="1254">
        <v>0.3</v>
      </c>
      <c r="AC72" s="884">
        <v>1</v>
      </c>
      <c r="AD72" s="2026">
        <v>0.3</v>
      </c>
      <c r="AE72" s="1255">
        <v>150000000</v>
      </c>
      <c r="AF72" s="1256" t="s">
        <v>887</v>
      </c>
      <c r="AG72" s="2064">
        <v>98322560</v>
      </c>
      <c r="AH72" s="2123">
        <v>133603254</v>
      </c>
      <c r="AI72" s="2112">
        <f t="shared" si="4"/>
        <v>0.89068835999999996</v>
      </c>
      <c r="AJ72" s="1256" t="s">
        <v>887</v>
      </c>
      <c r="AK72" s="1255">
        <v>7145145</v>
      </c>
      <c r="AL72" s="1958">
        <v>126914145</v>
      </c>
      <c r="AM72" s="1257">
        <f t="shared" si="6"/>
        <v>0.84609429999999997</v>
      </c>
      <c r="AN72" s="997">
        <f t="shared" ref="AN72:AN73" si="52">+AH72-AL72</f>
        <v>6689109</v>
      </c>
      <c r="AO72" s="1258" t="s">
        <v>887</v>
      </c>
      <c r="AP72" s="1028">
        <v>0</v>
      </c>
      <c r="AQ72" s="2156">
        <v>91177415</v>
      </c>
      <c r="AR72" s="2156">
        <v>91131343</v>
      </c>
      <c r="AS72" s="1089">
        <f t="shared" si="7"/>
        <v>0.99949469942748437</v>
      </c>
      <c r="AT72" s="1110">
        <v>450000000</v>
      </c>
      <c r="AU72" s="993">
        <f>SUM(AJ72:AL72)+AP72+AR72</f>
        <v>225190633</v>
      </c>
      <c r="AV72" s="1257">
        <f t="shared" si="9"/>
        <v>0.50042362888888892</v>
      </c>
      <c r="AW72" s="1259"/>
      <c r="AX72" s="1111"/>
      <c r="AY72" s="190" t="s">
        <v>19</v>
      </c>
      <c r="AZ72" s="2307" t="s">
        <v>903</v>
      </c>
      <c r="BA72" s="1047"/>
      <c r="BB72" s="1047"/>
    </row>
    <row r="73" spans="1:54" ht="78.75" customHeight="1" thickBot="1">
      <c r="A73" s="1260" t="s">
        <v>555</v>
      </c>
      <c r="B73" s="1261" t="s">
        <v>746</v>
      </c>
      <c r="C73" s="1262">
        <v>0</v>
      </c>
      <c r="D73" s="828">
        <v>0</v>
      </c>
      <c r="E73" s="391">
        <v>2</v>
      </c>
      <c r="F73" s="870">
        <v>0</v>
      </c>
      <c r="G73" s="866" t="s">
        <v>2163</v>
      </c>
      <c r="H73" s="147">
        <v>2</v>
      </c>
      <c r="I73" s="866"/>
      <c r="J73" s="866"/>
      <c r="K73" s="866"/>
      <c r="L73" s="1139" t="e">
        <f>IF((F73+I73)/C73&gt;=100%,100%,(F73+I73)/C73)</f>
        <v>#DIV/0!</v>
      </c>
      <c r="M73" s="1204" t="s">
        <v>2163</v>
      </c>
      <c r="N73" s="821">
        <f t="shared" ref="N73:N78" si="53">IF((H73/E73)&gt;=100%,100%,(H73/E73))</f>
        <v>1</v>
      </c>
      <c r="O73" s="2165" t="s">
        <v>2295</v>
      </c>
      <c r="P73" s="1219"/>
      <c r="Q73" s="1085" t="s">
        <v>2281</v>
      </c>
      <c r="R73" s="1086"/>
      <c r="S73" s="1084" t="s">
        <v>2282</v>
      </c>
      <c r="T73" s="1087">
        <v>342</v>
      </c>
      <c r="U73" s="1222"/>
      <c r="V73" s="1222"/>
      <c r="W73" s="1223"/>
      <c r="X73" s="1222"/>
      <c r="Y73" s="1130">
        <v>4</v>
      </c>
      <c r="Z73" s="1130">
        <f t="shared" si="14"/>
        <v>2</v>
      </c>
      <c r="AA73" s="1131">
        <f>IF(Z73/Y73&gt;=100%,100%,Z73/Y73)</f>
        <v>0.5</v>
      </c>
      <c r="AB73" s="1263">
        <v>0.7</v>
      </c>
      <c r="AC73" s="885">
        <v>0</v>
      </c>
      <c r="AD73" s="2027">
        <v>0.7</v>
      </c>
      <c r="AE73" s="1264">
        <v>400000000</v>
      </c>
      <c r="AF73" s="1265" t="s">
        <v>887</v>
      </c>
      <c r="AG73" s="2065">
        <v>0</v>
      </c>
      <c r="AH73" s="2123">
        <v>399556712</v>
      </c>
      <c r="AI73" s="1997">
        <f t="shared" ref="AI73:AI136" si="54">+AH73/AE73</f>
        <v>0.99889178000000001</v>
      </c>
      <c r="AJ73" s="1265" t="s">
        <v>887</v>
      </c>
      <c r="AK73" s="1266">
        <v>0</v>
      </c>
      <c r="AL73" s="1958">
        <v>397014419</v>
      </c>
      <c r="AM73" s="1130">
        <f t="shared" ref="AM73:AM136" si="55">+AL73/AE73</f>
        <v>0.99253604750000002</v>
      </c>
      <c r="AN73" s="997">
        <f t="shared" si="52"/>
        <v>2542293</v>
      </c>
      <c r="AO73" s="1267" t="s">
        <v>887</v>
      </c>
      <c r="AP73" s="1028">
        <v>0</v>
      </c>
      <c r="AQ73" s="1959"/>
      <c r="AR73" s="1959"/>
      <c r="AS73" s="1136" t="e">
        <f t="shared" ref="AS73:AS136" si="56">+AR73/AQ73</f>
        <v>#DIV/0!</v>
      </c>
      <c r="AT73" s="1138">
        <v>1000000000</v>
      </c>
      <c r="AU73" s="993">
        <f>SUM(AJ73:AL73)+AP73+AR73</f>
        <v>397014419</v>
      </c>
      <c r="AV73" s="1139">
        <f t="shared" si="9"/>
        <v>0.39701441900000001</v>
      </c>
      <c r="AW73" s="1135"/>
      <c r="AX73" s="1140"/>
      <c r="AY73" s="189" t="s">
        <v>19</v>
      </c>
      <c r="AZ73" s="2307"/>
      <c r="BA73" s="1037"/>
      <c r="BB73" s="1037"/>
    </row>
    <row r="74" spans="1:54" ht="48" customHeight="1" thickBot="1">
      <c r="A74" s="961" t="s">
        <v>457</v>
      </c>
      <c r="B74" s="962"/>
      <c r="C74" s="861"/>
      <c r="D74" s="826"/>
      <c r="E74" s="223"/>
      <c r="F74" s="963"/>
      <c r="G74" s="861"/>
      <c r="H74" s="139"/>
      <c r="I74" s="861"/>
      <c r="J74" s="861"/>
      <c r="K74" s="861"/>
      <c r="L74" s="964">
        <v>0</v>
      </c>
      <c r="M74" s="964">
        <f>+SUMPRODUCT(M75:M75,AC75:AC75)</f>
        <v>0</v>
      </c>
      <c r="N74" s="964">
        <f>+SUMPRODUCT(N75:N75,AD75:AD75)</f>
        <v>0</v>
      </c>
      <c r="O74" s="965"/>
      <c r="P74" s="962"/>
      <c r="Q74" s="966"/>
      <c r="R74" s="965"/>
      <c r="S74" s="965"/>
      <c r="T74" s="966"/>
      <c r="U74" s="966"/>
      <c r="V74" s="966"/>
      <c r="W74" s="1099"/>
      <c r="X74" s="966"/>
      <c r="Y74" s="968"/>
      <c r="Z74" s="969">
        <f t="shared" si="14"/>
        <v>0</v>
      </c>
      <c r="AA74" s="1199">
        <f>+SUMPRODUCT(AA75:AA75,AB75:AB75)</f>
        <v>0</v>
      </c>
      <c r="AB74" s="964">
        <v>0.4</v>
      </c>
      <c r="AC74" s="879">
        <v>0</v>
      </c>
      <c r="AD74" s="471">
        <v>0.4</v>
      </c>
      <c r="AE74" s="971">
        <v>650000000</v>
      </c>
      <c r="AF74" s="971">
        <f>SUM(AF75:AF75)</f>
        <v>0</v>
      </c>
      <c r="AG74" s="962">
        <f>SUM(AG75:AG75)</f>
        <v>0</v>
      </c>
      <c r="AH74" s="2115">
        <f>SUM(AH75:AH75)</f>
        <v>649663517</v>
      </c>
      <c r="AI74" s="1984">
        <f t="shared" si="54"/>
        <v>0.99948233384615381</v>
      </c>
      <c r="AJ74" s="971">
        <f>SUM(AJ75:AJ75)</f>
        <v>0</v>
      </c>
      <c r="AK74" s="971">
        <f>SUM(AK75:AK75)</f>
        <v>0</v>
      </c>
      <c r="AL74" s="971">
        <f>SUM(AL75:AL75)</f>
        <v>648648936</v>
      </c>
      <c r="AM74" s="964">
        <f t="shared" si="55"/>
        <v>0.99792144000000005</v>
      </c>
      <c r="AN74" s="974">
        <f>SUM(AN75:AN75)</f>
        <v>1014581</v>
      </c>
      <c r="AO74" s="965">
        <f>SUM(AO75:AO75)</f>
        <v>0</v>
      </c>
      <c r="AP74" s="971">
        <f>SUM(AP75:AP75)</f>
        <v>0</v>
      </c>
      <c r="AQ74" s="971">
        <f>SUM(AQ75:AQ75)</f>
        <v>0</v>
      </c>
      <c r="AR74" s="971">
        <f>SUM(AR75:AR75)</f>
        <v>0</v>
      </c>
      <c r="AS74" s="967" t="e">
        <f t="shared" si="56"/>
        <v>#DIV/0!</v>
      </c>
      <c r="AT74" s="971">
        <f>SUM(AT75:AT75)</f>
        <v>2000000000</v>
      </c>
      <c r="AU74" s="971">
        <f>SUM(AU75:AU75)</f>
        <v>648648936</v>
      </c>
      <c r="AV74" s="964">
        <f t="shared" si="9"/>
        <v>0.32432446799999998</v>
      </c>
      <c r="AW74" s="974"/>
      <c r="AX74" s="975"/>
      <c r="AY74" s="283"/>
      <c r="AZ74" s="974"/>
      <c r="BA74" s="286"/>
      <c r="BB74" s="286"/>
    </row>
    <row r="75" spans="1:54" ht="63" customHeight="1" thickBot="1">
      <c r="A75" s="1268" t="s">
        <v>556</v>
      </c>
      <c r="B75" s="432" t="s">
        <v>747</v>
      </c>
      <c r="C75" s="1262">
        <v>0</v>
      </c>
      <c r="D75" s="828">
        <v>0</v>
      </c>
      <c r="E75" s="391">
        <v>1</v>
      </c>
      <c r="F75" s="1269">
        <v>0</v>
      </c>
      <c r="G75" s="867" t="s">
        <v>2163</v>
      </c>
      <c r="H75" s="147">
        <v>0</v>
      </c>
      <c r="I75" s="867"/>
      <c r="J75" s="867"/>
      <c r="K75" s="867"/>
      <c r="L75" s="1270" t="e">
        <f>IF((F75+I75)/C75&gt;=100%,100%,(F75+I75)/C75)</f>
        <v>#DIV/0!</v>
      </c>
      <c r="M75" s="1204" t="s">
        <v>2163</v>
      </c>
      <c r="N75" s="821">
        <f t="shared" si="53"/>
        <v>0</v>
      </c>
      <c r="O75" s="2165" t="s">
        <v>2296</v>
      </c>
      <c r="P75" s="1273"/>
      <c r="Q75" s="1085" t="s">
        <v>2281</v>
      </c>
      <c r="R75" s="1086"/>
      <c r="S75" s="1084" t="s">
        <v>2282</v>
      </c>
      <c r="T75" s="1087" t="s">
        <v>2297</v>
      </c>
      <c r="U75" s="1276"/>
      <c r="V75" s="1276"/>
      <c r="W75" s="1277"/>
      <c r="X75" s="1276"/>
      <c r="Y75" s="1278">
        <v>3</v>
      </c>
      <c r="Z75" s="1278">
        <f t="shared" si="14"/>
        <v>0</v>
      </c>
      <c r="AA75" s="1027">
        <f>IF(Z75/Y75&gt;=100%,100%,Z75/Y75)</f>
        <v>0</v>
      </c>
      <c r="AB75" s="1279">
        <v>1</v>
      </c>
      <c r="AC75" s="888">
        <v>0</v>
      </c>
      <c r="AD75" s="881">
        <v>1</v>
      </c>
      <c r="AE75" s="1280">
        <v>650000000</v>
      </c>
      <c r="AF75" s="1281" t="s">
        <v>887</v>
      </c>
      <c r="AG75" s="1959" t="s">
        <v>887</v>
      </c>
      <c r="AH75" s="2124">
        <v>649663517</v>
      </c>
      <c r="AI75" s="1985">
        <f t="shared" si="54"/>
        <v>0.99948233384615381</v>
      </c>
      <c r="AJ75" s="1281" t="s">
        <v>887</v>
      </c>
      <c r="AK75" s="1281" t="s">
        <v>887</v>
      </c>
      <c r="AL75" s="1959">
        <v>648648936</v>
      </c>
      <c r="AM75" s="1278">
        <f t="shared" si="55"/>
        <v>0.99792144000000005</v>
      </c>
      <c r="AN75" s="997">
        <f t="shared" ref="AN75" si="57">+AH75-AL75</f>
        <v>1014581</v>
      </c>
      <c r="AO75" s="1284" t="s">
        <v>887</v>
      </c>
      <c r="AP75" s="1028">
        <v>0</v>
      </c>
      <c r="AQ75" s="1959"/>
      <c r="AR75" s="1959"/>
      <c r="AS75" s="1053" t="e">
        <f t="shared" si="56"/>
        <v>#DIV/0!</v>
      </c>
      <c r="AT75" s="1285">
        <v>2000000000</v>
      </c>
      <c r="AU75" s="993">
        <f t="shared" ref="AU75:AU78" si="58">SUM(AJ75:AL75)+AR75+AP75</f>
        <v>648648936</v>
      </c>
      <c r="AV75" s="1257">
        <f t="shared" ref="AV75:AV138" si="59">+AU75/AT75</f>
        <v>0.32432446799999998</v>
      </c>
      <c r="AW75" s="1283"/>
      <c r="AX75" s="1286"/>
      <c r="AY75" s="1272" t="s">
        <v>19</v>
      </c>
      <c r="AZ75" s="1287" t="s">
        <v>905</v>
      </c>
      <c r="BA75" s="1175"/>
      <c r="BB75" s="1175"/>
    </row>
    <row r="76" spans="1:54" ht="46.5" customHeight="1" thickBot="1">
      <c r="A76" s="961" t="s">
        <v>458</v>
      </c>
      <c r="B76" s="962"/>
      <c r="C76" s="861"/>
      <c r="D76" s="826"/>
      <c r="E76" s="223"/>
      <c r="F76" s="963"/>
      <c r="G76" s="861"/>
      <c r="H76" s="139"/>
      <c r="I76" s="861"/>
      <c r="J76" s="861"/>
      <c r="K76" s="861"/>
      <c r="L76" s="964">
        <f>+(L77*AB77)+(L78*AB78)</f>
        <v>0.8</v>
      </c>
      <c r="M76" s="964">
        <f>+SUMPRODUCT(M77:M78,AC77:AC78)</f>
        <v>0</v>
      </c>
      <c r="N76" s="964">
        <f>+SUMPRODUCT(N77:N78,AD77:AD78)</f>
        <v>1</v>
      </c>
      <c r="O76" s="965"/>
      <c r="P76" s="962"/>
      <c r="Q76" s="1288"/>
      <c r="R76" s="1289"/>
      <c r="S76" s="962"/>
      <c r="T76" s="966"/>
      <c r="U76" s="966"/>
      <c r="V76" s="966"/>
      <c r="W76" s="1099"/>
      <c r="X76" s="966"/>
      <c r="Y76" s="968"/>
      <c r="Z76" s="969">
        <f t="shared" ref="Z76:Z139" si="60">SUM(F76:J76)</f>
        <v>0</v>
      </c>
      <c r="AA76" s="1199">
        <f>+SUMPRODUCT(AA77:AA78,AB77:AB78)</f>
        <v>0.46666666666666667</v>
      </c>
      <c r="AB76" s="964">
        <v>0.3</v>
      </c>
      <c r="AC76" s="879">
        <v>0.7</v>
      </c>
      <c r="AD76" s="471">
        <v>0.3</v>
      </c>
      <c r="AE76" s="971">
        <v>100000000</v>
      </c>
      <c r="AF76" s="971">
        <f>SUM(AF77:AF78)</f>
        <v>837503911</v>
      </c>
      <c r="AG76" s="962">
        <f>SUM(AG77:AG78)</f>
        <v>521972533.19999999</v>
      </c>
      <c r="AH76" s="2115">
        <f>SUM(AH77:AH78)</f>
        <v>99611316</v>
      </c>
      <c r="AI76" s="1984">
        <f t="shared" si="54"/>
        <v>0.99611316000000005</v>
      </c>
      <c r="AJ76" s="971">
        <f>SUM(AJ77:AJ78)</f>
        <v>815040611</v>
      </c>
      <c r="AK76" s="971">
        <f>SUM(AK77:AK78)</f>
        <v>265566881</v>
      </c>
      <c r="AL76" s="971">
        <f>SUM(AL77:AL78)</f>
        <v>97397324</v>
      </c>
      <c r="AM76" s="973">
        <f t="shared" si="55"/>
        <v>0.97397323999999996</v>
      </c>
      <c r="AN76" s="974">
        <f>SUM(AN77:AN78)</f>
        <v>2213992</v>
      </c>
      <c r="AO76" s="965">
        <f>SUM(AO77:AO78)</f>
        <v>22463300</v>
      </c>
      <c r="AP76" s="971">
        <f>SUM(AP77:AP78)</f>
        <v>20152235</v>
      </c>
      <c r="AQ76" s="971">
        <f>SUM(AQ77:AQ78)</f>
        <v>256405652.19999999</v>
      </c>
      <c r="AR76" s="971">
        <f>SUM(AR77:AR78)</f>
        <v>35763792</v>
      </c>
      <c r="AS76" s="967">
        <f t="shared" si="56"/>
        <v>0.13948129338468618</v>
      </c>
      <c r="AT76" s="971">
        <f>SUM(AT77:AT78)</f>
        <v>1400000000</v>
      </c>
      <c r="AU76" s="971">
        <f>SUM(AU77:AU78)</f>
        <v>1233920843</v>
      </c>
      <c r="AV76" s="973">
        <f t="shared" si="59"/>
        <v>0.88137203071428571</v>
      </c>
      <c r="AW76" s="975"/>
      <c r="AX76" s="975"/>
      <c r="AY76" s="283"/>
      <c r="AZ76" s="974"/>
      <c r="BA76" s="286"/>
      <c r="BB76" s="286"/>
    </row>
    <row r="77" spans="1:54" ht="81.75" customHeight="1">
      <c r="A77" s="327" t="s">
        <v>557</v>
      </c>
      <c r="B77" s="433" t="s">
        <v>748</v>
      </c>
      <c r="C77" s="1249">
        <v>2</v>
      </c>
      <c r="D77" s="391">
        <v>0</v>
      </c>
      <c r="E77" s="391">
        <v>0</v>
      </c>
      <c r="F77" s="978">
        <v>2</v>
      </c>
      <c r="G77" s="858" t="s">
        <v>2163</v>
      </c>
      <c r="H77" s="147">
        <v>0</v>
      </c>
      <c r="I77" s="858"/>
      <c r="J77" s="858"/>
      <c r="K77" s="858"/>
      <c r="L77" s="821">
        <f>IF((F77+I77)/C77&gt;=100%,100%,(F77+I77)/C77)</f>
        <v>1</v>
      </c>
      <c r="M77" s="1204" t="s">
        <v>2163</v>
      </c>
      <c r="N77" s="821" t="s">
        <v>2163</v>
      </c>
      <c r="O77" s="2165"/>
      <c r="P77" s="1084"/>
      <c r="Q77" s="1085"/>
      <c r="R77" s="1086"/>
      <c r="S77" s="1084"/>
      <c r="T77" s="1087"/>
      <c r="U77" s="1087"/>
      <c r="V77" s="1087"/>
      <c r="W77" s="1088"/>
      <c r="X77" s="1087"/>
      <c r="Y77" s="1253">
        <v>4</v>
      </c>
      <c r="Z77" s="1059">
        <f t="shared" si="60"/>
        <v>2</v>
      </c>
      <c r="AA77" s="1104">
        <f t="shared" ref="AA77:AA78" si="61">IF(Z77/Y77&gt;=100%,100%,Z77/Y77)</f>
        <v>0.5</v>
      </c>
      <c r="AB77" s="1291">
        <v>0.8</v>
      </c>
      <c r="AC77" s="884">
        <v>0</v>
      </c>
      <c r="AD77" s="472">
        <v>0</v>
      </c>
      <c r="AE77" s="1292">
        <v>0</v>
      </c>
      <c r="AF77" s="1292">
        <f>450000000+387503911</f>
        <v>837503911</v>
      </c>
      <c r="AG77" s="2066">
        <v>0</v>
      </c>
      <c r="AH77" s="2125">
        <v>0</v>
      </c>
      <c r="AI77" s="2112" t="e">
        <f t="shared" si="54"/>
        <v>#DIV/0!</v>
      </c>
      <c r="AJ77" s="1292">
        <v>815040611</v>
      </c>
      <c r="AK77" s="1292">
        <v>0</v>
      </c>
      <c r="AL77" s="1960"/>
      <c r="AM77" s="1059" t="e">
        <f t="shared" si="55"/>
        <v>#DIV/0!</v>
      </c>
      <c r="AN77" s="997">
        <f t="shared" ref="AN77:AN78" si="62">+AH77-AL77</f>
        <v>0</v>
      </c>
      <c r="AO77" s="1294">
        <v>22463300</v>
      </c>
      <c r="AP77" s="1292">
        <v>20152235</v>
      </c>
      <c r="AQ77" s="1960"/>
      <c r="AR77" s="1960"/>
      <c r="AS77" s="1089" t="e">
        <f t="shared" si="56"/>
        <v>#DIV/0!</v>
      </c>
      <c r="AT77" s="1109">
        <v>1000000000</v>
      </c>
      <c r="AU77" s="993">
        <f t="shared" si="58"/>
        <v>835192846</v>
      </c>
      <c r="AV77" s="1107">
        <f t="shared" si="59"/>
        <v>0.83519284599999999</v>
      </c>
      <c r="AW77" s="1111"/>
      <c r="AX77" s="191"/>
      <c r="AY77" s="190" t="s">
        <v>19</v>
      </c>
      <c r="AZ77" s="1295" t="s">
        <v>903</v>
      </c>
      <c r="BA77" s="1047"/>
      <c r="BB77" s="1047"/>
    </row>
    <row r="78" spans="1:54" ht="81" customHeight="1" thickBot="1">
      <c r="A78" s="1296" t="s">
        <v>558</v>
      </c>
      <c r="B78" s="1297" t="s">
        <v>749</v>
      </c>
      <c r="C78" s="1262">
        <v>1</v>
      </c>
      <c r="D78" s="828">
        <v>1</v>
      </c>
      <c r="E78" s="391">
        <v>1</v>
      </c>
      <c r="F78" s="870">
        <v>0</v>
      </c>
      <c r="G78" s="860">
        <v>0</v>
      </c>
      <c r="H78" s="147">
        <v>1</v>
      </c>
      <c r="I78" s="860"/>
      <c r="J78" s="860"/>
      <c r="K78" s="860"/>
      <c r="L78" s="1021">
        <f>IF((F78+I78)/C78&gt;=100%,100%,(F78+I78)/C78)</f>
        <v>0</v>
      </c>
      <c r="M78" s="1090">
        <f>IF((G78+J78)/D78&gt;=100%,100%,(G78+J78)/D78)</f>
        <v>0</v>
      </c>
      <c r="N78" s="821">
        <f t="shared" si="53"/>
        <v>1</v>
      </c>
      <c r="O78" s="2165" t="s">
        <v>2298</v>
      </c>
      <c r="P78" s="1251"/>
      <c r="Q78" s="1220"/>
      <c r="R78" s="1221"/>
      <c r="S78" s="1219"/>
      <c r="T78" s="1252"/>
      <c r="U78" s="1252"/>
      <c r="V78" s="1252"/>
      <c r="W78" s="1223"/>
      <c r="X78" s="1252"/>
      <c r="Y78" s="1130">
        <v>3</v>
      </c>
      <c r="Z78" s="1130">
        <f t="shared" si="60"/>
        <v>1</v>
      </c>
      <c r="AA78" s="1131">
        <f t="shared" si="61"/>
        <v>0.33333333333333331</v>
      </c>
      <c r="AB78" s="1298">
        <v>0.2</v>
      </c>
      <c r="AC78" s="885">
        <v>1</v>
      </c>
      <c r="AD78" s="472">
        <v>1</v>
      </c>
      <c r="AE78" s="1299">
        <v>100000000</v>
      </c>
      <c r="AF78" s="1300">
        <v>0</v>
      </c>
      <c r="AG78" s="2067">
        <v>521972533.19999999</v>
      </c>
      <c r="AH78" s="2125">
        <v>99611316</v>
      </c>
      <c r="AI78" s="1997">
        <f t="shared" si="54"/>
        <v>0.99611316000000005</v>
      </c>
      <c r="AJ78" s="1300">
        <v>0</v>
      </c>
      <c r="AK78" s="1300">
        <v>265566881</v>
      </c>
      <c r="AL78" s="1960">
        <v>97397324</v>
      </c>
      <c r="AM78" s="1134">
        <f t="shared" si="55"/>
        <v>0.97397323999999996</v>
      </c>
      <c r="AN78" s="997">
        <f t="shared" si="62"/>
        <v>2213992</v>
      </c>
      <c r="AO78" s="1302">
        <v>0</v>
      </c>
      <c r="AP78" s="1300">
        <v>0</v>
      </c>
      <c r="AQ78" s="1960">
        <v>256405652.19999999</v>
      </c>
      <c r="AR78" s="1960">
        <v>35763792</v>
      </c>
      <c r="AS78" s="1136">
        <f t="shared" si="56"/>
        <v>0.13948129338468618</v>
      </c>
      <c r="AT78" s="1951">
        <v>400000000</v>
      </c>
      <c r="AU78" s="993">
        <f t="shared" si="58"/>
        <v>398727997</v>
      </c>
      <c r="AV78" s="1134">
        <f t="shared" si="59"/>
        <v>0.99681999249999997</v>
      </c>
      <c r="AW78" s="1140"/>
      <c r="AX78" s="173"/>
      <c r="AY78" s="189" t="s">
        <v>19</v>
      </c>
      <c r="AZ78" s="1303" t="s">
        <v>903</v>
      </c>
      <c r="BA78" s="1037"/>
      <c r="BB78" s="1037"/>
    </row>
    <row r="79" spans="1:54" ht="90.75" customHeight="1" thickBot="1">
      <c r="A79" s="1065" t="s">
        <v>425</v>
      </c>
      <c r="B79" s="1304"/>
      <c r="C79" s="868"/>
      <c r="D79" s="829"/>
      <c r="E79" s="222"/>
      <c r="F79" s="1305"/>
      <c r="G79" s="868"/>
      <c r="H79" s="129"/>
      <c r="I79" s="868"/>
      <c r="J79" s="868"/>
      <c r="K79" s="868"/>
      <c r="L79" s="1306">
        <f>+(L80*70%)+(L92*0%)+(L97*30%)</f>
        <v>0.71299999999999997</v>
      </c>
      <c r="M79" s="1307">
        <f>+(M80*AC80)+(M92*AC92)+(M97*AC97)</f>
        <v>0.85649999999999993</v>
      </c>
      <c r="N79" s="1307">
        <f>+(N80*AD80)+(N92*AD92)+(N97*AD97)</f>
        <v>0.73899999999999988</v>
      </c>
      <c r="O79" s="948"/>
      <c r="P79" s="1304"/>
      <c r="Q79" s="1309"/>
      <c r="R79" s="1308"/>
      <c r="S79" s="1308"/>
      <c r="T79" s="1309"/>
      <c r="U79" s="1309"/>
      <c r="V79" s="1309"/>
      <c r="W79" s="1310"/>
      <c r="X79" s="1309"/>
      <c r="Y79" s="1311"/>
      <c r="Z79" s="1312">
        <f t="shared" si="60"/>
        <v>0</v>
      </c>
      <c r="AA79" s="1313">
        <f>+(AA80*AB80)+(AA92*AB92)+(AA97*AB97)</f>
        <v>0.59390894646337278</v>
      </c>
      <c r="AB79" s="1077">
        <v>0.4</v>
      </c>
      <c r="AC79" s="883">
        <v>0.4</v>
      </c>
      <c r="AD79" s="470">
        <v>0.4</v>
      </c>
      <c r="AE79" s="1078">
        <v>3145300000</v>
      </c>
      <c r="AF79" s="1078">
        <f>+AF80+AF92+AF97</f>
        <v>213135000</v>
      </c>
      <c r="AG79" s="1066">
        <f>+AG80+AG92+AG97</f>
        <v>2513740137</v>
      </c>
      <c r="AH79" s="2114">
        <f>+AH80+AH92+AH97</f>
        <v>3138727280</v>
      </c>
      <c r="AI79" s="1986">
        <f t="shared" si="54"/>
        <v>0.99791030426350424</v>
      </c>
      <c r="AJ79" s="1078">
        <f>+AJ80+AJ92+AJ97</f>
        <v>102200000</v>
      </c>
      <c r="AK79" s="1078">
        <f>+AK80+AK92+AK97</f>
        <v>1959280320</v>
      </c>
      <c r="AL79" s="1078">
        <f>+AL80+AL92+AL97</f>
        <v>3022454871</v>
      </c>
      <c r="AM79" s="1068">
        <f t="shared" si="55"/>
        <v>0.96094327123008938</v>
      </c>
      <c r="AN79" s="1066">
        <f>+AN80+AN92+AN97</f>
        <v>116272409</v>
      </c>
      <c r="AO79" s="1069">
        <f>+AO80+AO92+AO97</f>
        <v>110935000</v>
      </c>
      <c r="AP79" s="1078">
        <f>+AP80+AP92+AP97</f>
        <v>110935000</v>
      </c>
      <c r="AQ79" s="1078">
        <f>+AQ80+AQ92+AQ97</f>
        <v>554459817</v>
      </c>
      <c r="AR79" s="1078">
        <f>+AR80+AR92+AR97</f>
        <v>552311447</v>
      </c>
      <c r="AS79" s="1314">
        <f t="shared" si="56"/>
        <v>0.99612529179909892</v>
      </c>
      <c r="AT79" s="1078">
        <f t="shared" ref="AT79:AU79" si="63">+AT80+AT92+AT97</f>
        <v>12120000000</v>
      </c>
      <c r="AU79" s="1078">
        <f t="shared" si="63"/>
        <v>5747181638</v>
      </c>
      <c r="AV79" s="1077">
        <f t="shared" si="59"/>
        <v>0.47418990412541256</v>
      </c>
      <c r="AW79" s="1071"/>
      <c r="AX79" s="1071" t="s">
        <v>294</v>
      </c>
      <c r="AY79" s="1069"/>
      <c r="AZ79" s="1066"/>
      <c r="BA79" s="1315"/>
      <c r="BB79" s="1315"/>
    </row>
    <row r="80" spans="1:54" ht="55.5" customHeight="1" thickBot="1">
      <c r="A80" s="961" t="s">
        <v>459</v>
      </c>
      <c r="B80" s="962"/>
      <c r="C80" s="861"/>
      <c r="D80" s="826"/>
      <c r="E80" s="223"/>
      <c r="F80" s="963"/>
      <c r="G80" s="861"/>
      <c r="H80" s="139"/>
      <c r="I80" s="861"/>
      <c r="J80" s="861"/>
      <c r="K80" s="861"/>
      <c r="L80" s="964">
        <f>+(L81*17%)+(L83*18%)+(L88*24%)+(L90*21%)</f>
        <v>0.59</v>
      </c>
      <c r="M80" s="964">
        <f>+SUMPRODUCT(M81:M91,AC81:AC91)</f>
        <v>0.79500000000000004</v>
      </c>
      <c r="N80" s="964">
        <f>+SUMPRODUCT(N81:N91,AD81:AD91)</f>
        <v>0.87999999999999989</v>
      </c>
      <c r="O80" s="965"/>
      <c r="P80" s="962"/>
      <c r="Q80" s="966"/>
      <c r="R80" s="965"/>
      <c r="S80" s="965"/>
      <c r="T80" s="966"/>
      <c r="U80" s="966"/>
      <c r="V80" s="966"/>
      <c r="W80" s="1099"/>
      <c r="X80" s="966"/>
      <c r="Y80" s="968"/>
      <c r="Z80" s="969">
        <f t="shared" si="60"/>
        <v>0</v>
      </c>
      <c r="AA80" s="1199">
        <f>+SUMPRODUCT(AA81:AA91,AB81:AB91)</f>
        <v>0.57349990009990015</v>
      </c>
      <c r="AB80" s="964">
        <v>0.7</v>
      </c>
      <c r="AC80" s="879">
        <v>0.7</v>
      </c>
      <c r="AD80" s="471">
        <v>0.7</v>
      </c>
      <c r="AE80" s="971">
        <v>2720300000</v>
      </c>
      <c r="AF80" s="971">
        <f>SUM(AF81:AF91)</f>
        <v>124485000</v>
      </c>
      <c r="AG80" s="962">
        <f>SUM(AG81:AG91)</f>
        <v>1702980006</v>
      </c>
      <c r="AH80" s="2115">
        <f>SUM(AH81:AH91)</f>
        <v>2714064642</v>
      </c>
      <c r="AI80" s="1984">
        <f t="shared" si="54"/>
        <v>0.99770784178215643</v>
      </c>
      <c r="AJ80" s="971">
        <f>SUM(AJ81:AJ91)</f>
        <v>31500000</v>
      </c>
      <c r="AK80" s="971">
        <f>SUM(AK81:AK91)</f>
        <v>1488878058</v>
      </c>
      <c r="AL80" s="971">
        <f>SUM(AL81:AL91)</f>
        <v>2603319345</v>
      </c>
      <c r="AM80" s="973">
        <f t="shared" si="55"/>
        <v>0.95699714921148404</v>
      </c>
      <c r="AN80" s="974">
        <f>SUM(AN81:AN91)</f>
        <v>110745297</v>
      </c>
      <c r="AO80" s="965">
        <f>SUM(AO81:AO91)</f>
        <v>92985000</v>
      </c>
      <c r="AP80" s="971">
        <f>SUM(AP81:AP91)</f>
        <v>92985000</v>
      </c>
      <c r="AQ80" s="971">
        <f>SUM(AQ81:AQ91)</f>
        <v>214101948</v>
      </c>
      <c r="AR80" s="971">
        <f>SUM(AR81:AR91)</f>
        <v>213186143</v>
      </c>
      <c r="AS80" s="967">
        <f t="shared" si="56"/>
        <v>0.99572257511641138</v>
      </c>
      <c r="AT80" s="971">
        <f t="shared" ref="AT80:AU80" si="64">SUM(AT81:AT91)</f>
        <v>10160000000</v>
      </c>
      <c r="AU80" s="971">
        <f t="shared" si="64"/>
        <v>4429868546</v>
      </c>
      <c r="AV80" s="964">
        <f t="shared" si="59"/>
        <v>0.43601068366141732</v>
      </c>
      <c r="AW80" s="975"/>
      <c r="AX80" s="975"/>
      <c r="AY80" s="283"/>
      <c r="AZ80" s="974"/>
      <c r="BA80" s="286"/>
      <c r="BB80" s="286"/>
    </row>
    <row r="81" spans="1:54" ht="167.25" customHeight="1">
      <c r="A81" s="1316" t="s">
        <v>559</v>
      </c>
      <c r="B81" s="1317" t="s">
        <v>752</v>
      </c>
      <c r="C81" s="1202">
        <v>1</v>
      </c>
      <c r="D81" s="388">
        <v>2</v>
      </c>
      <c r="E81" s="388">
        <v>0</v>
      </c>
      <c r="F81" s="1203">
        <v>0</v>
      </c>
      <c r="G81" s="865">
        <v>0</v>
      </c>
      <c r="H81" s="147">
        <v>0</v>
      </c>
      <c r="I81" s="865">
        <v>1</v>
      </c>
      <c r="J81" s="865">
        <v>1</v>
      </c>
      <c r="K81" s="865"/>
      <c r="L81" s="1090">
        <f>IF((F81+I81)/C81&gt;=100%,100%,(F81+I81)/C81)</f>
        <v>1</v>
      </c>
      <c r="M81" s="1090">
        <f>IF((G81+J81)/D81&gt;=100%,100%,(G81+J81)/D81)</f>
        <v>0.5</v>
      </c>
      <c r="N81" s="821" t="s">
        <v>2163</v>
      </c>
      <c r="O81" s="2165"/>
      <c r="P81" s="1084"/>
      <c r="Q81" s="1085"/>
      <c r="R81" s="1086"/>
      <c r="S81" s="1084"/>
      <c r="T81" s="1087"/>
      <c r="U81" s="1087"/>
      <c r="V81" s="1087"/>
      <c r="W81" s="1088"/>
      <c r="X81" s="1087"/>
      <c r="Y81" s="1059">
        <v>3</v>
      </c>
      <c r="Z81" s="1059">
        <f t="shared" si="60"/>
        <v>2</v>
      </c>
      <c r="AA81" s="1104">
        <f>IF(Z81/Y81&gt;=100%,100%,Z81/Y81)</f>
        <v>0.66666666666666663</v>
      </c>
      <c r="AB81" s="478">
        <v>0.1</v>
      </c>
      <c r="AC81" s="884">
        <v>0.17</v>
      </c>
      <c r="AD81" s="472">
        <v>0</v>
      </c>
      <c r="AE81" s="527">
        <v>0</v>
      </c>
      <c r="AF81" s="360">
        <v>80985000</v>
      </c>
      <c r="AG81" s="989">
        <v>541127629</v>
      </c>
      <c r="AH81" s="2116">
        <v>0</v>
      </c>
      <c r="AI81" s="2112" t="e">
        <f t="shared" si="54"/>
        <v>#DIV/0!</v>
      </c>
      <c r="AJ81" s="360">
        <v>31500000</v>
      </c>
      <c r="AK81" s="360">
        <v>533734832</v>
      </c>
      <c r="AL81" s="1031"/>
      <c r="AM81" s="1107" t="e">
        <f t="shared" si="55"/>
        <v>#DIV/0!</v>
      </c>
      <c r="AN81" s="997">
        <f t="shared" ref="AN81:AN91" si="65">+AH81-AL81</f>
        <v>0</v>
      </c>
      <c r="AO81" s="1045">
        <v>49485000</v>
      </c>
      <c r="AP81" s="360">
        <v>49485000</v>
      </c>
      <c r="AQ81" s="1031">
        <v>7392797</v>
      </c>
      <c r="AR81" s="1031">
        <v>7129592</v>
      </c>
      <c r="AS81" s="1089">
        <f t="shared" si="56"/>
        <v>0.96439710166531012</v>
      </c>
      <c r="AT81" s="1110">
        <v>960000000</v>
      </c>
      <c r="AU81" s="993">
        <f t="shared" ref="AU81:AU91" si="66">SUM(AJ81:AL81)+AR81+AP81</f>
        <v>621849424</v>
      </c>
      <c r="AV81" s="1107">
        <f t="shared" si="59"/>
        <v>0.64775981666666671</v>
      </c>
      <c r="AW81" s="1111"/>
      <c r="AX81" s="1111"/>
      <c r="AY81" s="981" t="s">
        <v>14</v>
      </c>
      <c r="AZ81" s="427" t="s">
        <v>901</v>
      </c>
      <c r="BA81" s="1047"/>
      <c r="BB81" s="1047"/>
    </row>
    <row r="82" spans="1:54" ht="63" customHeight="1">
      <c r="A82" s="329" t="s">
        <v>560</v>
      </c>
      <c r="B82" s="435" t="s">
        <v>753</v>
      </c>
      <c r="C82" s="1202">
        <v>0</v>
      </c>
      <c r="D82" s="388">
        <v>0</v>
      </c>
      <c r="E82" s="388">
        <v>1</v>
      </c>
      <c r="F82" s="1009">
        <v>0</v>
      </c>
      <c r="G82" s="859">
        <v>0</v>
      </c>
      <c r="H82" s="679">
        <v>1</v>
      </c>
      <c r="I82" s="859"/>
      <c r="J82" s="859"/>
      <c r="K82" s="859"/>
      <c r="L82" s="1010" t="e">
        <f t="shared" ref="L82:L91" si="67">IF((F82+I82)/C82&gt;=100%,100%,(F82+I82)/C82)</f>
        <v>#DIV/0!</v>
      </c>
      <c r="M82" s="1204" t="s">
        <v>2163</v>
      </c>
      <c r="N82" s="821">
        <f t="shared" ref="N82:N96" si="68">IF((H82/E82)&gt;=100%,100%,(H82/E82))</f>
        <v>1</v>
      </c>
      <c r="O82" s="2165" t="s">
        <v>2299</v>
      </c>
      <c r="P82" s="1013"/>
      <c r="Q82" s="2041" t="s">
        <v>2183</v>
      </c>
      <c r="R82" s="1015"/>
      <c r="S82" s="1013" t="s">
        <v>2182</v>
      </c>
      <c r="T82" s="2038" t="s">
        <v>2181</v>
      </c>
      <c r="U82" s="1016"/>
      <c r="V82" s="1016"/>
      <c r="W82" s="1017"/>
      <c r="X82" s="1016"/>
      <c r="Y82" s="1008">
        <v>3</v>
      </c>
      <c r="Z82" s="1008">
        <f t="shared" si="60"/>
        <v>1</v>
      </c>
      <c r="AA82" s="1104">
        <f t="shared" ref="AA82:AA84" si="69">IF(Z82/Y82&gt;=100%,100%,Z82/Y82)</f>
        <v>0.33333333333333331</v>
      </c>
      <c r="AB82" s="1178">
        <v>0.13</v>
      </c>
      <c r="AC82" s="881">
        <v>0</v>
      </c>
      <c r="AD82" s="2025">
        <v>0.16</v>
      </c>
      <c r="AE82" s="528">
        <v>350000000</v>
      </c>
      <c r="AF82" s="359">
        <v>0</v>
      </c>
      <c r="AG82" s="997">
        <v>0</v>
      </c>
      <c r="AH82" s="2116">
        <v>349413380</v>
      </c>
      <c r="AI82" s="1993">
        <f t="shared" si="54"/>
        <v>0.99832394285714288</v>
      </c>
      <c r="AJ82" s="359">
        <v>0</v>
      </c>
      <c r="AK82" s="359">
        <v>0</v>
      </c>
      <c r="AL82" s="1031">
        <v>346183084</v>
      </c>
      <c r="AM82" s="1008">
        <f t="shared" si="55"/>
        <v>0.98909452571428569</v>
      </c>
      <c r="AN82" s="997">
        <f t="shared" si="65"/>
        <v>3230296</v>
      </c>
      <c r="AO82" s="1063">
        <v>0</v>
      </c>
      <c r="AP82" s="359">
        <v>0</v>
      </c>
      <c r="AQ82" s="1031"/>
      <c r="AR82" s="1031"/>
      <c r="AS82" s="1089" t="e">
        <f t="shared" si="56"/>
        <v>#DIV/0!</v>
      </c>
      <c r="AT82" s="1118">
        <v>1200000000</v>
      </c>
      <c r="AU82" s="993">
        <f t="shared" si="66"/>
        <v>346183084</v>
      </c>
      <c r="AV82" s="1010">
        <f t="shared" si="59"/>
        <v>0.28848590333333335</v>
      </c>
      <c r="AW82" s="1119"/>
      <c r="AX82" s="1119"/>
      <c r="AY82" s="1012" t="s">
        <v>14</v>
      </c>
      <c r="AZ82" s="1209" t="s">
        <v>901</v>
      </c>
      <c r="BA82" s="93"/>
      <c r="BB82" s="93"/>
    </row>
    <row r="83" spans="1:54" ht="109.5" customHeight="1" thickBot="1">
      <c r="A83" s="329" t="s">
        <v>561</v>
      </c>
      <c r="B83" s="435" t="s">
        <v>754</v>
      </c>
      <c r="C83" s="1202">
        <v>0.1</v>
      </c>
      <c r="D83" s="388">
        <v>0.1</v>
      </c>
      <c r="E83" s="388">
        <v>100</v>
      </c>
      <c r="F83" s="1202">
        <v>0.1</v>
      </c>
      <c r="G83" s="388">
        <v>0.1</v>
      </c>
      <c r="H83" s="147">
        <v>100</v>
      </c>
      <c r="I83" s="859"/>
      <c r="J83" s="859">
        <v>0.1</v>
      </c>
      <c r="K83" s="859"/>
      <c r="L83" s="1010">
        <f t="shared" si="67"/>
        <v>1</v>
      </c>
      <c r="M83" s="1090">
        <f>IF((G83+J83)/D83&gt;=100%,100%,(G83+J83)/D83)</f>
        <v>1</v>
      </c>
      <c r="N83" s="821">
        <f t="shared" si="68"/>
        <v>1</v>
      </c>
      <c r="O83" s="2165" t="s">
        <v>2300</v>
      </c>
      <c r="P83" s="1013"/>
      <c r="Q83" s="2041" t="s">
        <v>2183</v>
      </c>
      <c r="R83" s="1015"/>
      <c r="S83" s="1013" t="s">
        <v>2182</v>
      </c>
      <c r="T83" s="2038">
        <v>294</v>
      </c>
      <c r="U83" s="1016"/>
      <c r="V83" s="1016"/>
      <c r="W83" s="1017"/>
      <c r="X83" s="1016"/>
      <c r="Y83" s="1008">
        <v>200.2</v>
      </c>
      <c r="Z83" s="1008">
        <f t="shared" si="60"/>
        <v>100.3</v>
      </c>
      <c r="AA83" s="1104">
        <f t="shared" si="69"/>
        <v>0.50099900099900097</v>
      </c>
      <c r="AB83" s="1178">
        <v>0.1</v>
      </c>
      <c r="AC83" s="881">
        <v>0.17</v>
      </c>
      <c r="AD83" s="2025">
        <v>0.13</v>
      </c>
      <c r="AE83" s="1319">
        <v>428000000</v>
      </c>
      <c r="AF83" s="1320">
        <v>43500000</v>
      </c>
      <c r="AG83" s="997">
        <v>57995812</v>
      </c>
      <c r="AH83" s="2116">
        <v>425207843</v>
      </c>
      <c r="AI83" s="1993">
        <f t="shared" si="54"/>
        <v>0.99347626869158878</v>
      </c>
      <c r="AJ83" s="1320">
        <v>0</v>
      </c>
      <c r="AK83" s="1319">
        <v>36224932</v>
      </c>
      <c r="AL83" s="1974">
        <v>422120093</v>
      </c>
      <c r="AM83" s="1010">
        <f t="shared" si="55"/>
        <v>0.98626189953271026</v>
      </c>
      <c r="AN83" s="997">
        <f t="shared" si="65"/>
        <v>3087750</v>
      </c>
      <c r="AO83" s="1063">
        <v>43500000</v>
      </c>
      <c r="AP83" s="359">
        <v>43500000</v>
      </c>
      <c r="AQ83" s="1031">
        <v>21770880</v>
      </c>
      <c r="AR83" s="1031">
        <v>21715850</v>
      </c>
      <c r="AS83" s="1089">
        <f t="shared" si="56"/>
        <v>0.99747231163829853</v>
      </c>
      <c r="AT83" s="1208">
        <v>1000000000</v>
      </c>
      <c r="AU83" s="993">
        <f t="shared" si="66"/>
        <v>523560875</v>
      </c>
      <c r="AV83" s="1010">
        <f t="shared" si="59"/>
        <v>0.52356087500000004</v>
      </c>
      <c r="AW83" s="1119"/>
      <c r="AX83" s="1119"/>
      <c r="AY83" s="1012" t="s">
        <v>18</v>
      </c>
      <c r="AZ83" s="1209" t="s">
        <v>901</v>
      </c>
      <c r="BA83" s="93"/>
      <c r="BB83" s="93"/>
    </row>
    <row r="84" spans="1:54" ht="51" customHeight="1">
      <c r="A84" s="329" t="s">
        <v>562</v>
      </c>
      <c r="B84" s="436" t="s">
        <v>750</v>
      </c>
      <c r="C84" s="1202">
        <v>0</v>
      </c>
      <c r="D84" s="388">
        <v>0</v>
      </c>
      <c r="E84" s="388">
        <v>50</v>
      </c>
      <c r="F84" s="1009">
        <v>0</v>
      </c>
      <c r="G84" s="859">
        <v>0</v>
      </c>
      <c r="H84" s="147">
        <v>63</v>
      </c>
      <c r="I84" s="859"/>
      <c r="J84" s="859"/>
      <c r="K84" s="859"/>
      <c r="L84" s="1010" t="e">
        <f t="shared" si="67"/>
        <v>#DIV/0!</v>
      </c>
      <c r="M84" s="1204" t="s">
        <v>2163</v>
      </c>
      <c r="N84" s="821">
        <f t="shared" si="68"/>
        <v>1</v>
      </c>
      <c r="O84" s="2165" t="s">
        <v>2301</v>
      </c>
      <c r="P84" s="1013"/>
      <c r="Q84" s="2037" t="s">
        <v>2170</v>
      </c>
      <c r="R84" s="2042" t="s">
        <v>2184</v>
      </c>
      <c r="S84" s="1013"/>
      <c r="T84" s="2042"/>
      <c r="U84" s="1016"/>
      <c r="V84" s="1016"/>
      <c r="W84" s="1017"/>
      <c r="X84" s="1016"/>
      <c r="Y84" s="1008">
        <v>100</v>
      </c>
      <c r="Z84" s="1008">
        <f t="shared" si="60"/>
        <v>63</v>
      </c>
      <c r="AA84" s="1104">
        <f t="shared" si="69"/>
        <v>0.63</v>
      </c>
      <c r="AB84" s="1178">
        <v>0.18</v>
      </c>
      <c r="AC84" s="881">
        <v>0</v>
      </c>
      <c r="AD84" s="2025">
        <v>0.21</v>
      </c>
      <c r="AE84" s="528">
        <v>67300000</v>
      </c>
      <c r="AF84" s="359">
        <v>0</v>
      </c>
      <c r="AG84" s="997">
        <v>0</v>
      </c>
      <c r="AH84" s="2116">
        <v>66525102</v>
      </c>
      <c r="AI84" s="1993">
        <f t="shared" si="54"/>
        <v>0.98848591381872219</v>
      </c>
      <c r="AJ84" s="359">
        <v>0</v>
      </c>
      <c r="AK84" s="359">
        <v>0</v>
      </c>
      <c r="AL84" s="1031">
        <v>63484848</v>
      </c>
      <c r="AM84" s="1008">
        <f t="shared" si="55"/>
        <v>0.94331126300148593</v>
      </c>
      <c r="AN84" s="997">
        <f t="shared" si="65"/>
        <v>3040254</v>
      </c>
      <c r="AO84" s="1063">
        <v>0</v>
      </c>
      <c r="AP84" s="359">
        <v>0</v>
      </c>
      <c r="AQ84" s="1031"/>
      <c r="AR84" s="1031"/>
      <c r="AS84" s="1089" t="e">
        <f t="shared" si="56"/>
        <v>#DIV/0!</v>
      </c>
      <c r="AT84" s="1118">
        <v>1700000000</v>
      </c>
      <c r="AU84" s="993">
        <f t="shared" si="66"/>
        <v>63484848</v>
      </c>
      <c r="AV84" s="1010">
        <f t="shared" si="59"/>
        <v>3.7344028235294119E-2</v>
      </c>
      <c r="AW84" s="1119"/>
      <c r="AX84" s="1119"/>
      <c r="AY84" s="1012" t="s">
        <v>302</v>
      </c>
      <c r="AZ84" s="1209" t="s">
        <v>906</v>
      </c>
      <c r="BA84" s="93"/>
      <c r="BB84" s="93"/>
    </row>
    <row r="85" spans="1:54" ht="46.5" customHeight="1">
      <c r="A85" s="329" t="s">
        <v>563</v>
      </c>
      <c r="B85" s="435" t="s">
        <v>755</v>
      </c>
      <c r="C85" s="1202">
        <v>0</v>
      </c>
      <c r="D85" s="388">
        <v>0</v>
      </c>
      <c r="E85" s="388">
        <v>750</v>
      </c>
      <c r="F85" s="1009">
        <v>0</v>
      </c>
      <c r="G85" s="859">
        <v>0</v>
      </c>
      <c r="H85" s="147">
        <v>0</v>
      </c>
      <c r="I85" s="859"/>
      <c r="J85" s="859"/>
      <c r="K85" s="859"/>
      <c r="L85" s="1010" t="e">
        <f t="shared" si="67"/>
        <v>#DIV/0!</v>
      </c>
      <c r="M85" s="1204" t="s">
        <v>2163</v>
      </c>
      <c r="N85" s="821">
        <f t="shared" si="68"/>
        <v>0</v>
      </c>
      <c r="O85" s="2165" t="s">
        <v>2302</v>
      </c>
      <c r="P85" s="1013"/>
      <c r="Q85" s="2037" t="s">
        <v>2170</v>
      </c>
      <c r="R85" s="2042" t="s">
        <v>2184</v>
      </c>
      <c r="S85" s="1013"/>
      <c r="T85" s="2042">
        <v>294</v>
      </c>
      <c r="U85" s="1016"/>
      <c r="V85" s="1016"/>
      <c r="W85" s="1017"/>
      <c r="X85" s="1016"/>
      <c r="Y85" s="1008">
        <v>1500</v>
      </c>
      <c r="Z85" s="1008">
        <f t="shared" si="60"/>
        <v>0</v>
      </c>
      <c r="AA85" s="1104">
        <f>IF(Z85/Y85&gt;=100%,100%,Z85/Y85)</f>
        <v>0</v>
      </c>
      <c r="AB85" s="1178">
        <v>0.1</v>
      </c>
      <c r="AC85" s="881">
        <v>0</v>
      </c>
      <c r="AD85" s="2025">
        <v>0.12</v>
      </c>
      <c r="AE85" s="528">
        <v>350000000</v>
      </c>
      <c r="AF85" s="359">
        <v>0</v>
      </c>
      <c r="AG85" s="997">
        <v>0</v>
      </c>
      <c r="AH85" s="2116">
        <v>349613127</v>
      </c>
      <c r="AI85" s="1993">
        <f t="shared" si="54"/>
        <v>0.99889464857142862</v>
      </c>
      <c r="AJ85" s="359">
        <v>0</v>
      </c>
      <c r="AK85" s="359">
        <v>0</v>
      </c>
      <c r="AL85" s="1031">
        <v>347348899</v>
      </c>
      <c r="AM85" s="1008">
        <f t="shared" si="55"/>
        <v>0.99242542571428571</v>
      </c>
      <c r="AN85" s="997">
        <f t="shared" si="65"/>
        <v>2264228</v>
      </c>
      <c r="AO85" s="1063">
        <v>0</v>
      </c>
      <c r="AP85" s="359">
        <v>0</v>
      </c>
      <c r="AQ85" s="1031"/>
      <c r="AR85" s="1031"/>
      <c r="AS85" s="1089" t="e">
        <f t="shared" si="56"/>
        <v>#DIV/0!</v>
      </c>
      <c r="AT85" s="1208">
        <v>1200000000</v>
      </c>
      <c r="AU85" s="993">
        <f t="shared" si="66"/>
        <v>347348899</v>
      </c>
      <c r="AV85" s="1010">
        <f t="shared" si="59"/>
        <v>0.28945741583333334</v>
      </c>
      <c r="AW85" s="1119"/>
      <c r="AX85" s="1119"/>
      <c r="AY85" s="1012" t="s">
        <v>11</v>
      </c>
      <c r="AZ85" s="1209" t="s">
        <v>906</v>
      </c>
      <c r="BA85" s="93"/>
      <c r="BB85" s="93"/>
    </row>
    <row r="86" spans="1:54" ht="57.75" customHeight="1">
      <c r="A86" s="329" t="s">
        <v>564</v>
      </c>
      <c r="B86" s="435" t="s">
        <v>756</v>
      </c>
      <c r="C86" s="1202">
        <v>0</v>
      </c>
      <c r="D86" s="388">
        <v>0</v>
      </c>
      <c r="E86" s="388">
        <v>2</v>
      </c>
      <c r="F86" s="1009">
        <v>0</v>
      </c>
      <c r="G86" s="859">
        <v>0</v>
      </c>
      <c r="H86" s="147">
        <v>2</v>
      </c>
      <c r="I86" s="859"/>
      <c r="J86" s="859"/>
      <c r="K86" s="859"/>
      <c r="L86" s="1010" t="e">
        <f t="shared" si="67"/>
        <v>#DIV/0!</v>
      </c>
      <c r="M86" s="1204" t="s">
        <v>2163</v>
      </c>
      <c r="N86" s="821">
        <f t="shared" si="68"/>
        <v>1</v>
      </c>
      <c r="O86" s="2165" t="s">
        <v>2303</v>
      </c>
      <c r="P86" s="1013"/>
      <c r="Q86" s="2041" t="s">
        <v>2183</v>
      </c>
      <c r="R86" s="1015"/>
      <c r="S86" s="1013" t="s">
        <v>2182</v>
      </c>
      <c r="T86" s="2043" t="s">
        <v>2185</v>
      </c>
      <c r="U86" s="1016"/>
      <c r="V86" s="1016"/>
      <c r="W86" s="1017"/>
      <c r="X86" s="1016"/>
      <c r="Y86" s="1008">
        <v>4</v>
      </c>
      <c r="Z86" s="1008">
        <f t="shared" si="60"/>
        <v>2</v>
      </c>
      <c r="AA86" s="1104">
        <f t="shared" ref="AA86:AA87" si="70">IF(Z86/Y86&gt;=100%,100%,Z86/Y86)</f>
        <v>0.5</v>
      </c>
      <c r="AB86" s="1178">
        <v>0.08</v>
      </c>
      <c r="AC86" s="881">
        <v>0</v>
      </c>
      <c r="AD86" s="2025">
        <v>0.12</v>
      </c>
      <c r="AE86" s="528">
        <v>350000000</v>
      </c>
      <c r="AF86" s="359">
        <v>0</v>
      </c>
      <c r="AG86" s="997">
        <v>0</v>
      </c>
      <c r="AH86" s="2116">
        <v>349613127</v>
      </c>
      <c r="AI86" s="1993">
        <f t="shared" si="54"/>
        <v>0.99889464857142862</v>
      </c>
      <c r="AJ86" s="359">
        <v>0</v>
      </c>
      <c r="AK86" s="359">
        <v>0</v>
      </c>
      <c r="AL86" s="1031">
        <v>347050299</v>
      </c>
      <c r="AM86" s="1008">
        <f t="shared" si="55"/>
        <v>0.99157228285714283</v>
      </c>
      <c r="AN86" s="997">
        <f t="shared" si="65"/>
        <v>2562828</v>
      </c>
      <c r="AO86" s="1063">
        <v>0</v>
      </c>
      <c r="AP86" s="359">
        <v>0</v>
      </c>
      <c r="AQ86" s="1031"/>
      <c r="AR86" s="1031"/>
      <c r="AS86" s="1089" t="e">
        <f t="shared" si="56"/>
        <v>#DIV/0!</v>
      </c>
      <c r="AT86" s="1208">
        <v>1200000000</v>
      </c>
      <c r="AU86" s="993">
        <f t="shared" si="66"/>
        <v>347050299</v>
      </c>
      <c r="AV86" s="1010">
        <f t="shared" si="59"/>
        <v>0.28920858249999998</v>
      </c>
      <c r="AW86" s="1119"/>
      <c r="AX86" s="1119"/>
      <c r="AY86" s="1012" t="s">
        <v>14</v>
      </c>
      <c r="AZ86" s="2308" t="s">
        <v>901</v>
      </c>
      <c r="BA86" s="93"/>
      <c r="BB86" s="93"/>
    </row>
    <row r="87" spans="1:54" ht="87" customHeight="1">
      <c r="A87" s="329" t="s">
        <v>566</v>
      </c>
      <c r="B87" s="435" t="s">
        <v>757</v>
      </c>
      <c r="C87" s="1202">
        <v>0</v>
      </c>
      <c r="D87" s="388">
        <v>2</v>
      </c>
      <c r="E87" s="388">
        <v>2</v>
      </c>
      <c r="F87" s="1009">
        <v>0</v>
      </c>
      <c r="G87" s="859">
        <v>2</v>
      </c>
      <c r="H87" s="147">
        <v>2</v>
      </c>
      <c r="I87" s="859"/>
      <c r="J87" s="859"/>
      <c r="K87" s="859"/>
      <c r="L87" s="1010" t="e">
        <f t="shared" si="67"/>
        <v>#DIV/0!</v>
      </c>
      <c r="M87" s="1090">
        <f>IF((G87+J87)/D87&gt;=100%,100%,(G87+J87)/D87)</f>
        <v>1</v>
      </c>
      <c r="N87" s="821">
        <f t="shared" si="68"/>
        <v>1</v>
      </c>
      <c r="O87" s="2165" t="s">
        <v>2304</v>
      </c>
      <c r="P87" s="1013"/>
      <c r="Q87" s="2041" t="s">
        <v>2183</v>
      </c>
      <c r="R87" s="1015"/>
      <c r="S87" s="1013" t="s">
        <v>2182</v>
      </c>
      <c r="T87" s="2043" t="s">
        <v>2185</v>
      </c>
      <c r="U87" s="1016"/>
      <c r="V87" s="1016"/>
      <c r="W87" s="1017"/>
      <c r="X87" s="1016"/>
      <c r="Y87" s="1008">
        <v>4</v>
      </c>
      <c r="Z87" s="1008">
        <f t="shared" si="60"/>
        <v>4</v>
      </c>
      <c r="AA87" s="1104">
        <f t="shared" si="70"/>
        <v>1</v>
      </c>
      <c r="AB87" s="1178">
        <v>0.08</v>
      </c>
      <c r="AC87" s="881">
        <v>0.15</v>
      </c>
      <c r="AD87" s="2025">
        <v>0.11</v>
      </c>
      <c r="AE87" s="527">
        <v>300000000</v>
      </c>
      <c r="AF87" s="359">
        <v>0</v>
      </c>
      <c r="AG87" s="997">
        <v>295651488</v>
      </c>
      <c r="AH87" s="2116">
        <v>299660398</v>
      </c>
      <c r="AI87" s="1993">
        <f t="shared" si="54"/>
        <v>0.99886799333333331</v>
      </c>
      <c r="AJ87" s="359">
        <v>0</v>
      </c>
      <c r="AK87" s="359">
        <v>163351145</v>
      </c>
      <c r="AL87" s="1031">
        <v>297396474</v>
      </c>
      <c r="AM87" s="1115">
        <f t="shared" si="55"/>
        <v>0.99132158000000004</v>
      </c>
      <c r="AN87" s="997">
        <f t="shared" si="65"/>
        <v>2263924</v>
      </c>
      <c r="AO87" s="1063">
        <v>0</v>
      </c>
      <c r="AP87" s="359">
        <v>0</v>
      </c>
      <c r="AQ87" s="1031">
        <v>132300343</v>
      </c>
      <c r="AR87" s="1031">
        <v>132171341</v>
      </c>
      <c r="AS87" s="1089">
        <f t="shared" si="56"/>
        <v>0.99902493072145704</v>
      </c>
      <c r="AT87" s="1118">
        <v>800000000</v>
      </c>
      <c r="AU87" s="993">
        <f t="shared" si="66"/>
        <v>592918960</v>
      </c>
      <c r="AV87" s="1010">
        <f t="shared" si="59"/>
        <v>0.74114869999999999</v>
      </c>
      <c r="AW87" s="1119"/>
      <c r="AX87" s="1119"/>
      <c r="AY87" s="1012" t="s">
        <v>14</v>
      </c>
      <c r="AZ87" s="2309"/>
      <c r="BA87" s="93"/>
      <c r="BB87" s="93"/>
    </row>
    <row r="88" spans="1:54" ht="117" customHeight="1">
      <c r="A88" s="329" t="s">
        <v>1487</v>
      </c>
      <c r="B88" s="435" t="s">
        <v>758</v>
      </c>
      <c r="C88" s="1202">
        <v>2</v>
      </c>
      <c r="D88" s="388">
        <v>2</v>
      </c>
      <c r="E88" s="388">
        <v>0</v>
      </c>
      <c r="F88" s="1009">
        <v>1</v>
      </c>
      <c r="G88" s="859">
        <v>2</v>
      </c>
      <c r="H88" s="147">
        <v>0</v>
      </c>
      <c r="I88" s="147">
        <v>1</v>
      </c>
      <c r="J88" s="859">
        <v>0</v>
      </c>
      <c r="K88" s="859"/>
      <c r="L88" s="1010">
        <f t="shared" si="67"/>
        <v>1</v>
      </c>
      <c r="M88" s="1090">
        <f>IF((G88+J88)/D88&gt;=100%,100%,(G88+J88)/D88)</f>
        <v>1</v>
      </c>
      <c r="N88" s="821" t="s">
        <v>2163</v>
      </c>
      <c r="O88" s="2165"/>
      <c r="P88" s="1013"/>
      <c r="Q88" s="1014"/>
      <c r="R88" s="1015"/>
      <c r="S88" s="1013"/>
      <c r="T88" s="1016"/>
      <c r="U88" s="1016"/>
      <c r="V88" s="1016"/>
      <c r="W88" s="1017"/>
      <c r="X88" s="1016"/>
      <c r="Y88" s="1008">
        <v>4</v>
      </c>
      <c r="Z88" s="1008">
        <f t="shared" si="60"/>
        <v>4</v>
      </c>
      <c r="AA88" s="1104">
        <f>IF(Z88/Y88&gt;=100%,100%,Z88/Y88)</f>
        <v>1</v>
      </c>
      <c r="AB88" s="1178">
        <v>0.08</v>
      </c>
      <c r="AC88" s="881">
        <v>0.15</v>
      </c>
      <c r="AD88" s="472">
        <v>0</v>
      </c>
      <c r="AE88" s="527">
        <v>0</v>
      </c>
      <c r="AF88" s="359">
        <v>0</v>
      </c>
      <c r="AG88" s="997">
        <v>345340879</v>
      </c>
      <c r="AH88" s="2116">
        <v>0</v>
      </c>
      <c r="AI88" s="1993" t="e">
        <f t="shared" si="54"/>
        <v>#DIV/0!</v>
      </c>
      <c r="AJ88" s="359">
        <v>0</v>
      </c>
      <c r="AK88" s="359">
        <v>313958452</v>
      </c>
      <c r="AL88" s="1031"/>
      <c r="AM88" s="1115" t="e">
        <f t="shared" si="55"/>
        <v>#DIV/0!</v>
      </c>
      <c r="AN88" s="997">
        <f t="shared" si="65"/>
        <v>0</v>
      </c>
      <c r="AO88" s="1063">
        <v>0</v>
      </c>
      <c r="AP88" s="359">
        <v>0</v>
      </c>
      <c r="AQ88" s="1031">
        <v>31382427</v>
      </c>
      <c r="AR88" s="1031">
        <v>31244211</v>
      </c>
      <c r="AS88" s="1089">
        <f t="shared" si="56"/>
        <v>0.99559575172436476</v>
      </c>
      <c r="AT88" s="1118">
        <v>800000000</v>
      </c>
      <c r="AU88" s="993">
        <f t="shared" si="66"/>
        <v>345202663</v>
      </c>
      <c r="AV88" s="1010">
        <f t="shared" si="59"/>
        <v>0.43150332875000003</v>
      </c>
      <c r="AW88" s="1119"/>
      <c r="AX88" s="1119"/>
      <c r="AY88" s="1012" t="s">
        <v>14</v>
      </c>
      <c r="AZ88" s="1209" t="s">
        <v>891</v>
      </c>
      <c r="BA88" s="93"/>
      <c r="BB88" s="93"/>
    </row>
    <row r="89" spans="1:54" ht="85.5" customHeight="1">
      <c r="A89" s="329" t="s">
        <v>567</v>
      </c>
      <c r="B89" s="435" t="s">
        <v>759</v>
      </c>
      <c r="C89" s="1202">
        <v>0</v>
      </c>
      <c r="D89" s="388">
        <v>2</v>
      </c>
      <c r="E89" s="390">
        <v>2</v>
      </c>
      <c r="F89" s="1009">
        <v>0</v>
      </c>
      <c r="G89" s="859">
        <v>2</v>
      </c>
      <c r="H89" s="147">
        <v>2</v>
      </c>
      <c r="I89" s="859"/>
      <c r="J89" s="859"/>
      <c r="K89" s="859"/>
      <c r="L89" s="1010" t="e">
        <f t="shared" si="67"/>
        <v>#DIV/0!</v>
      </c>
      <c r="M89" s="1090">
        <f>IF((G89+J89)/D89&gt;=100%,100%,(G89+J89)/D89)</f>
        <v>1</v>
      </c>
      <c r="N89" s="821">
        <f t="shared" si="68"/>
        <v>1</v>
      </c>
      <c r="O89" s="2165" t="s">
        <v>2305</v>
      </c>
      <c r="P89" s="1013"/>
      <c r="Q89" s="2041" t="s">
        <v>2183</v>
      </c>
      <c r="R89" s="1015"/>
      <c r="S89" s="1013" t="s">
        <v>2182</v>
      </c>
      <c r="T89" s="2043" t="s">
        <v>2306</v>
      </c>
      <c r="U89" s="1016"/>
      <c r="V89" s="1016"/>
      <c r="W89" s="1017"/>
      <c r="X89" s="1016"/>
      <c r="Y89" s="1008">
        <v>4</v>
      </c>
      <c r="Z89" s="1008">
        <f t="shared" si="60"/>
        <v>4</v>
      </c>
      <c r="AA89" s="1104">
        <f t="shared" ref="AA89:AA91" si="71">IF(Z89/Y89&gt;=100%,100%,Z89/Y89)</f>
        <v>1</v>
      </c>
      <c r="AB89" s="1178">
        <v>0.05</v>
      </c>
      <c r="AC89" s="881">
        <v>0.12</v>
      </c>
      <c r="AD89" s="2025">
        <v>0.08</v>
      </c>
      <c r="AE89" s="527">
        <v>700000000</v>
      </c>
      <c r="AF89" s="359">
        <v>0</v>
      </c>
      <c r="AG89" s="997">
        <v>247208620</v>
      </c>
      <c r="AH89" s="2116">
        <v>699225102</v>
      </c>
      <c r="AI89" s="1993">
        <f t="shared" si="54"/>
        <v>0.99889300285714289</v>
      </c>
      <c r="AJ89" s="359">
        <v>0</v>
      </c>
      <c r="AK89" s="359">
        <v>238066644</v>
      </c>
      <c r="AL89" s="1031">
        <v>665935670</v>
      </c>
      <c r="AM89" s="1115">
        <f t="shared" si="55"/>
        <v>0.95133667142857148</v>
      </c>
      <c r="AN89" s="997">
        <f t="shared" si="65"/>
        <v>33289432</v>
      </c>
      <c r="AO89" s="1063">
        <v>0</v>
      </c>
      <c r="AP89" s="359">
        <v>0</v>
      </c>
      <c r="AQ89" s="1031">
        <v>9141976</v>
      </c>
      <c r="AR89" s="1031">
        <v>8999836</v>
      </c>
      <c r="AS89" s="1089">
        <f t="shared" si="56"/>
        <v>0.98445193905562645</v>
      </c>
      <c r="AT89" s="1118">
        <v>400000000</v>
      </c>
      <c r="AU89" s="993">
        <f t="shared" si="66"/>
        <v>913002150</v>
      </c>
      <c r="AV89" s="1115">
        <f t="shared" si="59"/>
        <v>2.2825053749999999</v>
      </c>
      <c r="AW89" s="1119"/>
      <c r="AX89" s="1119"/>
      <c r="AY89" s="1012" t="s">
        <v>14</v>
      </c>
      <c r="AZ89" s="1209" t="s">
        <v>904</v>
      </c>
      <c r="BA89" s="93"/>
      <c r="BB89" s="93"/>
    </row>
    <row r="90" spans="1:54" ht="74.25" customHeight="1" thickBot="1">
      <c r="A90" s="329" t="s">
        <v>568</v>
      </c>
      <c r="B90" s="435" t="s">
        <v>760</v>
      </c>
      <c r="C90" s="1202">
        <v>1</v>
      </c>
      <c r="D90" s="388">
        <v>1</v>
      </c>
      <c r="E90" s="388">
        <v>0</v>
      </c>
      <c r="F90" s="1009">
        <v>0</v>
      </c>
      <c r="G90" s="859">
        <v>0</v>
      </c>
      <c r="H90" s="147">
        <v>0</v>
      </c>
      <c r="I90" s="859">
        <v>0</v>
      </c>
      <c r="J90" s="859">
        <v>0</v>
      </c>
      <c r="K90" s="859"/>
      <c r="L90" s="1010">
        <f t="shared" si="67"/>
        <v>0</v>
      </c>
      <c r="M90" s="1090">
        <f>IF((G90+J90)/D90&gt;=100%,100%,(G90+J90)/D90)</f>
        <v>0</v>
      </c>
      <c r="N90" s="821" t="s">
        <v>2163</v>
      </c>
      <c r="O90" s="2165"/>
      <c r="P90" s="1013"/>
      <c r="Q90" s="1014"/>
      <c r="R90" s="1015"/>
      <c r="S90" s="1013"/>
      <c r="T90" s="1016"/>
      <c r="U90" s="1016"/>
      <c r="V90" s="1016"/>
      <c r="W90" s="1017"/>
      <c r="X90" s="1016"/>
      <c r="Y90" s="1008">
        <v>2</v>
      </c>
      <c r="Z90" s="1008">
        <f t="shared" si="60"/>
        <v>0</v>
      </c>
      <c r="AA90" s="1104">
        <f t="shared" si="71"/>
        <v>0</v>
      </c>
      <c r="AB90" s="1178">
        <v>0.05</v>
      </c>
      <c r="AC90" s="881">
        <v>0.12</v>
      </c>
      <c r="AD90" s="472">
        <v>0</v>
      </c>
      <c r="AE90" s="527">
        <v>0</v>
      </c>
      <c r="AF90" s="359">
        <v>0</v>
      </c>
      <c r="AG90" s="997">
        <v>18451051</v>
      </c>
      <c r="AH90" s="2116">
        <v>0</v>
      </c>
      <c r="AI90" s="1993" t="e">
        <f t="shared" si="54"/>
        <v>#DIV/0!</v>
      </c>
      <c r="AJ90" s="359">
        <v>0</v>
      </c>
      <c r="AK90" s="359">
        <v>11676317</v>
      </c>
      <c r="AL90" s="1031"/>
      <c r="AM90" s="1010" t="e">
        <f t="shared" si="55"/>
        <v>#DIV/0!</v>
      </c>
      <c r="AN90" s="997">
        <f t="shared" si="65"/>
        <v>0</v>
      </c>
      <c r="AO90" s="1063">
        <v>0</v>
      </c>
      <c r="AP90" s="359">
        <v>0</v>
      </c>
      <c r="AQ90" s="1031">
        <v>6774734</v>
      </c>
      <c r="AR90" s="1031">
        <v>6669452</v>
      </c>
      <c r="AS90" s="1089">
        <f t="shared" si="56"/>
        <v>0.98445961125558579</v>
      </c>
      <c r="AT90" s="1118">
        <v>500000000</v>
      </c>
      <c r="AU90" s="993">
        <f t="shared" si="66"/>
        <v>18345769</v>
      </c>
      <c r="AV90" s="1010">
        <f t="shared" si="59"/>
        <v>3.6691538000000003E-2</v>
      </c>
      <c r="AW90" s="1119"/>
      <c r="AX90" s="1119"/>
      <c r="AY90" s="1012" t="s">
        <v>14</v>
      </c>
      <c r="AZ90" s="2310" t="s">
        <v>904</v>
      </c>
      <c r="BA90" s="93"/>
      <c r="BB90" s="93"/>
    </row>
    <row r="91" spans="1:54" ht="124.5" customHeight="1" thickBot="1">
      <c r="A91" s="1321" t="s">
        <v>569</v>
      </c>
      <c r="B91" s="1322" t="s">
        <v>751</v>
      </c>
      <c r="C91" s="1211">
        <v>0</v>
      </c>
      <c r="D91" s="389">
        <v>2</v>
      </c>
      <c r="E91" s="388">
        <v>2</v>
      </c>
      <c r="F91" s="1217">
        <v>0</v>
      </c>
      <c r="G91" s="866">
        <v>2</v>
      </c>
      <c r="H91" s="147">
        <v>2</v>
      </c>
      <c r="I91" s="866"/>
      <c r="J91" s="866"/>
      <c r="K91" s="866"/>
      <c r="L91" s="1139" t="e">
        <f t="shared" si="67"/>
        <v>#DIV/0!</v>
      </c>
      <c r="M91" s="1090">
        <f>IF((G91+J91)/D91&gt;=100%,100%,(G91+J91)/D91)</f>
        <v>1</v>
      </c>
      <c r="N91" s="821">
        <f t="shared" si="68"/>
        <v>1</v>
      </c>
      <c r="O91" s="2165" t="s">
        <v>2307</v>
      </c>
      <c r="P91" s="1219"/>
      <c r="Q91" s="2041" t="s">
        <v>2183</v>
      </c>
      <c r="R91" s="1015"/>
      <c r="S91" s="1013" t="s">
        <v>2182</v>
      </c>
      <c r="T91" s="2043" t="s">
        <v>2306</v>
      </c>
      <c r="U91" s="1222"/>
      <c r="V91" s="1222"/>
      <c r="W91" s="1223"/>
      <c r="X91" s="1222"/>
      <c r="Y91" s="1130">
        <v>4</v>
      </c>
      <c r="Z91" s="1130">
        <f t="shared" si="60"/>
        <v>4</v>
      </c>
      <c r="AA91" s="1131">
        <f t="shared" si="71"/>
        <v>1</v>
      </c>
      <c r="AB91" s="1183">
        <v>0.05</v>
      </c>
      <c r="AC91" s="885">
        <v>0.12</v>
      </c>
      <c r="AD91" s="2025">
        <v>7.0000000000000007E-2</v>
      </c>
      <c r="AE91" s="1323">
        <v>175000000</v>
      </c>
      <c r="AF91" s="1028">
        <v>0</v>
      </c>
      <c r="AG91" s="2053">
        <v>197204527</v>
      </c>
      <c r="AH91" s="2116">
        <v>174806563</v>
      </c>
      <c r="AI91" s="1997">
        <f t="shared" si="54"/>
        <v>0.99889464571428577</v>
      </c>
      <c r="AJ91" s="1028">
        <v>0</v>
      </c>
      <c r="AK91" s="1028">
        <v>191865736</v>
      </c>
      <c r="AL91" s="1031">
        <v>113799978</v>
      </c>
      <c r="AM91" s="1134">
        <f t="shared" si="55"/>
        <v>0.6502855885714286</v>
      </c>
      <c r="AN91" s="997">
        <f t="shared" si="65"/>
        <v>61006585</v>
      </c>
      <c r="AO91" s="1052">
        <v>0</v>
      </c>
      <c r="AP91" s="1028">
        <v>0</v>
      </c>
      <c r="AQ91" s="1031">
        <v>5338791</v>
      </c>
      <c r="AR91" s="1031">
        <v>5255861</v>
      </c>
      <c r="AS91" s="1136">
        <f t="shared" si="56"/>
        <v>0.98446652060363482</v>
      </c>
      <c r="AT91" s="1138">
        <v>400000000</v>
      </c>
      <c r="AU91" s="993">
        <f t="shared" si="66"/>
        <v>310921575</v>
      </c>
      <c r="AV91" s="1139">
        <f t="shared" si="59"/>
        <v>0.77730393750000004</v>
      </c>
      <c r="AW91" s="1140"/>
      <c r="AX91" s="1140"/>
      <c r="AY91" s="1141" t="s">
        <v>302</v>
      </c>
      <c r="AZ91" s="2289"/>
      <c r="BA91" s="1037"/>
      <c r="BB91" s="1037"/>
    </row>
    <row r="92" spans="1:54" ht="54" customHeight="1" thickBot="1">
      <c r="A92" s="961" t="s">
        <v>460</v>
      </c>
      <c r="B92" s="962"/>
      <c r="C92" s="861"/>
      <c r="D92" s="826"/>
      <c r="E92" s="223"/>
      <c r="F92" s="963"/>
      <c r="G92" s="861"/>
      <c r="H92" s="139"/>
      <c r="I92" s="861"/>
      <c r="J92" s="861"/>
      <c r="K92" s="861"/>
      <c r="L92" s="964">
        <v>0</v>
      </c>
      <c r="M92" s="964">
        <f>+SUMPRODUCT(M93:M96,AC93:AC96)</f>
        <v>1</v>
      </c>
      <c r="N92" s="964">
        <f>+SUMPRODUCT(N93:N96,AD93:AD96)</f>
        <v>0.61499999999999999</v>
      </c>
      <c r="O92" s="965"/>
      <c r="P92" s="962"/>
      <c r="Q92" s="966"/>
      <c r="R92" s="965"/>
      <c r="S92" s="965"/>
      <c r="T92" s="966"/>
      <c r="U92" s="966"/>
      <c r="V92" s="966"/>
      <c r="W92" s="1099"/>
      <c r="X92" s="966"/>
      <c r="Y92" s="968"/>
      <c r="Z92" s="969">
        <f t="shared" si="60"/>
        <v>0</v>
      </c>
      <c r="AA92" s="1199">
        <f>+SUMPRODUCT(AA93:AA96,AB93:AB96)</f>
        <v>0.71229508196721314</v>
      </c>
      <c r="AB92" s="964">
        <v>0.2</v>
      </c>
      <c r="AC92" s="879">
        <v>0.2</v>
      </c>
      <c r="AD92" s="471">
        <v>0.2</v>
      </c>
      <c r="AE92" s="971">
        <v>325000000</v>
      </c>
      <c r="AF92" s="971">
        <f>SUM(AF93:AF96)</f>
        <v>0</v>
      </c>
      <c r="AG92" s="962">
        <f>SUM(AG93:AG96)</f>
        <v>719594635</v>
      </c>
      <c r="AH92" s="2115">
        <f>SUM(AH93:AH96)</f>
        <v>324714322</v>
      </c>
      <c r="AI92" s="1984">
        <f t="shared" si="54"/>
        <v>0.99912099076923078</v>
      </c>
      <c r="AJ92" s="971">
        <f>SUM(AJ93:AJ96)</f>
        <v>0</v>
      </c>
      <c r="AK92" s="971">
        <f>SUM(AK93:AK96)</f>
        <v>396251203</v>
      </c>
      <c r="AL92" s="971">
        <f>SUM(AL93:AL96)</f>
        <v>320749853</v>
      </c>
      <c r="AM92" s="973">
        <f t="shared" si="55"/>
        <v>0.9869226246153846</v>
      </c>
      <c r="AN92" s="974">
        <f>SUM(AN93:AN96)</f>
        <v>3964469</v>
      </c>
      <c r="AO92" s="965">
        <f>SUM(AO93:AO96)</f>
        <v>0</v>
      </c>
      <c r="AP92" s="971">
        <f>SUM(AP93:AP96)</f>
        <v>0</v>
      </c>
      <c r="AQ92" s="971">
        <f>SUM(AQ93:AQ96)</f>
        <v>323343432</v>
      </c>
      <c r="AR92" s="971">
        <f>SUM(AR93:AR96)</f>
        <v>323034750</v>
      </c>
      <c r="AS92" s="967">
        <f t="shared" si="56"/>
        <v>0.9990453432188473</v>
      </c>
      <c r="AT92" s="971">
        <f>SUM(AT93:AT96)</f>
        <v>1560000000</v>
      </c>
      <c r="AU92" s="971">
        <f>SUM(AU93:AU96)</f>
        <v>1040035806</v>
      </c>
      <c r="AV92" s="1102">
        <f t="shared" si="59"/>
        <v>0.66668961923076919</v>
      </c>
      <c r="AW92" s="975"/>
      <c r="AX92" s="975"/>
      <c r="AY92" s="283"/>
      <c r="AZ92" s="974"/>
      <c r="BA92" s="286"/>
      <c r="BB92" s="286"/>
    </row>
    <row r="93" spans="1:54" ht="59.25" customHeight="1">
      <c r="A93" s="327" t="s">
        <v>570</v>
      </c>
      <c r="B93" s="430" t="s">
        <v>761</v>
      </c>
      <c r="C93" s="1249">
        <v>0</v>
      </c>
      <c r="D93" s="391">
        <v>1</v>
      </c>
      <c r="E93" s="391">
        <v>0</v>
      </c>
      <c r="F93" s="293">
        <v>0</v>
      </c>
      <c r="G93" s="858">
        <v>1</v>
      </c>
      <c r="H93" s="147">
        <v>0</v>
      </c>
      <c r="I93" s="858"/>
      <c r="J93" s="858"/>
      <c r="K93" s="858"/>
      <c r="L93" s="821" t="e">
        <f t="shared" ref="L93:M96" si="72">IF((F93+I93)/C93&gt;=100%,100%,(F93+I93)/C93)</f>
        <v>#DIV/0!</v>
      </c>
      <c r="M93" s="1090">
        <f t="shared" si="72"/>
        <v>1</v>
      </c>
      <c r="N93" s="821" t="s">
        <v>2163</v>
      </c>
      <c r="O93" s="2165"/>
      <c r="P93" s="982"/>
      <c r="Q93" s="983"/>
      <c r="R93" s="984"/>
      <c r="S93" s="982"/>
      <c r="T93" s="204"/>
      <c r="U93" s="204"/>
      <c r="V93" s="204"/>
      <c r="W93" s="985"/>
      <c r="X93" s="204"/>
      <c r="Y93" s="293">
        <v>1</v>
      </c>
      <c r="Z93" s="986">
        <f t="shared" si="60"/>
        <v>1</v>
      </c>
      <c r="AA93" s="153">
        <f t="shared" ref="AA93:AA96" si="73">IF(Z93/Y93&gt;=100%,100%,Z93/Y93)</f>
        <v>1</v>
      </c>
      <c r="AB93" s="478">
        <v>0.2</v>
      </c>
      <c r="AC93" s="473">
        <v>0.2</v>
      </c>
      <c r="AD93" s="475">
        <v>0</v>
      </c>
      <c r="AE93" s="526">
        <v>0</v>
      </c>
      <c r="AF93" s="360">
        <v>0</v>
      </c>
      <c r="AG93" s="2068">
        <v>148136352</v>
      </c>
      <c r="AH93" s="2126">
        <v>0</v>
      </c>
      <c r="AI93" s="2112" t="e">
        <f t="shared" si="54"/>
        <v>#DIV/0!</v>
      </c>
      <c r="AJ93" s="360">
        <v>0</v>
      </c>
      <c r="AK93" s="526">
        <v>140580493</v>
      </c>
      <c r="AL93" s="1299"/>
      <c r="AM93" s="1107" t="e">
        <f t="shared" si="55"/>
        <v>#DIV/0!</v>
      </c>
      <c r="AN93" s="997">
        <f t="shared" ref="AN93:AN96" si="74">+AH93-AL93</f>
        <v>0</v>
      </c>
      <c r="AO93" s="1045">
        <v>0</v>
      </c>
      <c r="AP93" s="360">
        <v>0</v>
      </c>
      <c r="AQ93" s="1031">
        <v>7555859</v>
      </c>
      <c r="AR93" s="1031">
        <v>7500573</v>
      </c>
      <c r="AS93" s="1089">
        <f t="shared" si="56"/>
        <v>0.99268302915657902</v>
      </c>
      <c r="AT93" s="1110">
        <v>150000000</v>
      </c>
      <c r="AU93" s="993">
        <f t="shared" ref="AU93:AU96" si="75">SUM(AJ93:AL93)+AR93+AP93</f>
        <v>148081066</v>
      </c>
      <c r="AV93" s="1107">
        <f t="shared" si="59"/>
        <v>0.98720710666666667</v>
      </c>
      <c r="AW93" s="1111"/>
      <c r="AX93" s="191"/>
      <c r="AY93" s="190" t="s">
        <v>23</v>
      </c>
      <c r="AZ93" s="2299" t="s">
        <v>901</v>
      </c>
      <c r="BA93" s="1047"/>
      <c r="BB93" s="1047"/>
    </row>
    <row r="94" spans="1:54" ht="80.25" customHeight="1">
      <c r="A94" s="327" t="s">
        <v>571</v>
      </c>
      <c r="B94" s="431" t="s">
        <v>762</v>
      </c>
      <c r="C94" s="1249">
        <v>0</v>
      </c>
      <c r="D94" s="391">
        <v>21</v>
      </c>
      <c r="E94" s="391">
        <v>20</v>
      </c>
      <c r="F94" s="293">
        <v>0</v>
      </c>
      <c r="G94" s="147">
        <v>27</v>
      </c>
      <c r="H94" s="147">
        <v>6</v>
      </c>
      <c r="I94" s="147"/>
      <c r="J94" s="147"/>
      <c r="K94" s="147"/>
      <c r="L94" s="180" t="e">
        <f t="shared" si="72"/>
        <v>#DIV/0!</v>
      </c>
      <c r="M94" s="1090">
        <f t="shared" si="72"/>
        <v>1</v>
      </c>
      <c r="N94" s="821">
        <f t="shared" si="68"/>
        <v>0.3</v>
      </c>
      <c r="O94" s="2165" t="s">
        <v>2308</v>
      </c>
      <c r="P94" s="146"/>
      <c r="Q94" s="2041" t="s">
        <v>2183</v>
      </c>
      <c r="R94" s="1015"/>
      <c r="S94" s="1013" t="s">
        <v>2182</v>
      </c>
      <c r="T94" s="2037" t="s">
        <v>2186</v>
      </c>
      <c r="U94" s="149"/>
      <c r="V94" s="149"/>
      <c r="W94" s="150"/>
      <c r="X94" s="149"/>
      <c r="Y94" s="228">
        <v>61</v>
      </c>
      <c r="Z94" s="242">
        <f t="shared" si="60"/>
        <v>33</v>
      </c>
      <c r="AA94" s="153">
        <f t="shared" si="73"/>
        <v>0.54098360655737709</v>
      </c>
      <c r="AB94" s="1178">
        <v>0.3</v>
      </c>
      <c r="AC94" s="475">
        <v>0.3</v>
      </c>
      <c r="AD94" s="2028">
        <v>0.55000000000000004</v>
      </c>
      <c r="AE94" s="530">
        <v>310000000</v>
      </c>
      <c r="AF94" s="359">
        <v>0</v>
      </c>
      <c r="AG94" s="2069">
        <v>206893921</v>
      </c>
      <c r="AH94" s="2126">
        <v>309778927</v>
      </c>
      <c r="AI94" s="1993">
        <f t="shared" si="54"/>
        <v>0.99928686129032263</v>
      </c>
      <c r="AJ94" s="359">
        <v>0</v>
      </c>
      <c r="AK94" s="530">
        <v>36560820</v>
      </c>
      <c r="AL94" s="1299">
        <v>308203832</v>
      </c>
      <c r="AM94" s="1010">
        <f t="shared" si="55"/>
        <v>0.9942059096774194</v>
      </c>
      <c r="AN94" s="997">
        <f t="shared" si="74"/>
        <v>1575095</v>
      </c>
      <c r="AO94" s="1063">
        <v>0</v>
      </c>
      <c r="AP94" s="359">
        <v>0</v>
      </c>
      <c r="AQ94" s="1031">
        <v>170333101</v>
      </c>
      <c r="AR94" s="1031">
        <v>170240957</v>
      </c>
      <c r="AS94" s="1089">
        <f t="shared" si="56"/>
        <v>0.99945903644412604</v>
      </c>
      <c r="AT94" s="1118">
        <v>610000000</v>
      </c>
      <c r="AU94" s="993">
        <f t="shared" si="75"/>
        <v>515005609</v>
      </c>
      <c r="AV94" s="1010">
        <f t="shared" si="59"/>
        <v>0.84427149016393443</v>
      </c>
      <c r="AW94" s="1119"/>
      <c r="AX94" s="157"/>
      <c r="AY94" s="152" t="s">
        <v>23</v>
      </c>
      <c r="AZ94" s="2289"/>
      <c r="BA94" s="93"/>
      <c r="BB94" s="93"/>
    </row>
    <row r="95" spans="1:54" ht="90" customHeight="1">
      <c r="A95" s="327" t="s">
        <v>572</v>
      </c>
      <c r="B95" s="431" t="s">
        <v>763</v>
      </c>
      <c r="C95" s="1249">
        <v>0</v>
      </c>
      <c r="D95" s="391">
        <v>1</v>
      </c>
      <c r="E95" s="391">
        <v>0</v>
      </c>
      <c r="F95" s="293">
        <v>0</v>
      </c>
      <c r="G95" s="147">
        <v>1</v>
      </c>
      <c r="H95" s="147">
        <v>0</v>
      </c>
      <c r="I95" s="147"/>
      <c r="J95" s="147"/>
      <c r="K95" s="147"/>
      <c r="L95" s="180" t="e">
        <f t="shared" si="72"/>
        <v>#DIV/0!</v>
      </c>
      <c r="M95" s="1090">
        <f t="shared" si="72"/>
        <v>1</v>
      </c>
      <c r="N95" s="821" t="s">
        <v>2163</v>
      </c>
      <c r="O95" s="2165"/>
      <c r="P95" s="146"/>
      <c r="Q95" s="101"/>
      <c r="R95" s="104"/>
      <c r="S95" s="146"/>
      <c r="T95" s="149"/>
      <c r="U95" s="149"/>
      <c r="V95" s="149"/>
      <c r="W95" s="150"/>
      <c r="X95" s="149"/>
      <c r="Y95" s="228">
        <v>2</v>
      </c>
      <c r="Z95" s="242">
        <f t="shared" si="60"/>
        <v>1</v>
      </c>
      <c r="AA95" s="153">
        <f t="shared" si="73"/>
        <v>0.5</v>
      </c>
      <c r="AB95" s="1178">
        <v>0.3</v>
      </c>
      <c r="AC95" s="475">
        <v>0.3</v>
      </c>
      <c r="AD95" s="475">
        <v>0</v>
      </c>
      <c r="AE95" s="530">
        <v>0</v>
      </c>
      <c r="AF95" s="359">
        <v>0</v>
      </c>
      <c r="AG95" s="2069">
        <v>216893921</v>
      </c>
      <c r="AH95" s="2126">
        <v>0</v>
      </c>
      <c r="AI95" s="1993" t="e">
        <f t="shared" si="54"/>
        <v>#DIV/0!</v>
      </c>
      <c r="AJ95" s="359">
        <v>0</v>
      </c>
      <c r="AK95" s="530">
        <v>210960820</v>
      </c>
      <c r="AL95" s="1299"/>
      <c r="AM95" s="1115" t="e">
        <f t="shared" si="55"/>
        <v>#DIV/0!</v>
      </c>
      <c r="AN95" s="997">
        <f t="shared" si="74"/>
        <v>0</v>
      </c>
      <c r="AO95" s="1063">
        <v>0</v>
      </c>
      <c r="AP95" s="359">
        <v>0</v>
      </c>
      <c r="AQ95" s="1031">
        <v>5933101</v>
      </c>
      <c r="AR95" s="1031">
        <v>5840957</v>
      </c>
      <c r="AS95" s="1089">
        <f t="shared" si="56"/>
        <v>0.98446950422721613</v>
      </c>
      <c r="AT95" s="1324">
        <v>500000000</v>
      </c>
      <c r="AU95" s="993">
        <f t="shared" si="75"/>
        <v>216801777</v>
      </c>
      <c r="AV95" s="1010">
        <f t="shared" si="59"/>
        <v>0.433603554</v>
      </c>
      <c r="AW95" s="1119"/>
      <c r="AX95" s="157"/>
      <c r="AY95" s="152" t="s">
        <v>23</v>
      </c>
      <c r="AZ95" s="2289"/>
      <c r="BA95" s="93"/>
      <c r="BB95" s="93"/>
    </row>
    <row r="96" spans="1:54" ht="75" customHeight="1" thickBot="1">
      <c r="A96" s="1296" t="s">
        <v>573</v>
      </c>
      <c r="B96" s="1261" t="s">
        <v>764</v>
      </c>
      <c r="C96" s="1262">
        <v>0</v>
      </c>
      <c r="D96" s="828">
        <v>1</v>
      </c>
      <c r="E96" s="391">
        <v>1</v>
      </c>
      <c r="F96" s="1325">
        <v>0</v>
      </c>
      <c r="G96" s="860">
        <v>1</v>
      </c>
      <c r="H96" s="147">
        <v>1</v>
      </c>
      <c r="I96" s="860"/>
      <c r="J96" s="860"/>
      <c r="K96" s="860"/>
      <c r="L96" s="1021" t="e">
        <f t="shared" si="72"/>
        <v>#DIV/0!</v>
      </c>
      <c r="M96" s="1090">
        <f t="shared" si="72"/>
        <v>1</v>
      </c>
      <c r="N96" s="821">
        <f t="shared" si="68"/>
        <v>1</v>
      </c>
      <c r="O96" s="2165" t="s">
        <v>2309</v>
      </c>
      <c r="P96" s="1273"/>
      <c r="Q96" s="2041" t="s">
        <v>2183</v>
      </c>
      <c r="R96" s="1015"/>
      <c r="S96" s="1013" t="s">
        <v>2182</v>
      </c>
      <c r="T96" s="2037" t="s">
        <v>2310</v>
      </c>
      <c r="U96" s="1276"/>
      <c r="V96" s="1276"/>
      <c r="W96" s="1024"/>
      <c r="X96" s="1276"/>
      <c r="Y96" s="1326">
        <v>2</v>
      </c>
      <c r="Z96" s="1026">
        <f t="shared" si="60"/>
        <v>2</v>
      </c>
      <c r="AA96" s="1027">
        <f t="shared" si="73"/>
        <v>1</v>
      </c>
      <c r="AB96" s="1183">
        <v>0.2</v>
      </c>
      <c r="AC96" s="889">
        <v>0.2</v>
      </c>
      <c r="AD96" s="2028">
        <v>0.45</v>
      </c>
      <c r="AE96" s="1327">
        <v>15000000</v>
      </c>
      <c r="AF96" s="1028">
        <v>0</v>
      </c>
      <c r="AG96" s="2070">
        <v>147670441</v>
      </c>
      <c r="AH96" s="2126">
        <v>14935395</v>
      </c>
      <c r="AI96" s="1997">
        <f t="shared" si="54"/>
        <v>0.99569300000000005</v>
      </c>
      <c r="AJ96" s="1028">
        <v>0</v>
      </c>
      <c r="AK96" s="1327">
        <v>8149070</v>
      </c>
      <c r="AL96" s="1299">
        <v>12546021</v>
      </c>
      <c r="AM96" s="1139">
        <f t="shared" si="55"/>
        <v>0.83640139999999996</v>
      </c>
      <c r="AN96" s="997">
        <f t="shared" si="74"/>
        <v>2389374</v>
      </c>
      <c r="AO96" s="1052">
        <v>0</v>
      </c>
      <c r="AP96" s="1028">
        <v>0</v>
      </c>
      <c r="AQ96" s="1031">
        <v>139521371</v>
      </c>
      <c r="AR96" s="1031">
        <v>139452263</v>
      </c>
      <c r="AS96" s="1136">
        <f t="shared" si="56"/>
        <v>0.99950467803244281</v>
      </c>
      <c r="AT96" s="1138">
        <v>300000000</v>
      </c>
      <c r="AU96" s="993">
        <f t="shared" si="75"/>
        <v>160147354</v>
      </c>
      <c r="AV96" s="1139">
        <f t="shared" si="59"/>
        <v>0.53382451333333336</v>
      </c>
      <c r="AW96" s="1328"/>
      <c r="AX96" s="173"/>
      <c r="AY96" s="189" t="s">
        <v>23</v>
      </c>
      <c r="AZ96" s="2289"/>
      <c r="BA96" s="1037"/>
      <c r="BB96" s="1037"/>
    </row>
    <row r="97" spans="1:54" ht="72.75" customHeight="1" thickBot="1">
      <c r="A97" s="961" t="s">
        <v>461</v>
      </c>
      <c r="B97" s="962"/>
      <c r="C97" s="861"/>
      <c r="D97" s="826"/>
      <c r="E97" s="223"/>
      <c r="F97" s="963"/>
      <c r="G97" s="861"/>
      <c r="H97" s="139"/>
      <c r="I97" s="861"/>
      <c r="J97" s="861"/>
      <c r="K97" s="861"/>
      <c r="L97" s="964">
        <f>+(L98*AB98)</f>
        <v>1</v>
      </c>
      <c r="M97" s="973">
        <f>+SUMPRODUCT(M98:M98,AC98:AC98)</f>
        <v>1</v>
      </c>
      <c r="N97" s="973">
        <f>+SUMPRODUCT(N98:N98,AD98:AD98)</f>
        <v>0</v>
      </c>
      <c r="O97" s="965"/>
      <c r="P97" s="962"/>
      <c r="Q97" s="966"/>
      <c r="R97" s="965"/>
      <c r="S97" s="965"/>
      <c r="T97" s="966"/>
      <c r="U97" s="966"/>
      <c r="V97" s="966"/>
      <c r="W97" s="1099"/>
      <c r="X97" s="966"/>
      <c r="Y97" s="968"/>
      <c r="Z97" s="969">
        <f t="shared" si="60"/>
        <v>0</v>
      </c>
      <c r="AA97" s="1199">
        <f>+SUMPRODUCT(AA98:AA98,AB98:AB98)</f>
        <v>0.5</v>
      </c>
      <c r="AB97" s="964">
        <v>0.1</v>
      </c>
      <c r="AC97" s="879">
        <v>0.1</v>
      </c>
      <c r="AD97" s="471">
        <v>0.1</v>
      </c>
      <c r="AE97" s="971">
        <v>100000000</v>
      </c>
      <c r="AF97" s="971">
        <f>SUM(AF98:AF98)</f>
        <v>88650000</v>
      </c>
      <c r="AG97" s="962">
        <f>SUM(AG98:AG98)</f>
        <v>91165496</v>
      </c>
      <c r="AH97" s="2115">
        <f>SUM(AH98:AH98)</f>
        <v>99948316</v>
      </c>
      <c r="AI97" s="1984">
        <f t="shared" si="54"/>
        <v>0.99948316000000004</v>
      </c>
      <c r="AJ97" s="971">
        <f>SUM(AJ98:AJ98)</f>
        <v>70700000</v>
      </c>
      <c r="AK97" s="971">
        <f>SUM(AK98:AK98)</f>
        <v>74151059</v>
      </c>
      <c r="AL97" s="971">
        <f>SUM(AL98:AL98)</f>
        <v>98385673</v>
      </c>
      <c r="AM97" s="973">
        <f t="shared" si="55"/>
        <v>0.98385672999999996</v>
      </c>
      <c r="AN97" s="974">
        <f>SUM(AN98:AN98)</f>
        <v>1562643</v>
      </c>
      <c r="AO97" s="965">
        <f>SUM(AO98:AO98)</f>
        <v>17950000</v>
      </c>
      <c r="AP97" s="971">
        <f>SUM(AP98:AP98)</f>
        <v>17950000</v>
      </c>
      <c r="AQ97" s="971">
        <f>SUM(AQ98:AQ98)</f>
        <v>17014437</v>
      </c>
      <c r="AR97" s="971">
        <f>SUM(AR98:AR98)</f>
        <v>16090554</v>
      </c>
      <c r="AS97" s="967">
        <f t="shared" si="56"/>
        <v>0.94570005460656736</v>
      </c>
      <c r="AT97" s="971">
        <f>SUM(AT98:AT98)</f>
        <v>400000000</v>
      </c>
      <c r="AU97" s="971">
        <f>SUM(AU98:AU98)</f>
        <v>277277286</v>
      </c>
      <c r="AV97" s="964">
        <f t="shared" si="59"/>
        <v>0.69319321499999997</v>
      </c>
      <c r="AW97" s="975"/>
      <c r="AX97" s="975"/>
      <c r="AY97" s="283"/>
      <c r="AZ97" s="974"/>
      <c r="BA97" s="286"/>
      <c r="BB97" s="286"/>
    </row>
    <row r="98" spans="1:54" ht="112.5" customHeight="1" thickBot="1">
      <c r="A98" s="1215" t="s">
        <v>574</v>
      </c>
      <c r="B98" s="1329" t="s">
        <v>765</v>
      </c>
      <c r="C98" s="1330">
        <v>1</v>
      </c>
      <c r="D98" s="830">
        <v>1</v>
      </c>
      <c r="E98" s="216">
        <v>1</v>
      </c>
      <c r="F98" s="1269">
        <v>1</v>
      </c>
      <c r="G98" s="867">
        <v>1</v>
      </c>
      <c r="H98" s="147">
        <v>0</v>
      </c>
      <c r="I98" s="867"/>
      <c r="J98" s="867"/>
      <c r="K98" s="867"/>
      <c r="L98" s="1270">
        <f t="shared" ref="L98" si="76">IF((F98+I98)/C98&gt;=100%,100%,(F98+I98)/C98)</f>
        <v>1</v>
      </c>
      <c r="M98" s="1090">
        <f>IF((G98+J98)/D98&gt;=100%,100%,(G98+J98)/D98)</f>
        <v>1</v>
      </c>
      <c r="N98" s="821">
        <f>IF((H98/E98)&gt;=100%,100%,(H98/E98))</f>
        <v>0</v>
      </c>
      <c r="O98" s="2165" t="s">
        <v>2311</v>
      </c>
      <c r="P98" s="1273"/>
      <c r="Q98" s="1274"/>
      <c r="R98" s="1275"/>
      <c r="S98" s="1273"/>
      <c r="T98" s="1276"/>
      <c r="U98" s="1276"/>
      <c r="V98" s="1276"/>
      <c r="W98" s="1277"/>
      <c r="X98" s="1276"/>
      <c r="Y98" s="1326">
        <v>4</v>
      </c>
      <c r="Z98" s="1278">
        <f t="shared" si="60"/>
        <v>2</v>
      </c>
      <c r="AA98" s="1027">
        <f t="shared" ref="AA98" si="77">IF(Z98/Y98&gt;=100%,100%,Z98/Y98)</f>
        <v>0.5</v>
      </c>
      <c r="AB98" s="1279">
        <v>1</v>
      </c>
      <c r="AC98" s="888">
        <v>1</v>
      </c>
      <c r="AD98" s="472">
        <v>1</v>
      </c>
      <c r="AE98" s="1332">
        <v>100000000</v>
      </c>
      <c r="AF98" s="1332">
        <v>88650000</v>
      </c>
      <c r="AG98" s="2071">
        <v>91165496</v>
      </c>
      <c r="AH98" s="2127">
        <v>99948316</v>
      </c>
      <c r="AI98" s="1985">
        <f t="shared" si="54"/>
        <v>0.99948316000000004</v>
      </c>
      <c r="AJ98" s="1332">
        <v>70700000</v>
      </c>
      <c r="AK98" s="1332">
        <v>74151059</v>
      </c>
      <c r="AL98" s="1332">
        <v>98385673</v>
      </c>
      <c r="AM98" s="1331">
        <f t="shared" si="55"/>
        <v>0.98385672999999996</v>
      </c>
      <c r="AN98" s="997">
        <f t="shared" ref="AN98" si="78">+AH98-AL98</f>
        <v>1562643</v>
      </c>
      <c r="AO98" s="1333">
        <v>17950000</v>
      </c>
      <c r="AP98" s="1332">
        <v>17950000</v>
      </c>
      <c r="AQ98" s="1332">
        <v>17014437</v>
      </c>
      <c r="AR98" s="1332">
        <v>16090554</v>
      </c>
      <c r="AS98" s="1053">
        <f t="shared" si="56"/>
        <v>0.94570005460656736</v>
      </c>
      <c r="AT98" s="1285">
        <v>400000000</v>
      </c>
      <c r="AU98" s="993">
        <f t="shared" ref="AU98" si="79">SUM(AJ98:AL98)+AR98+AP98</f>
        <v>277277286</v>
      </c>
      <c r="AV98" s="1257">
        <f t="shared" si="59"/>
        <v>0.69319321499999997</v>
      </c>
      <c r="AW98" s="1286"/>
      <c r="AX98" s="1286"/>
      <c r="AY98" s="1272" t="s">
        <v>302</v>
      </c>
      <c r="AZ98" s="1216" t="s">
        <v>901</v>
      </c>
      <c r="BA98" s="1175"/>
      <c r="BB98" s="1175"/>
    </row>
    <row r="99" spans="1:54" ht="54" customHeight="1" thickBot="1">
      <c r="A99" s="919" t="s">
        <v>885</v>
      </c>
      <c r="B99" s="1185"/>
      <c r="C99" s="869"/>
      <c r="D99" s="1186"/>
      <c r="E99" s="1186"/>
      <c r="F99" s="1186"/>
      <c r="G99" s="1186"/>
      <c r="H99" s="1186"/>
      <c r="I99" s="869"/>
      <c r="J99" s="869"/>
      <c r="K99" s="869"/>
      <c r="L99" s="924">
        <f>+(L100*AB100)+(L117*AB117)+(L134*AB134)+(L140*AB140)</f>
        <v>0.95625000000000004</v>
      </c>
      <c r="M99" s="924">
        <f>+(M100*AC100)+(M117*AC117)+(M134*AC134)+(M140*AC140)</f>
        <v>0.91249999999999998</v>
      </c>
      <c r="N99" s="924">
        <f>+(N100*AD100)+(N117*AD117)+(N134*AD134)+(N140*AD140)</f>
        <v>0.99124999999999996</v>
      </c>
      <c r="O99" s="925"/>
      <c r="P99" s="1334">
        <f>+(P100*AG100)</f>
        <v>0</v>
      </c>
      <c r="Q99" s="924">
        <f>+(Q100*AI100)</f>
        <v>0</v>
      </c>
      <c r="R99" s="924">
        <f>+(R100*AK100)</f>
        <v>0</v>
      </c>
      <c r="S99" s="924">
        <f>+(S100*AM100)</f>
        <v>0</v>
      </c>
      <c r="T99" s="924">
        <f>+(T100*AN100)</f>
        <v>0</v>
      </c>
      <c r="U99" s="924">
        <f>+(U100*AO100)</f>
        <v>0</v>
      </c>
      <c r="V99" s="924">
        <f>+(V100*AP100)</f>
        <v>0</v>
      </c>
      <c r="W99" s="924">
        <f>+(W100*AS100)</f>
        <v>0</v>
      </c>
      <c r="X99" s="924"/>
      <c r="Y99" s="924"/>
      <c r="Z99" s="924">
        <f t="shared" si="60"/>
        <v>0</v>
      </c>
      <c r="AA99" s="932">
        <f>+(AA100*AB100)+(AA117*AB117)+(AA134*AB134)+(AA140*AB140)</f>
        <v>0.79905268141945784</v>
      </c>
      <c r="AB99" s="933">
        <v>0.15</v>
      </c>
      <c r="AC99" s="877">
        <v>0.15</v>
      </c>
      <c r="AD99" s="877">
        <v>0.15</v>
      </c>
      <c r="AE99" s="934">
        <v>6025000000</v>
      </c>
      <c r="AF99" s="934">
        <f>+AF100+AF117+AF134+AF140</f>
        <v>1833038631</v>
      </c>
      <c r="AG99" s="2052">
        <f>+AG100+AG117+AG134+AG140</f>
        <v>5358674824.6800003</v>
      </c>
      <c r="AH99" s="2113">
        <f>+AH100+AH117+AH134+AH140</f>
        <v>5997286808.1599998</v>
      </c>
      <c r="AI99" s="1982">
        <f t="shared" si="54"/>
        <v>0.9954003001095435</v>
      </c>
      <c r="AJ99" s="934">
        <f>+AJ100+AJ117+AJ134+AJ140</f>
        <v>932124108</v>
      </c>
      <c r="AK99" s="934">
        <f>+AK100+AK117+AK134+AK140</f>
        <v>4196895217</v>
      </c>
      <c r="AL99" s="934">
        <f>+AL100+AL117+AL134+AL140</f>
        <v>3980728610</v>
      </c>
      <c r="AM99" s="936">
        <f t="shared" si="55"/>
        <v>0.66070184398340248</v>
      </c>
      <c r="AN99" s="920">
        <f>+AN100+AN117+AN134+AN140</f>
        <v>2016558198.1599998</v>
      </c>
      <c r="AO99" s="937">
        <f>+AO100+AO117+AO134+AO140</f>
        <v>900914523</v>
      </c>
      <c r="AP99" s="934">
        <f>+AP100+AP117+AP134+AP140</f>
        <v>751671583</v>
      </c>
      <c r="AQ99" s="934">
        <f>+AQ100+AQ117+AQ134+AQ140</f>
        <v>1161779607.6800001</v>
      </c>
      <c r="AR99" s="934">
        <f>+AR100+AR117+AR134+AR140</f>
        <v>1145236415.2</v>
      </c>
      <c r="AS99" s="1195">
        <f t="shared" si="56"/>
        <v>0.98576047266569278</v>
      </c>
      <c r="AT99" s="934">
        <f t="shared" ref="AT99:AU99" si="80">+AT100+AT117+AT134+AT140</f>
        <v>30000000000</v>
      </c>
      <c r="AU99" s="934">
        <f t="shared" si="80"/>
        <v>11006655933.200001</v>
      </c>
      <c r="AV99" s="933">
        <f t="shared" si="59"/>
        <v>0.36688853110666669</v>
      </c>
      <c r="AW99" s="939"/>
      <c r="AX99" s="939"/>
      <c r="AY99" s="937"/>
      <c r="AZ99" s="920"/>
      <c r="BA99" s="1196"/>
      <c r="BB99" s="1196"/>
    </row>
    <row r="100" spans="1:54" s="617" customFormat="1" ht="51" customHeight="1" thickBot="1">
      <c r="A100" s="1065" t="s">
        <v>426</v>
      </c>
      <c r="B100" s="1066"/>
      <c r="C100" s="862"/>
      <c r="D100" s="835"/>
      <c r="E100" s="835"/>
      <c r="F100" s="835"/>
      <c r="G100" s="835"/>
      <c r="H100" s="835"/>
      <c r="I100" s="862"/>
      <c r="J100" s="862"/>
      <c r="K100" s="862"/>
      <c r="L100" s="1198">
        <f>+(L101*AB101)+(L105*AB105)+(L111*AB111)+(L114*AB114)</f>
        <v>0.875</v>
      </c>
      <c r="M100" s="1068">
        <f>+(M101*AC101)+(M105*AC105)+(M111*AC111)+(M114*AC114)</f>
        <v>0.75</v>
      </c>
      <c r="N100" s="1068">
        <f>+(N101*AD101)+(N105*AD105)+(N111*AD111)+(N114*AD114)</f>
        <v>0.97499999999999998</v>
      </c>
      <c r="O100" s="948"/>
      <c r="P100" s="1066"/>
      <c r="Q100" s="1071"/>
      <c r="R100" s="1069"/>
      <c r="S100" s="1069"/>
      <c r="T100" s="1071"/>
      <c r="U100" s="1071"/>
      <c r="V100" s="1071"/>
      <c r="W100" s="1072"/>
      <c r="X100" s="1071"/>
      <c r="Y100" s="1074"/>
      <c r="Z100" s="1075">
        <f t="shared" si="60"/>
        <v>0</v>
      </c>
      <c r="AA100" s="1076">
        <f>+(AA101*AB101)+(AA105*AB105)+(AA111*AB111)+(AA114*AB114)</f>
        <v>0.737561232627022</v>
      </c>
      <c r="AB100" s="1077">
        <v>0.35</v>
      </c>
      <c r="AC100" s="883">
        <v>0.35</v>
      </c>
      <c r="AD100" s="470">
        <v>0.35</v>
      </c>
      <c r="AE100" s="1078">
        <v>2600000000</v>
      </c>
      <c r="AF100" s="1078">
        <f>+AF101+AF105+AF111+AF114</f>
        <v>833538631</v>
      </c>
      <c r="AG100" s="1066">
        <f>+AG101+AG105+AG111+AG114</f>
        <v>2288896506</v>
      </c>
      <c r="AH100" s="2114">
        <f>+AH101+AH105+AH111+AH114</f>
        <v>2591775980</v>
      </c>
      <c r="AI100" s="1986">
        <f t="shared" si="54"/>
        <v>0.99683691538461539</v>
      </c>
      <c r="AJ100" s="1078">
        <f>+AJ101+AJ105+AJ111+AJ114</f>
        <v>774874108</v>
      </c>
      <c r="AK100" s="1078">
        <f>+AK101+AK105+AK111+AK114</f>
        <v>1918434383</v>
      </c>
      <c r="AL100" s="1078">
        <f>+AL101+AL105+AL111+AL114</f>
        <v>1840500137</v>
      </c>
      <c r="AM100" s="1068">
        <f t="shared" si="55"/>
        <v>0.70788466807692307</v>
      </c>
      <c r="AN100" s="1066">
        <f>+AN101+AN105+AN111+AN114</f>
        <v>751275843</v>
      </c>
      <c r="AO100" s="1069">
        <f>+AO101+AO105+AO111+AO114</f>
        <v>58664523</v>
      </c>
      <c r="AP100" s="1078">
        <f>+AP101+AP105+AP111+AP114</f>
        <v>55671583</v>
      </c>
      <c r="AQ100" s="1078">
        <f>+AQ101+AQ105+AQ111+AQ114</f>
        <v>370462123</v>
      </c>
      <c r="AR100" s="1078">
        <f>+AR101+AR105+AR111+AR114</f>
        <v>362960328</v>
      </c>
      <c r="AS100" s="1080">
        <f t="shared" si="56"/>
        <v>0.97975017003290243</v>
      </c>
      <c r="AT100" s="1078">
        <f t="shared" ref="AT100:AU100" si="81">+AT101+AT105+AT111+AT114</f>
        <v>14030000000</v>
      </c>
      <c r="AU100" s="1078">
        <f t="shared" si="81"/>
        <v>4952440539</v>
      </c>
      <c r="AV100" s="1077">
        <f t="shared" si="59"/>
        <v>0.35298934704205276</v>
      </c>
      <c r="AW100" s="1071"/>
      <c r="AX100" s="1071" t="s">
        <v>300</v>
      </c>
      <c r="AY100" s="1069"/>
      <c r="AZ100" s="1066"/>
      <c r="BA100" s="1082"/>
      <c r="BB100" s="1082"/>
    </row>
    <row r="101" spans="1:54" ht="40.5" customHeight="1" thickBot="1">
      <c r="A101" s="961" t="s">
        <v>462</v>
      </c>
      <c r="B101" s="962"/>
      <c r="C101" s="861"/>
      <c r="D101" s="826"/>
      <c r="E101" s="826"/>
      <c r="F101" s="826"/>
      <c r="G101" s="826"/>
      <c r="H101" s="826"/>
      <c r="I101" s="861"/>
      <c r="J101" s="861"/>
      <c r="K101" s="861"/>
      <c r="L101" s="964">
        <f>+(L102*50%)+(L104*50%)</f>
        <v>0.5</v>
      </c>
      <c r="M101" s="973">
        <f>+SUMPRODUCT(M102:M104,AC102:AC104)</f>
        <v>0.25</v>
      </c>
      <c r="N101" s="973">
        <f>+SUMPRODUCT(N102:N104,AD102:AD104)</f>
        <v>0.9</v>
      </c>
      <c r="O101" s="965"/>
      <c r="P101" s="962"/>
      <c r="Q101" s="966"/>
      <c r="R101" s="965"/>
      <c r="S101" s="965"/>
      <c r="T101" s="966"/>
      <c r="U101" s="966"/>
      <c r="V101" s="966"/>
      <c r="W101" s="1099"/>
      <c r="X101" s="966"/>
      <c r="Y101" s="968"/>
      <c r="Z101" s="969">
        <f t="shared" si="60"/>
        <v>0</v>
      </c>
      <c r="AA101" s="1231">
        <f>+SUMPRODUCT(AA102:AA104,AB102:AB104)</f>
        <v>0.41477272727272729</v>
      </c>
      <c r="AB101" s="964">
        <v>0.25</v>
      </c>
      <c r="AC101" s="879">
        <v>0.25</v>
      </c>
      <c r="AD101" s="471">
        <v>0.25</v>
      </c>
      <c r="AE101" s="971">
        <v>350000000</v>
      </c>
      <c r="AF101" s="971">
        <f>SUM(AF102:AF104)</f>
        <v>47000000</v>
      </c>
      <c r="AG101" s="962">
        <f>SUM(AG102:AG104)</f>
        <v>294634047</v>
      </c>
      <c r="AH101" s="2115">
        <f>SUM(AH102:AH104)</f>
        <v>345847852</v>
      </c>
      <c r="AI101" s="1984">
        <f t="shared" si="54"/>
        <v>0.98813671999999997</v>
      </c>
      <c r="AJ101" s="971">
        <f>SUM(AJ102:AJ104)</f>
        <v>27000000</v>
      </c>
      <c r="AK101" s="971">
        <f>SUM(AK102:AK104)</f>
        <v>227384801</v>
      </c>
      <c r="AL101" s="971">
        <f>SUM(AL102:AL104)</f>
        <v>273693551</v>
      </c>
      <c r="AM101" s="973">
        <f t="shared" si="55"/>
        <v>0.78198157428571424</v>
      </c>
      <c r="AN101" s="974">
        <f>SUM(AN102:AN104)</f>
        <v>72154301</v>
      </c>
      <c r="AO101" s="965">
        <f>SUM(AO102:AO104)</f>
        <v>20000000</v>
      </c>
      <c r="AP101" s="971">
        <f>SUM(AP102:AP104)</f>
        <v>20000000</v>
      </c>
      <c r="AQ101" s="971">
        <f>SUM(AQ102:AQ104)</f>
        <v>67249246</v>
      </c>
      <c r="AR101" s="971">
        <f>SUM(AR102:AR104)</f>
        <v>60512247</v>
      </c>
      <c r="AS101" s="967">
        <f t="shared" si="56"/>
        <v>0.89982045300552516</v>
      </c>
      <c r="AT101" s="971">
        <f t="shared" ref="AT101:AU101" si="82">SUM(AT102:AT104)</f>
        <v>2740000000</v>
      </c>
      <c r="AU101" s="971">
        <f t="shared" si="82"/>
        <v>608590599</v>
      </c>
      <c r="AV101" s="1102">
        <f t="shared" si="59"/>
        <v>0.22211335729927006</v>
      </c>
      <c r="AW101" s="975"/>
      <c r="AX101" s="975"/>
      <c r="AY101" s="283"/>
      <c r="AZ101" s="974"/>
      <c r="BA101" s="286"/>
      <c r="BB101" s="286"/>
    </row>
    <row r="102" spans="1:54" ht="87" customHeight="1">
      <c r="A102" s="333" t="s">
        <v>575</v>
      </c>
      <c r="B102" s="430" t="s">
        <v>766</v>
      </c>
      <c r="C102" s="1335">
        <v>5</v>
      </c>
      <c r="D102" s="392">
        <v>17</v>
      </c>
      <c r="E102" s="392">
        <v>0</v>
      </c>
      <c r="F102" s="978">
        <v>0</v>
      </c>
      <c r="G102" s="858">
        <v>0</v>
      </c>
      <c r="H102" s="147"/>
      <c r="I102" s="858">
        <v>0</v>
      </c>
      <c r="J102" s="858">
        <v>0</v>
      </c>
      <c r="K102" s="858"/>
      <c r="L102" s="821">
        <f t="shared" ref="L102:M104" si="83">IF((F102+I102)/C102&gt;=100%,100%,(F102+I102)/C102)</f>
        <v>0</v>
      </c>
      <c r="M102" s="1090">
        <f t="shared" si="83"/>
        <v>0</v>
      </c>
      <c r="N102" s="821" t="s">
        <v>2163</v>
      </c>
      <c r="O102" s="2165"/>
      <c r="P102" s="982"/>
      <c r="Q102" s="983"/>
      <c r="R102" s="984"/>
      <c r="S102" s="982"/>
      <c r="T102" s="204"/>
      <c r="U102" s="204"/>
      <c r="V102" s="204"/>
      <c r="W102" s="985"/>
      <c r="X102" s="204"/>
      <c r="Y102" s="1152">
        <v>22</v>
      </c>
      <c r="Z102" s="1059">
        <f t="shared" si="60"/>
        <v>0</v>
      </c>
      <c r="AA102" s="1104">
        <f>IF(Z102/Y102&gt;=100%,100%,Z102/Y102)</f>
        <v>0</v>
      </c>
      <c r="AB102" s="1336">
        <v>0.25</v>
      </c>
      <c r="AC102" s="491">
        <v>0.25</v>
      </c>
      <c r="AD102" s="491">
        <v>0</v>
      </c>
      <c r="AE102" s="531">
        <v>0</v>
      </c>
      <c r="AF102" s="366">
        <v>47000000</v>
      </c>
      <c r="AG102" s="2072">
        <v>147263496</v>
      </c>
      <c r="AH102" s="2128">
        <v>0</v>
      </c>
      <c r="AI102" s="2112" t="e">
        <f t="shared" si="54"/>
        <v>#DIV/0!</v>
      </c>
      <c r="AJ102" s="366">
        <v>27000000</v>
      </c>
      <c r="AK102" s="531">
        <v>128772454</v>
      </c>
      <c r="AL102" s="1341"/>
      <c r="AM102" s="1107" t="e">
        <f t="shared" si="55"/>
        <v>#DIV/0!</v>
      </c>
      <c r="AN102" s="997">
        <f t="shared" ref="AN102:AN104" si="84">+AH102-AL102</f>
        <v>0</v>
      </c>
      <c r="AO102" s="1337">
        <v>20000000</v>
      </c>
      <c r="AP102" s="366">
        <v>20000000</v>
      </c>
      <c r="AQ102" s="2005">
        <v>18491042</v>
      </c>
      <c r="AR102" s="2005">
        <v>16560891</v>
      </c>
      <c r="AS102" s="1089">
        <f t="shared" si="56"/>
        <v>0.8956169695574755</v>
      </c>
      <c r="AT102" s="1110">
        <v>660000000</v>
      </c>
      <c r="AU102" s="993">
        <f t="shared" ref="AU102:AU104" si="85">SUM(AJ102:AL102)+AR102+AP102</f>
        <v>192333345</v>
      </c>
      <c r="AV102" s="1090">
        <f t="shared" si="59"/>
        <v>0.29141415909090906</v>
      </c>
      <c r="AW102" s="1111"/>
      <c r="AX102" s="191"/>
      <c r="AY102" s="190" t="s">
        <v>30</v>
      </c>
      <c r="AZ102" s="2296" t="s">
        <v>907</v>
      </c>
      <c r="BA102" s="1047"/>
      <c r="BB102" s="1047"/>
    </row>
    <row r="103" spans="1:54" ht="127.5" customHeight="1">
      <c r="A103" s="333" t="s">
        <v>576</v>
      </c>
      <c r="B103" s="431" t="s">
        <v>767</v>
      </c>
      <c r="C103" s="1335">
        <v>0</v>
      </c>
      <c r="D103" s="392">
        <v>10</v>
      </c>
      <c r="E103" s="392">
        <v>20</v>
      </c>
      <c r="F103" s="213">
        <v>0</v>
      </c>
      <c r="G103" s="147">
        <v>0</v>
      </c>
      <c r="H103" s="147">
        <v>20</v>
      </c>
      <c r="I103" s="147"/>
      <c r="J103" s="147"/>
      <c r="K103" s="147"/>
      <c r="L103" s="180" t="e">
        <f t="shared" si="83"/>
        <v>#DIV/0!</v>
      </c>
      <c r="M103" s="1090">
        <f t="shared" si="83"/>
        <v>0</v>
      </c>
      <c r="N103" s="821">
        <f t="shared" ref="N103:N116" si="86">IF((H103/E103)&gt;=100%,100%,(H103/E103))</f>
        <v>1</v>
      </c>
      <c r="O103" s="2165" t="s">
        <v>2312</v>
      </c>
      <c r="P103" s="146"/>
      <c r="Q103" s="2041" t="s">
        <v>2183</v>
      </c>
      <c r="R103" s="1015"/>
      <c r="S103" s="1013" t="s">
        <v>2182</v>
      </c>
      <c r="T103" s="2038" t="s">
        <v>2187</v>
      </c>
      <c r="U103" s="149"/>
      <c r="V103" s="149"/>
      <c r="W103" s="150"/>
      <c r="X103" s="149"/>
      <c r="Y103" s="1121">
        <v>44</v>
      </c>
      <c r="Z103" s="1008">
        <f t="shared" si="60"/>
        <v>20</v>
      </c>
      <c r="AA103" s="1104">
        <f t="shared" ref="AA103:AA104" si="87">IF(Z103/Y103&gt;=100%,100%,Z103/Y103)</f>
        <v>0.45454545454545453</v>
      </c>
      <c r="AB103" s="1336">
        <v>0.5</v>
      </c>
      <c r="AC103" s="491">
        <v>0.5</v>
      </c>
      <c r="AD103" s="2029">
        <v>0.63</v>
      </c>
      <c r="AE103" s="532">
        <v>200000000</v>
      </c>
      <c r="AF103" s="366">
        <v>0</v>
      </c>
      <c r="AG103" s="2072">
        <v>98241360</v>
      </c>
      <c r="AH103" s="2128">
        <v>196077931</v>
      </c>
      <c r="AI103" s="1993">
        <f t="shared" si="54"/>
        <v>0.98038965499999997</v>
      </c>
      <c r="AJ103" s="366">
        <v>0</v>
      </c>
      <c r="AK103" s="531">
        <v>77916973</v>
      </c>
      <c r="AL103" s="1341">
        <v>167648610</v>
      </c>
      <c r="AM103" s="1115">
        <f t="shared" si="55"/>
        <v>0.83824304999999999</v>
      </c>
      <c r="AN103" s="997">
        <f t="shared" si="84"/>
        <v>28429321</v>
      </c>
      <c r="AO103" s="1337">
        <v>0</v>
      </c>
      <c r="AP103" s="366">
        <v>0</v>
      </c>
      <c r="AQ103" s="2005">
        <v>20324387</v>
      </c>
      <c r="AR103" s="2005">
        <v>18172090</v>
      </c>
      <c r="AS103" s="1089">
        <f t="shared" si="56"/>
        <v>0.8941027348081888</v>
      </c>
      <c r="AT103" s="1118">
        <v>1580000000</v>
      </c>
      <c r="AU103" s="993">
        <f t="shared" si="85"/>
        <v>263737673</v>
      </c>
      <c r="AV103" s="1010">
        <f t="shared" si="59"/>
        <v>0.16692257784810127</v>
      </c>
      <c r="AW103" s="1119"/>
      <c r="AX103" s="157"/>
      <c r="AY103" s="152" t="s">
        <v>30</v>
      </c>
      <c r="AZ103" s="2289"/>
      <c r="BA103" s="93"/>
      <c r="BB103" s="93"/>
    </row>
    <row r="104" spans="1:54" ht="72.75" customHeight="1" thickBot="1">
      <c r="A104" s="1338" t="s">
        <v>577</v>
      </c>
      <c r="B104" s="1261" t="s">
        <v>768</v>
      </c>
      <c r="C104" s="1339">
        <v>1</v>
      </c>
      <c r="D104" s="831">
        <v>1</v>
      </c>
      <c r="E104" s="392">
        <v>1</v>
      </c>
      <c r="F104" s="870">
        <v>0</v>
      </c>
      <c r="G104" s="860">
        <v>1</v>
      </c>
      <c r="H104" s="147">
        <v>1</v>
      </c>
      <c r="I104" s="860">
        <v>1</v>
      </c>
      <c r="J104" s="860"/>
      <c r="K104" s="860"/>
      <c r="L104" s="1021">
        <f t="shared" si="83"/>
        <v>1</v>
      </c>
      <c r="M104" s="1090">
        <f t="shared" si="83"/>
        <v>1</v>
      </c>
      <c r="N104" s="821">
        <f t="shared" si="86"/>
        <v>1</v>
      </c>
      <c r="O104" s="2165" t="s">
        <v>2313</v>
      </c>
      <c r="P104" s="1023"/>
      <c r="Q104" s="2041" t="s">
        <v>2183</v>
      </c>
      <c r="R104" s="1015"/>
      <c r="S104" s="1013" t="s">
        <v>2182</v>
      </c>
      <c r="T104" s="2038" t="s">
        <v>2187</v>
      </c>
      <c r="U104" s="181"/>
      <c r="V104" s="181"/>
      <c r="W104" s="1024"/>
      <c r="X104" s="181"/>
      <c r="Y104" s="1129">
        <v>4</v>
      </c>
      <c r="Z104" s="1130">
        <f t="shared" si="60"/>
        <v>3</v>
      </c>
      <c r="AA104" s="1131">
        <f t="shared" si="87"/>
        <v>0.75</v>
      </c>
      <c r="AB104" s="1340">
        <v>0.25</v>
      </c>
      <c r="AC104" s="890">
        <v>0.25</v>
      </c>
      <c r="AD104" s="2029">
        <v>0.27</v>
      </c>
      <c r="AE104" s="1341">
        <v>150000000</v>
      </c>
      <c r="AF104" s="1342">
        <v>0</v>
      </c>
      <c r="AG104" s="2005">
        <v>49129191</v>
      </c>
      <c r="AH104" s="2128">
        <v>149769921</v>
      </c>
      <c r="AI104" s="1997">
        <f t="shared" si="54"/>
        <v>0.99846614</v>
      </c>
      <c r="AJ104" s="1342">
        <v>0</v>
      </c>
      <c r="AK104" s="1341">
        <v>20695374</v>
      </c>
      <c r="AL104" s="1341">
        <v>106044941</v>
      </c>
      <c r="AM104" s="1139">
        <f t="shared" si="55"/>
        <v>0.70696627333333328</v>
      </c>
      <c r="AN104" s="997">
        <f t="shared" si="84"/>
        <v>43724980</v>
      </c>
      <c r="AO104" s="1343">
        <v>0</v>
      </c>
      <c r="AP104" s="1342">
        <v>0</v>
      </c>
      <c r="AQ104" s="2005">
        <v>28433817</v>
      </c>
      <c r="AR104" s="2005">
        <v>25779266</v>
      </c>
      <c r="AS104" s="1136">
        <f t="shared" si="56"/>
        <v>0.90664106053717652</v>
      </c>
      <c r="AT104" s="1138">
        <v>500000000</v>
      </c>
      <c r="AU104" s="993">
        <f t="shared" si="85"/>
        <v>152519581</v>
      </c>
      <c r="AV104" s="1139">
        <f t="shared" si="59"/>
        <v>0.30503916199999997</v>
      </c>
      <c r="AW104" s="1140"/>
      <c r="AX104" s="173"/>
      <c r="AY104" s="189" t="s">
        <v>30</v>
      </c>
      <c r="AZ104" s="2289"/>
      <c r="BA104" s="1037"/>
      <c r="BB104" s="1037"/>
    </row>
    <row r="105" spans="1:54" ht="52.5" customHeight="1" thickBot="1">
      <c r="A105" s="961" t="s">
        <v>463</v>
      </c>
      <c r="B105" s="962"/>
      <c r="C105" s="861"/>
      <c r="D105" s="826"/>
      <c r="E105" s="223"/>
      <c r="F105" s="963"/>
      <c r="G105" s="861"/>
      <c r="H105" s="139"/>
      <c r="I105" s="861"/>
      <c r="J105" s="861"/>
      <c r="K105" s="861"/>
      <c r="L105" s="964">
        <f>+(L106*50%)+(L107*30%)+(L108*20%)</f>
        <v>1</v>
      </c>
      <c r="M105" s="973">
        <f>+SUMPRODUCT(M106:M110,AC106:AC110)</f>
        <v>1</v>
      </c>
      <c r="N105" s="973">
        <f>+SUMPRODUCT(N106:N110,AD106:AD110)</f>
        <v>1</v>
      </c>
      <c r="O105" s="965"/>
      <c r="P105" s="962"/>
      <c r="Q105" s="966"/>
      <c r="R105" s="965"/>
      <c r="S105" s="965"/>
      <c r="T105" s="966"/>
      <c r="U105" s="966"/>
      <c r="V105" s="966"/>
      <c r="W105" s="1099"/>
      <c r="X105" s="966"/>
      <c r="Y105" s="968"/>
      <c r="Z105" s="969">
        <f t="shared" si="60"/>
        <v>0</v>
      </c>
      <c r="AA105" s="1199">
        <f>+SUMPRODUCT(AA106:AA110,AB106:AB110)</f>
        <v>0.8765977443609021</v>
      </c>
      <c r="AB105" s="964">
        <v>0.25</v>
      </c>
      <c r="AC105" s="879">
        <v>0.25</v>
      </c>
      <c r="AD105" s="471">
        <v>0.25</v>
      </c>
      <c r="AE105" s="971">
        <v>720000000</v>
      </c>
      <c r="AF105" s="971">
        <f>SUM(AF106:AF110)</f>
        <v>12000000</v>
      </c>
      <c r="AG105" s="962">
        <f>SUM(AG106:AG110)</f>
        <v>543221928</v>
      </c>
      <c r="AH105" s="2115">
        <f>SUM(AH106:AH110)</f>
        <v>717646801</v>
      </c>
      <c r="AI105" s="1344">
        <f t="shared" si="54"/>
        <v>0.99673166805555558</v>
      </c>
      <c r="AJ105" s="971">
        <f>SUM(AJ106:AJ110)</f>
        <v>12000000</v>
      </c>
      <c r="AK105" s="971">
        <f t="shared" ref="AK105:AU105" si="88">SUM(AK106:AK110)</f>
        <v>530000956</v>
      </c>
      <c r="AL105" s="971">
        <f t="shared" si="88"/>
        <v>556151541</v>
      </c>
      <c r="AM105" s="973">
        <f t="shared" si="55"/>
        <v>0.77243269583333329</v>
      </c>
      <c r="AN105" s="974">
        <f t="shared" si="88"/>
        <v>161495260</v>
      </c>
      <c r="AO105" s="965">
        <f t="shared" si="88"/>
        <v>0</v>
      </c>
      <c r="AP105" s="971">
        <f t="shared" si="88"/>
        <v>0</v>
      </c>
      <c r="AQ105" s="971">
        <f t="shared" si="88"/>
        <v>13220972</v>
      </c>
      <c r="AR105" s="971">
        <f t="shared" si="88"/>
        <v>13022862</v>
      </c>
      <c r="AS105" s="1345">
        <f t="shared" si="56"/>
        <v>0.98501547390010358</v>
      </c>
      <c r="AT105" s="971">
        <f t="shared" ref="AT105" si="89">SUM(AT106:AT110)</f>
        <v>4520000000</v>
      </c>
      <c r="AU105" s="971">
        <f t="shared" si="88"/>
        <v>1111175359</v>
      </c>
      <c r="AV105" s="964">
        <f t="shared" si="59"/>
        <v>0.24583525641592921</v>
      </c>
      <c r="AW105" s="975"/>
      <c r="AX105" s="975"/>
      <c r="AY105" s="283"/>
      <c r="AZ105" s="974"/>
      <c r="BA105" s="286"/>
      <c r="BB105" s="286"/>
    </row>
    <row r="106" spans="1:54" ht="153" customHeight="1">
      <c r="A106" s="334" t="s">
        <v>578</v>
      </c>
      <c r="B106" s="1346" t="s">
        <v>769</v>
      </c>
      <c r="C106" s="1347">
        <v>15</v>
      </c>
      <c r="D106" s="832">
        <v>50</v>
      </c>
      <c r="E106" s="215">
        <v>50</v>
      </c>
      <c r="F106" s="978">
        <v>0</v>
      </c>
      <c r="G106" s="858">
        <v>50</v>
      </c>
      <c r="H106" s="147">
        <v>50</v>
      </c>
      <c r="I106" s="858">
        <v>15</v>
      </c>
      <c r="J106" s="858"/>
      <c r="K106" s="858"/>
      <c r="L106" s="1090">
        <f t="shared" ref="L106:M109" si="90">IF((F106+I106)/C106&gt;=100%,100%,(F106+I106)/C106)</f>
        <v>1</v>
      </c>
      <c r="M106" s="1090">
        <f t="shared" si="90"/>
        <v>1</v>
      </c>
      <c r="N106" s="821">
        <f t="shared" si="86"/>
        <v>1</v>
      </c>
      <c r="O106" s="2165" t="s">
        <v>2314</v>
      </c>
      <c r="P106" s="1084"/>
      <c r="Q106" s="2041" t="s">
        <v>2183</v>
      </c>
      <c r="R106" s="1015"/>
      <c r="S106" s="1013" t="s">
        <v>2182</v>
      </c>
      <c r="T106" s="2038" t="s">
        <v>2315</v>
      </c>
      <c r="U106" s="1087"/>
      <c r="V106" s="1087"/>
      <c r="W106" s="1088"/>
      <c r="X106" s="1087"/>
      <c r="Y106" s="1152">
        <v>133</v>
      </c>
      <c r="Z106" s="1059">
        <f t="shared" si="60"/>
        <v>115</v>
      </c>
      <c r="AA106" s="1104">
        <f t="shared" ref="AA106:AA110" si="91">IF(Z106/Y106&gt;=100%,100%,Z106/Y106)</f>
        <v>0.86466165413533835</v>
      </c>
      <c r="AB106" s="1348">
        <v>0.45</v>
      </c>
      <c r="AC106" s="884">
        <v>0.47</v>
      </c>
      <c r="AD106" s="472">
        <v>0.47</v>
      </c>
      <c r="AE106" s="533">
        <v>350000000</v>
      </c>
      <c r="AF106" s="367">
        <v>12000000</v>
      </c>
      <c r="AG106" s="2073">
        <v>197570441</v>
      </c>
      <c r="AH106" s="2129">
        <v>347997852</v>
      </c>
      <c r="AI106" s="2112">
        <f t="shared" si="54"/>
        <v>0.9942795771428572</v>
      </c>
      <c r="AJ106" s="367">
        <v>12000000</v>
      </c>
      <c r="AK106" s="533">
        <v>192958473</v>
      </c>
      <c r="AL106" s="1432">
        <v>335939372</v>
      </c>
      <c r="AM106" s="1107">
        <f t="shared" si="55"/>
        <v>0.95982677714285713</v>
      </c>
      <c r="AN106" s="997">
        <f t="shared" ref="AN106:AN110" si="92">+AH106-AL106</f>
        <v>12058480</v>
      </c>
      <c r="AO106" s="1337">
        <v>0</v>
      </c>
      <c r="AP106" s="366">
        <v>0</v>
      </c>
      <c r="AQ106" s="2005">
        <v>4611968</v>
      </c>
      <c r="AR106" s="2005">
        <v>4542860</v>
      </c>
      <c r="AS106" s="1089">
        <f t="shared" si="56"/>
        <v>0.98501550747967026</v>
      </c>
      <c r="AT106" s="1110">
        <v>2600000000</v>
      </c>
      <c r="AU106" s="993">
        <f t="shared" ref="AU106:AU110" si="93">SUM(AJ106:AL106)+AR106+AP106</f>
        <v>545440705</v>
      </c>
      <c r="AV106" s="1090">
        <f t="shared" si="59"/>
        <v>0.20978488653846153</v>
      </c>
      <c r="AW106" s="1111"/>
      <c r="AX106" s="1111"/>
      <c r="AY106" s="190" t="s">
        <v>30</v>
      </c>
      <c r="AZ106" s="1349" t="s">
        <v>907</v>
      </c>
      <c r="BA106" s="1047"/>
      <c r="BB106" s="1047"/>
    </row>
    <row r="107" spans="1:54" ht="123.75" customHeight="1">
      <c r="A107" s="335" t="s">
        <v>579</v>
      </c>
      <c r="B107" s="431" t="s">
        <v>770</v>
      </c>
      <c r="C107" s="1350">
        <v>5</v>
      </c>
      <c r="D107" s="215">
        <v>20</v>
      </c>
      <c r="E107" s="215">
        <v>20</v>
      </c>
      <c r="F107" s="213">
        <v>0</v>
      </c>
      <c r="G107" s="147">
        <v>20</v>
      </c>
      <c r="H107" s="147">
        <v>20</v>
      </c>
      <c r="I107" s="147">
        <v>5</v>
      </c>
      <c r="J107" s="147"/>
      <c r="K107" s="147"/>
      <c r="L107" s="1010">
        <f t="shared" si="90"/>
        <v>1</v>
      </c>
      <c r="M107" s="1090">
        <f t="shared" si="90"/>
        <v>1</v>
      </c>
      <c r="N107" s="821">
        <f t="shared" si="86"/>
        <v>1</v>
      </c>
      <c r="O107" s="2165" t="s">
        <v>2316</v>
      </c>
      <c r="P107" s="1013"/>
      <c r="Q107" s="2041" t="s">
        <v>2183</v>
      </c>
      <c r="R107" s="1015"/>
      <c r="S107" s="1013" t="s">
        <v>2182</v>
      </c>
      <c r="T107" s="2038" t="s">
        <v>2317</v>
      </c>
      <c r="U107" s="1016"/>
      <c r="V107" s="1016"/>
      <c r="W107" s="1017"/>
      <c r="X107" s="1016"/>
      <c r="Y107" s="1121">
        <v>50</v>
      </c>
      <c r="Z107" s="1008">
        <f t="shared" si="60"/>
        <v>45</v>
      </c>
      <c r="AA107" s="1104">
        <f t="shared" si="91"/>
        <v>0.9</v>
      </c>
      <c r="AB107" s="1348">
        <v>0.25</v>
      </c>
      <c r="AC107" s="881">
        <v>0.26</v>
      </c>
      <c r="AD107" s="2025">
        <v>0.27</v>
      </c>
      <c r="AE107" s="533">
        <v>150000000</v>
      </c>
      <c r="AF107" s="366">
        <v>0</v>
      </c>
      <c r="AG107" s="2073">
        <v>99068176</v>
      </c>
      <c r="AH107" s="2129">
        <v>149833045</v>
      </c>
      <c r="AI107" s="1993">
        <f t="shared" si="54"/>
        <v>0.99888696666666665</v>
      </c>
      <c r="AJ107" s="366">
        <v>0</v>
      </c>
      <c r="AK107" s="533">
        <v>97223390</v>
      </c>
      <c r="AL107" s="1432">
        <v>140063341</v>
      </c>
      <c r="AM107" s="1115">
        <f t="shared" si="55"/>
        <v>0.93375560666666668</v>
      </c>
      <c r="AN107" s="997">
        <f t="shared" si="92"/>
        <v>9769704</v>
      </c>
      <c r="AO107" s="1337">
        <v>0</v>
      </c>
      <c r="AP107" s="366">
        <v>0</v>
      </c>
      <c r="AQ107" s="2005">
        <v>1844786</v>
      </c>
      <c r="AR107" s="2005">
        <v>1817143</v>
      </c>
      <c r="AS107" s="1089">
        <f t="shared" si="56"/>
        <v>0.98501560614618711</v>
      </c>
      <c r="AT107" s="1118">
        <v>1000000000</v>
      </c>
      <c r="AU107" s="993">
        <f t="shared" si="93"/>
        <v>239103874</v>
      </c>
      <c r="AV107" s="1010">
        <f t="shared" si="59"/>
        <v>0.23910387399999999</v>
      </c>
      <c r="AW107" s="1119"/>
      <c r="AX107" s="1119"/>
      <c r="AY107" s="152" t="s">
        <v>30</v>
      </c>
      <c r="AZ107" s="1351" t="s">
        <v>907</v>
      </c>
      <c r="BA107" s="93"/>
      <c r="BB107" s="93"/>
    </row>
    <row r="108" spans="1:54" ht="78.75" customHeight="1">
      <c r="A108" s="335" t="s">
        <v>580</v>
      </c>
      <c r="B108" s="431" t="s">
        <v>771</v>
      </c>
      <c r="C108" s="1350">
        <v>1</v>
      </c>
      <c r="D108" s="215">
        <v>1</v>
      </c>
      <c r="E108" s="215">
        <v>1</v>
      </c>
      <c r="F108" s="213">
        <v>1</v>
      </c>
      <c r="G108" s="147">
        <v>1</v>
      </c>
      <c r="H108" s="147">
        <v>1</v>
      </c>
      <c r="I108" s="147"/>
      <c r="J108" s="147"/>
      <c r="K108" s="147"/>
      <c r="L108" s="1010">
        <f t="shared" si="90"/>
        <v>1</v>
      </c>
      <c r="M108" s="1090">
        <f t="shared" si="90"/>
        <v>1</v>
      </c>
      <c r="N108" s="821">
        <f t="shared" si="86"/>
        <v>1</v>
      </c>
      <c r="O108" s="2165" t="s">
        <v>2318</v>
      </c>
      <c r="P108" s="1013"/>
      <c r="Q108" s="2041" t="s">
        <v>2183</v>
      </c>
      <c r="R108" s="1015"/>
      <c r="S108" s="1013" t="s">
        <v>2182</v>
      </c>
      <c r="T108" s="2038" t="s">
        <v>2317</v>
      </c>
      <c r="U108" s="1016"/>
      <c r="V108" s="1016"/>
      <c r="W108" s="1017"/>
      <c r="X108" s="1016"/>
      <c r="Y108" s="1121">
        <v>4</v>
      </c>
      <c r="Z108" s="1008">
        <f t="shared" si="60"/>
        <v>3</v>
      </c>
      <c r="AA108" s="1104">
        <f t="shared" si="91"/>
        <v>0.75</v>
      </c>
      <c r="AB108" s="1348">
        <v>0.15</v>
      </c>
      <c r="AC108" s="881">
        <v>0.17</v>
      </c>
      <c r="AD108" s="472">
        <v>0.17</v>
      </c>
      <c r="AE108" s="533">
        <v>100000000</v>
      </c>
      <c r="AF108" s="367">
        <v>0</v>
      </c>
      <c r="AG108" s="2073">
        <v>49378784</v>
      </c>
      <c r="AH108" s="2129">
        <v>99948316</v>
      </c>
      <c r="AI108" s="1993">
        <f t="shared" si="54"/>
        <v>0.99948316000000004</v>
      </c>
      <c r="AJ108" s="367">
        <v>0</v>
      </c>
      <c r="AK108" s="533">
        <v>48148926</v>
      </c>
      <c r="AL108" s="1432">
        <v>61823593</v>
      </c>
      <c r="AM108" s="1115">
        <f t="shared" si="55"/>
        <v>0.61823592999999999</v>
      </c>
      <c r="AN108" s="997">
        <f t="shared" si="92"/>
        <v>38124723</v>
      </c>
      <c r="AO108" s="1337">
        <v>0</v>
      </c>
      <c r="AP108" s="366">
        <v>0</v>
      </c>
      <c r="AQ108" s="2005">
        <v>1229858</v>
      </c>
      <c r="AR108" s="2005">
        <v>1211429</v>
      </c>
      <c r="AS108" s="1089">
        <f t="shared" si="56"/>
        <v>0.98501534323474738</v>
      </c>
      <c r="AT108" s="1118">
        <v>400000000</v>
      </c>
      <c r="AU108" s="993">
        <f t="shared" si="93"/>
        <v>111183948</v>
      </c>
      <c r="AV108" s="1010">
        <f t="shared" si="59"/>
        <v>0.27795987</v>
      </c>
      <c r="AW108" s="1119"/>
      <c r="AX108" s="1119"/>
      <c r="AY108" s="152" t="s">
        <v>30</v>
      </c>
      <c r="AZ108" s="2300" t="s">
        <v>907</v>
      </c>
      <c r="BA108" s="93"/>
      <c r="BB108" s="93"/>
    </row>
    <row r="109" spans="1:54" ht="65.25" customHeight="1">
      <c r="A109" s="336" t="s">
        <v>581</v>
      </c>
      <c r="B109" s="431" t="s">
        <v>772</v>
      </c>
      <c r="C109" s="1350">
        <v>0</v>
      </c>
      <c r="D109" s="215">
        <v>1</v>
      </c>
      <c r="E109" s="215">
        <v>0</v>
      </c>
      <c r="F109" s="213">
        <v>0</v>
      </c>
      <c r="G109" s="147">
        <v>1</v>
      </c>
      <c r="H109" s="147">
        <v>0</v>
      </c>
      <c r="I109" s="147"/>
      <c r="J109" s="147"/>
      <c r="K109" s="147"/>
      <c r="L109" s="1010" t="e">
        <f t="shared" si="90"/>
        <v>#DIV/0!</v>
      </c>
      <c r="M109" s="1090">
        <f t="shared" si="90"/>
        <v>1</v>
      </c>
      <c r="N109" s="821" t="s">
        <v>2163</v>
      </c>
      <c r="O109" s="2165"/>
      <c r="P109" s="1013"/>
      <c r="Q109" s="1014"/>
      <c r="R109" s="1015"/>
      <c r="S109" s="1013"/>
      <c r="T109" s="1016"/>
      <c r="U109" s="1016"/>
      <c r="V109" s="1016"/>
      <c r="W109" s="1017"/>
      <c r="X109" s="1016"/>
      <c r="Y109" s="1121">
        <v>1</v>
      </c>
      <c r="Z109" s="1008">
        <f t="shared" si="60"/>
        <v>1</v>
      </c>
      <c r="AA109" s="1104">
        <f t="shared" si="91"/>
        <v>1</v>
      </c>
      <c r="AB109" s="1353">
        <v>0.08</v>
      </c>
      <c r="AC109" s="881">
        <v>0.1</v>
      </c>
      <c r="AD109" s="472">
        <v>0</v>
      </c>
      <c r="AE109" s="533">
        <v>0</v>
      </c>
      <c r="AF109" s="483" t="s">
        <v>887</v>
      </c>
      <c r="AG109" s="2073">
        <v>197204527</v>
      </c>
      <c r="AH109" s="2129">
        <v>0</v>
      </c>
      <c r="AI109" s="1993" t="e">
        <f t="shared" si="54"/>
        <v>#DIV/0!</v>
      </c>
      <c r="AJ109" s="483" t="s">
        <v>887</v>
      </c>
      <c r="AK109" s="533">
        <v>191670167</v>
      </c>
      <c r="AL109" s="1432">
        <v>0</v>
      </c>
      <c r="AM109" s="1115" t="e">
        <f t="shared" si="55"/>
        <v>#DIV/0!</v>
      </c>
      <c r="AN109" s="997">
        <f t="shared" si="92"/>
        <v>0</v>
      </c>
      <c r="AO109" s="1337">
        <v>0</v>
      </c>
      <c r="AP109" s="366">
        <v>0</v>
      </c>
      <c r="AQ109" s="2005"/>
      <c r="AR109" s="2005"/>
      <c r="AS109" s="1089" t="e">
        <f t="shared" si="56"/>
        <v>#DIV/0!</v>
      </c>
      <c r="AT109" s="1118">
        <v>400000000</v>
      </c>
      <c r="AU109" s="993">
        <f t="shared" si="93"/>
        <v>191670167</v>
      </c>
      <c r="AV109" s="1010">
        <f t="shared" si="59"/>
        <v>0.47917541749999998</v>
      </c>
      <c r="AW109" s="1119"/>
      <c r="AX109" s="1119"/>
      <c r="AY109" s="152" t="s">
        <v>30</v>
      </c>
      <c r="AZ109" s="2289"/>
      <c r="BA109" s="93"/>
      <c r="BB109" s="93"/>
    </row>
    <row r="110" spans="1:54" ht="64.5" customHeight="1" thickBot="1">
      <c r="A110" s="340" t="s">
        <v>582</v>
      </c>
      <c r="B110" s="1261" t="s">
        <v>773</v>
      </c>
      <c r="C110" s="1354">
        <v>0</v>
      </c>
      <c r="D110" s="833">
        <v>0</v>
      </c>
      <c r="E110" s="215">
        <v>1</v>
      </c>
      <c r="F110" s="870">
        <v>0</v>
      </c>
      <c r="G110" s="860">
        <v>0</v>
      </c>
      <c r="H110" s="147">
        <v>1</v>
      </c>
      <c r="I110" s="860"/>
      <c r="J110" s="860"/>
      <c r="K110" s="860"/>
      <c r="L110" s="1139" t="e">
        <f>IF((F110+I110)/C110&gt;=100%,100%,(F110+I110)/C110)</f>
        <v>#DIV/0!</v>
      </c>
      <c r="M110" s="1204" t="s">
        <v>2163</v>
      </c>
      <c r="N110" s="821">
        <f t="shared" si="86"/>
        <v>1</v>
      </c>
      <c r="O110" s="2165" t="s">
        <v>2319</v>
      </c>
      <c r="P110" s="1219"/>
      <c r="Q110" s="1220"/>
      <c r="R110" s="1221"/>
      <c r="S110" s="1219"/>
      <c r="T110" s="1222"/>
      <c r="U110" s="1222"/>
      <c r="V110" s="1222"/>
      <c r="W110" s="1223"/>
      <c r="X110" s="1222"/>
      <c r="Y110" s="1129">
        <v>1</v>
      </c>
      <c r="Z110" s="1130">
        <f t="shared" si="60"/>
        <v>1</v>
      </c>
      <c r="AA110" s="1131">
        <f t="shared" si="91"/>
        <v>1</v>
      </c>
      <c r="AB110" s="1355">
        <v>7.0000000000000007E-2</v>
      </c>
      <c r="AC110" s="885">
        <v>0</v>
      </c>
      <c r="AD110" s="2025">
        <v>0.09</v>
      </c>
      <c r="AE110" s="1356">
        <v>120000000</v>
      </c>
      <c r="AF110" s="1356" t="s">
        <v>887</v>
      </c>
      <c r="AG110" s="2074" t="s">
        <v>887</v>
      </c>
      <c r="AH110" s="2130">
        <v>119867588</v>
      </c>
      <c r="AI110" s="1997">
        <f t="shared" si="54"/>
        <v>0.99889656666666671</v>
      </c>
      <c r="AJ110" s="1356" t="s">
        <v>887</v>
      </c>
      <c r="AK110" s="1356" t="s">
        <v>887</v>
      </c>
      <c r="AL110" s="1961">
        <v>18325235</v>
      </c>
      <c r="AM110" s="1130">
        <f t="shared" si="55"/>
        <v>0.15271029166666666</v>
      </c>
      <c r="AN110" s="997">
        <f t="shared" si="92"/>
        <v>101542353</v>
      </c>
      <c r="AO110" s="1343">
        <v>0</v>
      </c>
      <c r="AP110" s="1342">
        <v>0</v>
      </c>
      <c r="AQ110" s="2005">
        <v>5534360</v>
      </c>
      <c r="AR110" s="2005">
        <v>5451430</v>
      </c>
      <c r="AS110" s="1136">
        <f t="shared" si="56"/>
        <v>0.98501543087186227</v>
      </c>
      <c r="AT110" s="1138">
        <v>120000000</v>
      </c>
      <c r="AU110" s="993">
        <f t="shared" si="93"/>
        <v>23776665</v>
      </c>
      <c r="AV110" s="1139">
        <f t="shared" si="59"/>
        <v>0.19813887499999999</v>
      </c>
      <c r="AW110" s="1140"/>
      <c r="AX110" s="1140"/>
      <c r="AY110" s="189" t="s">
        <v>30</v>
      </c>
      <c r="AZ110" s="2289"/>
      <c r="BA110" s="1037"/>
      <c r="BB110" s="1037"/>
    </row>
    <row r="111" spans="1:54" ht="79.5" customHeight="1" thickBot="1">
      <c r="A111" s="1357" t="s">
        <v>464</v>
      </c>
      <c r="B111" s="962"/>
      <c r="C111" s="861"/>
      <c r="D111" s="826"/>
      <c r="E111" s="223"/>
      <c r="F111" s="963"/>
      <c r="G111" s="861"/>
      <c r="H111" s="139"/>
      <c r="I111" s="861"/>
      <c r="J111" s="861"/>
      <c r="K111" s="861"/>
      <c r="L111" s="964">
        <f>+(L112*100%)</f>
        <v>1</v>
      </c>
      <c r="M111" s="973">
        <f>+SUMPRODUCT(M112:M113,AC112:AC113)</f>
        <v>1</v>
      </c>
      <c r="N111" s="973">
        <f>+SUMPRODUCT(N112:N113,AD112:AD113)</f>
        <v>1</v>
      </c>
      <c r="O111" s="965"/>
      <c r="P111" s="962"/>
      <c r="Q111" s="966"/>
      <c r="R111" s="965"/>
      <c r="S111" s="965"/>
      <c r="T111" s="966"/>
      <c r="U111" s="966"/>
      <c r="V111" s="966"/>
      <c r="W111" s="1099"/>
      <c r="X111" s="966"/>
      <c r="Y111" s="968"/>
      <c r="Z111" s="969">
        <f t="shared" si="60"/>
        <v>0</v>
      </c>
      <c r="AA111" s="1199">
        <f>+SUMPRODUCT(AA112:AA113,AB112:AB113)</f>
        <v>0.73030303030303023</v>
      </c>
      <c r="AB111" s="964">
        <v>0.25</v>
      </c>
      <c r="AC111" s="879">
        <v>0.25</v>
      </c>
      <c r="AD111" s="471">
        <v>0.25</v>
      </c>
      <c r="AE111" s="971">
        <v>870000000</v>
      </c>
      <c r="AF111" s="971">
        <f>SUM(AF112:AF113)</f>
        <v>0</v>
      </c>
      <c r="AG111" s="962">
        <f>SUM(AG112:AG113)</f>
        <v>839271646</v>
      </c>
      <c r="AH111" s="2115">
        <f>SUM(AH112:AH113)</f>
        <v>869036272</v>
      </c>
      <c r="AI111" s="1984">
        <f t="shared" si="54"/>
        <v>0.99889226666666664</v>
      </c>
      <c r="AJ111" s="971">
        <f>SUM(AJ112:AJ113)</f>
        <v>0</v>
      </c>
      <c r="AK111" s="971">
        <f>SUM(AK112:AK113)</f>
        <v>707325355</v>
      </c>
      <c r="AL111" s="971">
        <f>SUM(AL112:AL113)</f>
        <v>645682334</v>
      </c>
      <c r="AM111" s="973">
        <f t="shared" si="55"/>
        <v>0.74216360229885059</v>
      </c>
      <c r="AN111" s="974">
        <f>SUM(AN112:AN113)</f>
        <v>223353938</v>
      </c>
      <c r="AO111" s="965">
        <f>SUM(AO112:AO113)</f>
        <v>0</v>
      </c>
      <c r="AP111" s="971">
        <f>SUM(AP112:AP113)</f>
        <v>0</v>
      </c>
      <c r="AQ111" s="971">
        <f>SUM(AQ112:AQ113)</f>
        <v>131946291</v>
      </c>
      <c r="AR111" s="971">
        <f>SUM(AR112:AR113)</f>
        <v>131623787</v>
      </c>
      <c r="AS111" s="967">
        <f t="shared" si="56"/>
        <v>0.997555793364438</v>
      </c>
      <c r="AT111" s="971">
        <f t="shared" ref="AT111:AU111" si="94">SUM(AT112:AT113)</f>
        <v>3530000000</v>
      </c>
      <c r="AU111" s="971">
        <f t="shared" si="94"/>
        <v>1484631476</v>
      </c>
      <c r="AV111" s="964">
        <f t="shared" si="59"/>
        <v>0.42057548895184138</v>
      </c>
      <c r="AW111" s="975"/>
      <c r="AX111" s="975"/>
      <c r="AY111" s="283"/>
      <c r="AZ111" s="974"/>
      <c r="BA111" s="286"/>
      <c r="BB111" s="286"/>
    </row>
    <row r="112" spans="1:54" ht="111.75" customHeight="1">
      <c r="A112" s="1358" t="s">
        <v>583</v>
      </c>
      <c r="B112" s="1346" t="s">
        <v>774</v>
      </c>
      <c r="C112" s="1335">
        <v>5</v>
      </c>
      <c r="D112" s="392">
        <v>10</v>
      </c>
      <c r="E112" s="392">
        <v>10</v>
      </c>
      <c r="F112" s="978">
        <v>0</v>
      </c>
      <c r="G112" s="858">
        <v>10</v>
      </c>
      <c r="H112" s="147">
        <v>10</v>
      </c>
      <c r="I112" s="858">
        <v>5</v>
      </c>
      <c r="J112" s="858"/>
      <c r="K112" s="858"/>
      <c r="L112" s="821">
        <f t="shared" ref="L112:L113" si="95">IF((F112+I112)/C112&gt;=100%,100%,(F112+I112)/C112)</f>
        <v>1</v>
      </c>
      <c r="M112" s="1090">
        <f>IF((G112+J112)/D112&gt;=100%,100%,(G112+J112)/D112)</f>
        <v>1</v>
      </c>
      <c r="N112" s="821">
        <f t="shared" si="86"/>
        <v>1</v>
      </c>
      <c r="O112" s="2165" t="s">
        <v>2320</v>
      </c>
      <c r="P112" s="1084"/>
      <c r="Q112" s="1085"/>
      <c r="R112" s="1086"/>
      <c r="S112" s="1084"/>
      <c r="T112" s="1087"/>
      <c r="U112" s="1087"/>
      <c r="V112" s="1087"/>
      <c r="W112" s="1088"/>
      <c r="X112" s="1087"/>
      <c r="Y112" s="1152">
        <v>33</v>
      </c>
      <c r="Z112" s="1059">
        <f t="shared" si="60"/>
        <v>25</v>
      </c>
      <c r="AA112" s="1104">
        <f t="shared" ref="AA112:AA113" si="96">IF(Z112/Y112&gt;=100%,100%,Z112/Y112)</f>
        <v>0.75757575757575757</v>
      </c>
      <c r="AB112" s="1254">
        <v>0.7</v>
      </c>
      <c r="AC112" s="891">
        <v>0.7</v>
      </c>
      <c r="AD112" s="476">
        <v>0.7</v>
      </c>
      <c r="AE112" s="531">
        <v>520000000</v>
      </c>
      <c r="AF112" s="367">
        <v>0</v>
      </c>
      <c r="AG112" s="2072">
        <v>493930767</v>
      </c>
      <c r="AH112" s="2128">
        <v>519424295</v>
      </c>
      <c r="AI112" s="2112">
        <f t="shared" si="54"/>
        <v>0.99889287500000001</v>
      </c>
      <c r="AJ112" s="367">
        <v>0</v>
      </c>
      <c r="AK112" s="531">
        <v>371208408</v>
      </c>
      <c r="AL112" s="1341">
        <v>305890412</v>
      </c>
      <c r="AM112" s="1107">
        <f t="shared" si="55"/>
        <v>0.58825079230769228</v>
      </c>
      <c r="AN112" s="997">
        <f t="shared" ref="AN112:AN113" si="97">+AH112-AL112</f>
        <v>213533883</v>
      </c>
      <c r="AO112" s="1359">
        <v>0</v>
      </c>
      <c r="AP112" s="367">
        <v>0</v>
      </c>
      <c r="AQ112" s="1965">
        <v>122722359</v>
      </c>
      <c r="AR112" s="1965">
        <v>122538071</v>
      </c>
      <c r="AS112" s="1089">
        <f t="shared" si="56"/>
        <v>0.99849833395070253</v>
      </c>
      <c r="AT112" s="1110">
        <v>2480000000</v>
      </c>
      <c r="AU112" s="993">
        <f t="shared" ref="AU112:AU113" si="98">SUM(AJ112:AL112)+AR112+AP112</f>
        <v>799636891</v>
      </c>
      <c r="AV112" s="1090">
        <f t="shared" si="59"/>
        <v>0.32243423024193546</v>
      </c>
      <c r="AW112" s="1111"/>
      <c r="AX112" s="1111"/>
      <c r="AY112" s="190" t="s">
        <v>30</v>
      </c>
      <c r="AZ112" s="1360" t="s">
        <v>907</v>
      </c>
      <c r="BA112" s="1047"/>
      <c r="BB112" s="1047"/>
    </row>
    <row r="113" spans="1:54" ht="88.5" customHeight="1" thickBot="1">
      <c r="A113" s="1361" t="s">
        <v>584</v>
      </c>
      <c r="B113" s="1261" t="s">
        <v>775</v>
      </c>
      <c r="C113" s="1339">
        <v>0</v>
      </c>
      <c r="D113" s="831">
        <v>110</v>
      </c>
      <c r="E113" s="392">
        <v>110</v>
      </c>
      <c r="F113" s="870">
        <v>0</v>
      </c>
      <c r="G113" s="860">
        <v>110</v>
      </c>
      <c r="H113" s="147">
        <v>110</v>
      </c>
      <c r="I113" s="860"/>
      <c r="J113" s="860"/>
      <c r="K113" s="860"/>
      <c r="L113" s="1021" t="e">
        <f t="shared" si="95"/>
        <v>#DIV/0!</v>
      </c>
      <c r="M113" s="1090">
        <f>IF((G113+J113)/D113&gt;=100%,100%,(G113+J113)/D113)</f>
        <v>1</v>
      </c>
      <c r="N113" s="821">
        <f t="shared" si="86"/>
        <v>1</v>
      </c>
      <c r="O113" s="2165" t="s">
        <v>2321</v>
      </c>
      <c r="P113" s="1219"/>
      <c r="Q113" s="2041" t="s">
        <v>2183</v>
      </c>
      <c r="R113" s="1015"/>
      <c r="S113" s="1013" t="s">
        <v>2182</v>
      </c>
      <c r="T113" s="2038" t="s">
        <v>2188</v>
      </c>
      <c r="U113" s="1222"/>
      <c r="V113" s="1222"/>
      <c r="W113" s="1223"/>
      <c r="X113" s="1222"/>
      <c r="Y113" s="1129">
        <v>330</v>
      </c>
      <c r="Z113" s="1130">
        <f t="shared" si="60"/>
        <v>220</v>
      </c>
      <c r="AA113" s="1131">
        <f t="shared" si="96"/>
        <v>0.66666666666666663</v>
      </c>
      <c r="AB113" s="1263">
        <v>0.3</v>
      </c>
      <c r="AC113" s="892">
        <v>0.3</v>
      </c>
      <c r="AD113" s="476">
        <v>0.3</v>
      </c>
      <c r="AE113" s="1341">
        <v>350000000</v>
      </c>
      <c r="AF113" s="1362" t="s">
        <v>887</v>
      </c>
      <c r="AG113" s="2005">
        <v>345340879</v>
      </c>
      <c r="AH113" s="2128">
        <v>349611977</v>
      </c>
      <c r="AI113" s="1997">
        <f t="shared" si="54"/>
        <v>0.99889136285714286</v>
      </c>
      <c r="AJ113" s="1362" t="s">
        <v>887</v>
      </c>
      <c r="AK113" s="1341">
        <v>336116947</v>
      </c>
      <c r="AL113" s="1341">
        <v>339791922</v>
      </c>
      <c r="AM113" s="1134">
        <f t="shared" si="55"/>
        <v>0.97083406285714291</v>
      </c>
      <c r="AN113" s="997">
        <f t="shared" si="97"/>
        <v>9820055</v>
      </c>
      <c r="AO113" s="1363">
        <v>0</v>
      </c>
      <c r="AP113" s="1364">
        <v>0</v>
      </c>
      <c r="AQ113" s="1965">
        <v>9223932</v>
      </c>
      <c r="AR113" s="1965">
        <v>9085716</v>
      </c>
      <c r="AS113" s="1136">
        <f t="shared" si="56"/>
        <v>0.98501550098157709</v>
      </c>
      <c r="AT113" s="1138">
        <v>1050000000</v>
      </c>
      <c r="AU113" s="993">
        <f t="shared" si="98"/>
        <v>684994585</v>
      </c>
      <c r="AV113" s="1139">
        <f t="shared" si="59"/>
        <v>0.65237579523809519</v>
      </c>
      <c r="AW113" s="1140"/>
      <c r="AX113" s="1140"/>
      <c r="AY113" s="189" t="s">
        <v>22</v>
      </c>
      <c r="AZ113" s="1365" t="s">
        <v>907</v>
      </c>
      <c r="BA113" s="1037"/>
      <c r="BB113" s="1037"/>
    </row>
    <row r="114" spans="1:54" ht="57.75" customHeight="1" thickBot="1">
      <c r="A114" s="1357" t="s">
        <v>465</v>
      </c>
      <c r="B114" s="962"/>
      <c r="C114" s="861"/>
      <c r="D114" s="826"/>
      <c r="E114" s="223"/>
      <c r="F114" s="1366"/>
      <c r="G114" s="861"/>
      <c r="H114" s="139"/>
      <c r="I114" s="861"/>
      <c r="J114" s="861"/>
      <c r="K114" s="861"/>
      <c r="L114" s="964">
        <f>+SUMPRODUCT(L115:L116,AB115:AB116)</f>
        <v>1</v>
      </c>
      <c r="M114" s="973">
        <f>+SUMPRODUCT(M115:M116,AC115:AC116)</f>
        <v>0.75</v>
      </c>
      <c r="N114" s="973">
        <f>+SUMPRODUCT(N115:N116,AD115:AD116)</f>
        <v>1</v>
      </c>
      <c r="O114" s="965"/>
      <c r="P114" s="962"/>
      <c r="Q114" s="966"/>
      <c r="R114" s="965"/>
      <c r="S114" s="965"/>
      <c r="T114" s="966"/>
      <c r="U114" s="966"/>
      <c r="V114" s="966"/>
      <c r="W114" s="1099"/>
      <c r="X114" s="966"/>
      <c r="Y114" s="968"/>
      <c r="Z114" s="969">
        <f t="shared" si="60"/>
        <v>0</v>
      </c>
      <c r="AA114" s="1199">
        <f>+SUMPRODUCT(AA115:AA116,AB115:AB116)</f>
        <v>0.9285714285714286</v>
      </c>
      <c r="AB114" s="964">
        <v>0.25</v>
      </c>
      <c r="AC114" s="879">
        <v>0.25</v>
      </c>
      <c r="AD114" s="471">
        <v>0.25</v>
      </c>
      <c r="AE114" s="971">
        <v>660000000</v>
      </c>
      <c r="AF114" s="971">
        <f>SUM(AF115:AF116)</f>
        <v>774538631</v>
      </c>
      <c r="AG114" s="962">
        <f>SUM(AG115:AG116)</f>
        <v>611768885</v>
      </c>
      <c r="AH114" s="2115">
        <f>SUM(AH115:AH116)</f>
        <v>659245055</v>
      </c>
      <c r="AI114" s="1984">
        <f t="shared" si="54"/>
        <v>0.99885614393939393</v>
      </c>
      <c r="AJ114" s="971">
        <f>SUM(AJ115:AJ116)</f>
        <v>735874108</v>
      </c>
      <c r="AK114" s="971">
        <f>SUM(AK115:AK116)</f>
        <v>453723271</v>
      </c>
      <c r="AL114" s="971">
        <f>SUM(AL115:AL116)</f>
        <v>364972711</v>
      </c>
      <c r="AM114" s="973">
        <f t="shared" si="55"/>
        <v>0.55298895606060605</v>
      </c>
      <c r="AN114" s="974">
        <f>SUM(AN115:AN116)</f>
        <v>294272344</v>
      </c>
      <c r="AO114" s="283">
        <f>SUM(AO115:AO116)</f>
        <v>38664523</v>
      </c>
      <c r="AP114" s="976">
        <f>SUM(AP115:AP116)</f>
        <v>35671583</v>
      </c>
      <c r="AQ114" s="976">
        <f>SUM(AQ115:AQ116)</f>
        <v>158045614</v>
      </c>
      <c r="AR114" s="976">
        <f>SUM(AR115:AR116)</f>
        <v>157801432</v>
      </c>
      <c r="AS114" s="967">
        <f t="shared" si="56"/>
        <v>0.99845499034221852</v>
      </c>
      <c r="AT114" s="971">
        <f t="shared" ref="AT114:AU114" si="99">SUM(AT115:AT116)</f>
        <v>3240000000</v>
      </c>
      <c r="AU114" s="971">
        <f t="shared" si="99"/>
        <v>1748043105</v>
      </c>
      <c r="AV114" s="964">
        <f t="shared" si="59"/>
        <v>0.53951947685185186</v>
      </c>
      <c r="AW114" s="975"/>
      <c r="AX114" s="975"/>
      <c r="AY114" s="283"/>
      <c r="AZ114" s="974"/>
      <c r="BA114" s="286"/>
      <c r="BB114" s="286"/>
    </row>
    <row r="115" spans="1:54" ht="183.75" customHeight="1">
      <c r="A115" s="1367" t="s">
        <v>585</v>
      </c>
      <c r="B115" s="1346" t="s">
        <v>776</v>
      </c>
      <c r="C115" s="1368">
        <v>2</v>
      </c>
      <c r="D115" s="393">
        <v>2</v>
      </c>
      <c r="E115" s="393">
        <v>3</v>
      </c>
      <c r="F115" s="978">
        <v>0</v>
      </c>
      <c r="G115" s="858">
        <v>0</v>
      </c>
      <c r="H115" s="147">
        <v>3</v>
      </c>
      <c r="I115" s="858">
        <v>2</v>
      </c>
      <c r="J115" s="858"/>
      <c r="K115" s="858"/>
      <c r="L115" s="821">
        <f t="shared" ref="L115:L116" si="100">IF((F115+I115)/C115&gt;=100%,100%,(F115+I115)/C115)</f>
        <v>1</v>
      </c>
      <c r="M115" s="1090">
        <f>IF((G115+J115)/D115&gt;=100%,100%,(G115+J115)/D115)</f>
        <v>0</v>
      </c>
      <c r="N115" s="821">
        <f t="shared" si="86"/>
        <v>1</v>
      </c>
      <c r="O115" s="2165" t="s">
        <v>2322</v>
      </c>
      <c r="P115" s="1084"/>
      <c r="Q115" s="1085"/>
      <c r="R115" s="1086"/>
      <c r="S115" s="1084"/>
      <c r="T115" s="1087"/>
      <c r="U115" s="1087"/>
      <c r="V115" s="1087"/>
      <c r="W115" s="1088"/>
      <c r="X115" s="1087"/>
      <c r="Y115" s="1152">
        <v>7</v>
      </c>
      <c r="Z115" s="1059">
        <f t="shared" si="60"/>
        <v>5</v>
      </c>
      <c r="AA115" s="1104">
        <f t="shared" ref="AA115:AA116" si="101">IF(Z115/Y115&gt;=100%,100%,Z115/Y115)</f>
        <v>0.7142857142857143</v>
      </c>
      <c r="AB115" s="1254">
        <v>0.25</v>
      </c>
      <c r="AC115" s="891">
        <v>0.25</v>
      </c>
      <c r="AD115" s="476">
        <v>0.25</v>
      </c>
      <c r="AE115" s="534">
        <v>260000000</v>
      </c>
      <c r="AF115" s="368">
        <v>774538631</v>
      </c>
      <c r="AG115" s="2075">
        <v>197204527</v>
      </c>
      <c r="AH115" s="2131">
        <v>259688348</v>
      </c>
      <c r="AI115" s="2112">
        <f t="shared" si="54"/>
        <v>0.99880133846153851</v>
      </c>
      <c r="AJ115" s="368">
        <v>735874108</v>
      </c>
      <c r="AK115" s="534">
        <v>151420167</v>
      </c>
      <c r="AL115" s="1373">
        <v>256207032</v>
      </c>
      <c r="AM115" s="1107">
        <f t="shared" si="55"/>
        <v>0.98541166153846149</v>
      </c>
      <c r="AN115" s="997">
        <f t="shared" ref="AN115:AN116" si="102">+AH115-AL115</f>
        <v>3481316</v>
      </c>
      <c r="AO115" s="1369">
        <v>38664523</v>
      </c>
      <c r="AP115" s="368">
        <v>35671583</v>
      </c>
      <c r="AQ115" s="2006">
        <v>45784360</v>
      </c>
      <c r="AR115" s="2006">
        <v>45701430</v>
      </c>
      <c r="AS115" s="1089">
        <f t="shared" si="56"/>
        <v>0.99818868277289452</v>
      </c>
      <c r="AT115" s="1110">
        <v>840000000</v>
      </c>
      <c r="AU115" s="993">
        <f t="shared" ref="AU115:AU116" si="103">SUM(AJ115:AL115)+AR115+AP115</f>
        <v>1224874320</v>
      </c>
      <c r="AV115" s="1107">
        <f t="shared" si="59"/>
        <v>1.4581837142857144</v>
      </c>
      <c r="AW115" s="1111"/>
      <c r="AX115" s="191"/>
      <c r="AY115" s="190" t="s">
        <v>30</v>
      </c>
      <c r="AZ115" s="2301" t="s">
        <v>905</v>
      </c>
      <c r="BA115" s="1047"/>
      <c r="BB115" s="1047"/>
    </row>
    <row r="116" spans="1:54" ht="99" customHeight="1" thickBot="1">
      <c r="A116" s="1370" t="s">
        <v>586</v>
      </c>
      <c r="B116" s="1261" t="s">
        <v>777</v>
      </c>
      <c r="C116" s="1371">
        <v>25</v>
      </c>
      <c r="D116" s="834">
        <v>73</v>
      </c>
      <c r="E116" s="394">
        <v>35</v>
      </c>
      <c r="F116" s="870">
        <v>0</v>
      </c>
      <c r="G116" s="860">
        <v>73</v>
      </c>
      <c r="H116" s="147">
        <v>35</v>
      </c>
      <c r="I116" s="858">
        <v>25</v>
      </c>
      <c r="J116" s="860"/>
      <c r="K116" s="860"/>
      <c r="L116" s="1021">
        <f t="shared" si="100"/>
        <v>1</v>
      </c>
      <c r="M116" s="1090">
        <f>IF((G116+J116)/D116&gt;=100%,100%,(G116+J116)/D116)</f>
        <v>1</v>
      </c>
      <c r="N116" s="821">
        <f t="shared" si="86"/>
        <v>1</v>
      </c>
      <c r="O116" s="2165" t="s">
        <v>2323</v>
      </c>
      <c r="P116" s="1219"/>
      <c r="Q116" s="2041" t="s">
        <v>2183</v>
      </c>
      <c r="R116" s="1015"/>
      <c r="S116" s="1013" t="s">
        <v>2182</v>
      </c>
      <c r="T116" s="2038">
        <v>293</v>
      </c>
      <c r="U116" s="1222"/>
      <c r="V116" s="1222"/>
      <c r="W116" s="1223"/>
      <c r="X116" s="1222"/>
      <c r="Y116" s="1129">
        <v>133</v>
      </c>
      <c r="Z116" s="1130">
        <f t="shared" si="60"/>
        <v>133</v>
      </c>
      <c r="AA116" s="1131">
        <f t="shared" si="101"/>
        <v>1</v>
      </c>
      <c r="AB116" s="1263">
        <v>0.75</v>
      </c>
      <c r="AC116" s="892">
        <v>0.75</v>
      </c>
      <c r="AD116" s="476">
        <v>0.75</v>
      </c>
      <c r="AE116" s="1373">
        <v>400000000</v>
      </c>
      <c r="AF116" s="1374">
        <v>0</v>
      </c>
      <c r="AG116" s="2006">
        <v>414564358</v>
      </c>
      <c r="AH116" s="2131">
        <v>399556707</v>
      </c>
      <c r="AI116" s="1997">
        <f t="shared" si="54"/>
        <v>0.99889176749999997</v>
      </c>
      <c r="AJ116" s="1374">
        <v>0</v>
      </c>
      <c r="AK116" s="1373">
        <v>302303104</v>
      </c>
      <c r="AL116" s="1373">
        <v>108765679</v>
      </c>
      <c r="AM116" s="1134">
        <f t="shared" si="55"/>
        <v>0.27191419750000001</v>
      </c>
      <c r="AN116" s="997">
        <f t="shared" si="102"/>
        <v>290791028</v>
      </c>
      <c r="AO116" s="1375">
        <v>0</v>
      </c>
      <c r="AP116" s="1374">
        <v>0</v>
      </c>
      <c r="AQ116" s="2006">
        <v>112261254</v>
      </c>
      <c r="AR116" s="2006">
        <v>112100002</v>
      </c>
      <c r="AS116" s="1136">
        <f t="shared" si="56"/>
        <v>0.99856360058119431</v>
      </c>
      <c r="AT116" s="1138">
        <v>2400000000</v>
      </c>
      <c r="AU116" s="993">
        <f t="shared" si="103"/>
        <v>523168785</v>
      </c>
      <c r="AV116" s="1139">
        <f t="shared" si="59"/>
        <v>0.21798699375</v>
      </c>
      <c r="AW116" s="1140"/>
      <c r="AX116" s="173"/>
      <c r="AY116" s="189" t="s">
        <v>22</v>
      </c>
      <c r="AZ116" s="2289"/>
      <c r="BA116" s="1037"/>
      <c r="BB116" s="1037"/>
    </row>
    <row r="117" spans="1:54" s="617" customFormat="1" ht="64.5" customHeight="1" thickBot="1">
      <c r="A117" s="1065" t="s">
        <v>427</v>
      </c>
      <c r="B117" s="1066"/>
      <c r="C117" s="862"/>
      <c r="D117" s="835"/>
      <c r="E117" s="296"/>
      <c r="F117" s="1067"/>
      <c r="G117" s="862"/>
      <c r="H117" s="129"/>
      <c r="I117" s="862"/>
      <c r="J117" s="862"/>
      <c r="K117" s="862"/>
      <c r="L117" s="1077">
        <f>+(L118*AB118)+(L121*AB121)+(L125*AB125)+(L132*AB132)</f>
        <v>1</v>
      </c>
      <c r="M117" s="1068">
        <f>+(M118*AC118)+(M121*AC121)+(M125*AC125)+(M132*AC132)</f>
        <v>1</v>
      </c>
      <c r="N117" s="1068">
        <f>+(N118*AD118)+(N121*AD121)+(N125*AD125)+(N132*AD132)</f>
        <v>1</v>
      </c>
      <c r="O117" s="948"/>
      <c r="P117" s="1066"/>
      <c r="Q117" s="1071"/>
      <c r="R117" s="1069"/>
      <c r="S117" s="1069"/>
      <c r="T117" s="1071"/>
      <c r="U117" s="1071"/>
      <c r="V117" s="1071"/>
      <c r="W117" s="1072"/>
      <c r="X117" s="1071"/>
      <c r="Y117" s="1074"/>
      <c r="Z117" s="1075">
        <f t="shared" si="60"/>
        <v>0</v>
      </c>
      <c r="AA117" s="1246">
        <f>+(AA118*AB118)+(AA121*AB121)+(AA125*AB125)+(AA132*AB132)</f>
        <v>0.81687500000000002</v>
      </c>
      <c r="AB117" s="1077">
        <v>0.35</v>
      </c>
      <c r="AC117" s="883">
        <v>0.35</v>
      </c>
      <c r="AD117" s="470">
        <v>0.35</v>
      </c>
      <c r="AE117" s="1078">
        <v>1690000000</v>
      </c>
      <c r="AF117" s="1078">
        <f>+AF118+AF121+AF125+AF132</f>
        <v>874500000</v>
      </c>
      <c r="AG117" s="1066">
        <f>+AG118+AG121+AG125+AG132</f>
        <v>1463313971.6800001</v>
      </c>
      <c r="AH117" s="2114">
        <f>+AH118+AH121+AH125+AH132</f>
        <v>1672302090.1599998</v>
      </c>
      <c r="AI117" s="1986">
        <f t="shared" si="54"/>
        <v>0.98952786399999992</v>
      </c>
      <c r="AJ117" s="1078">
        <f>+AJ118+AJ121+AJ125+AJ132</f>
        <v>94500000</v>
      </c>
      <c r="AK117" s="1078">
        <f>+AK118+AK121+AK125+AK132</f>
        <v>1300268561</v>
      </c>
      <c r="AL117" s="1078">
        <f>+AL118+AL121+AL125+AL132</f>
        <v>1112650927</v>
      </c>
      <c r="AM117" s="1068">
        <f t="shared" si="55"/>
        <v>0.65837332958579886</v>
      </c>
      <c r="AN117" s="1066">
        <f>+AN118+AN121+AN125+AN132</f>
        <v>559651163.15999997</v>
      </c>
      <c r="AO117" s="1069">
        <f>+AO118+AO121+AO125+AO132</f>
        <v>780000000</v>
      </c>
      <c r="AP117" s="1078">
        <f>+AP118+AP121+AP125+AP132</f>
        <v>692000000</v>
      </c>
      <c r="AQ117" s="1078">
        <f>+AQ118+AQ121+AQ125+AQ132</f>
        <v>163045410.68000001</v>
      </c>
      <c r="AR117" s="1078">
        <f>+AR118+AR121+AR125+AR132</f>
        <v>154656811.19999999</v>
      </c>
      <c r="AS117" s="1080">
        <f t="shared" si="56"/>
        <v>0.94855053297719705</v>
      </c>
      <c r="AT117" s="1078">
        <f t="shared" ref="AT117:AU117" si="104">+AT118+AT121+AT125+AT132</f>
        <v>8610000000</v>
      </c>
      <c r="AU117" s="1078">
        <f t="shared" si="104"/>
        <v>3354076299.1999998</v>
      </c>
      <c r="AV117" s="1077">
        <f t="shared" si="59"/>
        <v>0.38955590002322876</v>
      </c>
      <c r="AW117" s="1071"/>
      <c r="AX117" s="1071" t="s">
        <v>300</v>
      </c>
      <c r="AY117" s="1069"/>
      <c r="AZ117" s="1066"/>
      <c r="BA117" s="1082"/>
      <c r="BB117" s="1082"/>
    </row>
    <row r="118" spans="1:54" ht="57" customHeight="1" thickBot="1">
      <c r="A118" s="961" t="s">
        <v>466</v>
      </c>
      <c r="B118" s="962"/>
      <c r="C118" s="861"/>
      <c r="D118" s="826"/>
      <c r="E118" s="223"/>
      <c r="F118" s="963"/>
      <c r="G118" s="861"/>
      <c r="H118" s="139"/>
      <c r="I118" s="861"/>
      <c r="J118" s="861"/>
      <c r="K118" s="861"/>
      <c r="L118" s="964">
        <f>+(L119*100%)</f>
        <v>1</v>
      </c>
      <c r="M118" s="973">
        <f>+SUMPRODUCT(M119:M120,AC119:AC120)</f>
        <v>1</v>
      </c>
      <c r="N118" s="973">
        <f>+SUMPRODUCT(N119:N120,AD119:AD120)</f>
        <v>1</v>
      </c>
      <c r="O118" s="965"/>
      <c r="P118" s="962"/>
      <c r="Q118" s="966"/>
      <c r="R118" s="965"/>
      <c r="S118" s="965"/>
      <c r="T118" s="966"/>
      <c r="U118" s="966"/>
      <c r="V118" s="966"/>
      <c r="W118" s="1099"/>
      <c r="X118" s="966"/>
      <c r="Y118" s="968"/>
      <c r="Z118" s="969">
        <f t="shared" si="60"/>
        <v>0</v>
      </c>
      <c r="AA118" s="1199">
        <f>+SUMPRODUCT(AA119:AA120,AB119:AB120)</f>
        <v>1</v>
      </c>
      <c r="AB118" s="964">
        <v>0.25</v>
      </c>
      <c r="AC118" s="879">
        <v>0.25</v>
      </c>
      <c r="AD118" s="471">
        <v>0.25</v>
      </c>
      <c r="AE118" s="971">
        <v>650000000</v>
      </c>
      <c r="AF118" s="971">
        <f>SUM(AF119:AF120)</f>
        <v>94500000</v>
      </c>
      <c r="AG118" s="962">
        <f>SUM(AG119:AG120)</f>
        <v>467921845</v>
      </c>
      <c r="AH118" s="2115">
        <f>SUM(AH119:AH120)</f>
        <v>649281522</v>
      </c>
      <c r="AI118" s="1984">
        <f t="shared" si="54"/>
        <v>0.9988946492307692</v>
      </c>
      <c r="AJ118" s="971">
        <f>SUM(AJ119:AJ120)</f>
        <v>82500000</v>
      </c>
      <c r="AK118" s="971">
        <f>SUM(AK119:AK120)</f>
        <v>452912348</v>
      </c>
      <c r="AL118" s="971">
        <f>SUM(AL119:AL120)</f>
        <v>414575379</v>
      </c>
      <c r="AM118" s="973">
        <f t="shared" si="55"/>
        <v>0.63780827538461538</v>
      </c>
      <c r="AN118" s="974">
        <f>SUM(AN119:AN120)</f>
        <v>234706143</v>
      </c>
      <c r="AO118" s="965">
        <f>SUM(AO119:AO120)</f>
        <v>12000000</v>
      </c>
      <c r="AP118" s="971">
        <f>SUM(AP119:AP120)</f>
        <v>12000000</v>
      </c>
      <c r="AQ118" s="971">
        <f>SUM(AQ119:AQ120)</f>
        <v>15009497</v>
      </c>
      <c r="AR118" s="971">
        <f>SUM(AR119:AR120)</f>
        <v>14799549</v>
      </c>
      <c r="AS118" s="967">
        <f t="shared" si="56"/>
        <v>0.98601232273140138</v>
      </c>
      <c r="AT118" s="976">
        <f t="shared" ref="AT118:AU118" si="105">SUM(AT119:AT120)</f>
        <v>2000000000</v>
      </c>
      <c r="AU118" s="976">
        <f t="shared" si="105"/>
        <v>976787276</v>
      </c>
      <c r="AV118" s="964">
        <f t="shared" si="59"/>
        <v>0.48839363800000002</v>
      </c>
      <c r="AW118" s="975"/>
      <c r="AX118" s="975"/>
      <c r="AY118" s="283"/>
      <c r="AZ118" s="974"/>
      <c r="BA118" s="286"/>
      <c r="BB118" s="286"/>
    </row>
    <row r="119" spans="1:54" ht="105.75" customHeight="1">
      <c r="A119" s="339" t="s">
        <v>587</v>
      </c>
      <c r="B119" s="438" t="s">
        <v>778</v>
      </c>
      <c r="C119" s="1376">
        <v>1</v>
      </c>
      <c r="D119" s="478">
        <v>1</v>
      </c>
      <c r="E119" s="395">
        <v>1</v>
      </c>
      <c r="F119" s="1377">
        <v>1</v>
      </c>
      <c r="G119" s="864">
        <v>1</v>
      </c>
      <c r="H119" s="182">
        <v>1</v>
      </c>
      <c r="I119" s="858"/>
      <c r="J119" s="858"/>
      <c r="K119" s="858"/>
      <c r="L119" s="821">
        <f>IF((F119+I119)/C119&gt;=100%,100%,(F119+I119)/C119)</f>
        <v>1</v>
      </c>
      <c r="M119" s="1090">
        <f>IF((G119+J119)/D119&gt;=100%,100%,(G119+J119)/D119)</f>
        <v>1</v>
      </c>
      <c r="N119" s="821">
        <f t="shared" ref="N119:N133" si="106">IF((H119/E119)&gt;=100%,100%,(H119/E119))</f>
        <v>1</v>
      </c>
      <c r="O119" s="2165" t="s">
        <v>2324</v>
      </c>
      <c r="P119" s="982"/>
      <c r="Q119" s="2041" t="s">
        <v>2183</v>
      </c>
      <c r="R119" s="1015"/>
      <c r="S119" s="1013" t="s">
        <v>2182</v>
      </c>
      <c r="T119" s="2038" t="s">
        <v>2189</v>
      </c>
      <c r="U119" s="204"/>
      <c r="V119" s="204"/>
      <c r="W119" s="985"/>
      <c r="X119" s="204"/>
      <c r="Y119" s="1378">
        <v>1</v>
      </c>
      <c r="Z119" s="986">
        <f t="shared" si="60"/>
        <v>3</v>
      </c>
      <c r="AA119" s="186">
        <f>IF(Z119/Y119&gt;=100%,100%,Z119/Y119)</f>
        <v>1</v>
      </c>
      <c r="AB119" s="1379">
        <v>0.5</v>
      </c>
      <c r="AC119" s="893">
        <v>0.5</v>
      </c>
      <c r="AD119" s="476">
        <v>0.5</v>
      </c>
      <c r="AE119" s="535">
        <v>300000000</v>
      </c>
      <c r="AF119" s="369">
        <v>94500000</v>
      </c>
      <c r="AG119" s="2076">
        <v>246583312</v>
      </c>
      <c r="AH119" s="2132">
        <v>299668395</v>
      </c>
      <c r="AI119" s="2110">
        <f t="shared" si="54"/>
        <v>0.99889465</v>
      </c>
      <c r="AJ119" s="369">
        <v>82500000</v>
      </c>
      <c r="AK119" s="369">
        <v>238819095</v>
      </c>
      <c r="AL119" s="1962">
        <v>262704021</v>
      </c>
      <c r="AM119" s="988">
        <f t="shared" si="55"/>
        <v>0.87568007000000003</v>
      </c>
      <c r="AN119" s="997">
        <f t="shared" ref="AN119:AN120" si="107">+AH119-AL119</f>
        <v>36964374</v>
      </c>
      <c r="AO119" s="1380">
        <v>12000000</v>
      </c>
      <c r="AP119" s="369">
        <v>12000000</v>
      </c>
      <c r="AQ119" s="1962">
        <v>7764217</v>
      </c>
      <c r="AR119" s="1962">
        <v>7662859</v>
      </c>
      <c r="AS119" s="614">
        <f t="shared" si="56"/>
        <v>0.98694549624257022</v>
      </c>
      <c r="AT119" s="1046">
        <v>1000000000</v>
      </c>
      <c r="AU119" s="993">
        <f t="shared" ref="AU119:AU120" si="108">SUM(AJ119:AL119)+AR119+AP119</f>
        <v>603685975</v>
      </c>
      <c r="AV119" s="1090">
        <f t="shared" si="59"/>
        <v>0.60368597499999999</v>
      </c>
      <c r="AW119" s="191"/>
      <c r="AX119" s="191"/>
      <c r="AY119" s="190" t="s">
        <v>30</v>
      </c>
      <c r="AZ119" s="1381" t="s">
        <v>907</v>
      </c>
      <c r="BA119" s="1047"/>
      <c r="BB119" s="1047"/>
    </row>
    <row r="120" spans="1:54" ht="69" customHeight="1" thickBot="1">
      <c r="A120" s="1382" t="s">
        <v>588</v>
      </c>
      <c r="B120" s="1383" t="s">
        <v>779</v>
      </c>
      <c r="C120" s="1384">
        <v>0</v>
      </c>
      <c r="D120" s="836">
        <v>10</v>
      </c>
      <c r="E120" s="396">
        <v>12</v>
      </c>
      <c r="F120" s="1385">
        <v>0</v>
      </c>
      <c r="G120" s="870">
        <v>10</v>
      </c>
      <c r="H120" s="213">
        <v>12</v>
      </c>
      <c r="I120" s="860"/>
      <c r="J120" s="860"/>
      <c r="K120" s="860"/>
      <c r="L120" s="1021" t="e">
        <f>IF((F120+I120)/C120&gt;=100%,100%,(F120+I120)/C120)</f>
        <v>#DIV/0!</v>
      </c>
      <c r="M120" s="1090">
        <f>IF((G120+J120)/D120&gt;=100%,100%,(G120+J120)/D120)</f>
        <v>1</v>
      </c>
      <c r="N120" s="821">
        <f t="shared" si="106"/>
        <v>1</v>
      </c>
      <c r="O120" s="2165" t="s">
        <v>2325</v>
      </c>
      <c r="P120" s="1023"/>
      <c r="Q120" s="2041" t="s">
        <v>2183</v>
      </c>
      <c r="R120" s="1015"/>
      <c r="S120" s="1013" t="s">
        <v>2182</v>
      </c>
      <c r="T120" s="2038" t="s">
        <v>2190</v>
      </c>
      <c r="U120" s="181"/>
      <c r="V120" s="181"/>
      <c r="W120" s="1024"/>
      <c r="X120" s="181"/>
      <c r="Y120" s="1386">
        <v>22</v>
      </c>
      <c r="Z120" s="1026">
        <f t="shared" si="60"/>
        <v>22</v>
      </c>
      <c r="AA120" s="1387">
        <f>IF(Z120/Y120&gt;=100%,100%,Z120/Y120)</f>
        <v>1</v>
      </c>
      <c r="AB120" s="1388">
        <v>0.5</v>
      </c>
      <c r="AC120" s="894">
        <v>0.5</v>
      </c>
      <c r="AD120" s="476">
        <v>0.5</v>
      </c>
      <c r="AE120" s="1389">
        <v>350000000</v>
      </c>
      <c r="AF120" s="1390">
        <v>0</v>
      </c>
      <c r="AG120" s="1962">
        <v>221338533</v>
      </c>
      <c r="AH120" s="2132">
        <v>349613127</v>
      </c>
      <c r="AI120" s="1995">
        <f t="shared" si="54"/>
        <v>0.99889464857142862</v>
      </c>
      <c r="AJ120" s="1390">
        <v>0</v>
      </c>
      <c r="AK120" s="1390">
        <v>214093253</v>
      </c>
      <c r="AL120" s="1962">
        <v>151871358</v>
      </c>
      <c r="AM120" s="1030">
        <f t="shared" si="55"/>
        <v>0.43391816571428571</v>
      </c>
      <c r="AN120" s="997">
        <f t="shared" si="107"/>
        <v>197741769</v>
      </c>
      <c r="AO120" s="1391">
        <v>0</v>
      </c>
      <c r="AP120" s="1390">
        <v>0</v>
      </c>
      <c r="AQ120" s="1962">
        <v>7245280</v>
      </c>
      <c r="AR120" s="1962">
        <v>7136690</v>
      </c>
      <c r="AS120" s="1053">
        <f t="shared" si="56"/>
        <v>0.98501231146346313</v>
      </c>
      <c r="AT120" s="1054">
        <v>1000000000</v>
      </c>
      <c r="AU120" s="993">
        <f t="shared" si="108"/>
        <v>373101301</v>
      </c>
      <c r="AV120" s="1139">
        <f t="shared" si="59"/>
        <v>0.373101301</v>
      </c>
      <c r="AW120" s="173"/>
      <c r="AX120" s="173"/>
      <c r="AY120" s="189" t="s">
        <v>30</v>
      </c>
      <c r="AZ120" s="1392" t="s">
        <v>907</v>
      </c>
      <c r="BA120" s="1037"/>
      <c r="BB120" s="1037"/>
    </row>
    <row r="121" spans="1:54" ht="45.75" customHeight="1" thickBot="1">
      <c r="A121" s="961" t="s">
        <v>467</v>
      </c>
      <c r="B121" s="962"/>
      <c r="C121" s="861"/>
      <c r="D121" s="826"/>
      <c r="E121" s="223"/>
      <c r="F121" s="963"/>
      <c r="G121" s="861"/>
      <c r="H121" s="139"/>
      <c r="I121" s="861"/>
      <c r="J121" s="861"/>
      <c r="K121" s="861"/>
      <c r="L121" s="964">
        <f>+SUMPRODUCT(L122:L124,AB122:AB124)</f>
        <v>1</v>
      </c>
      <c r="M121" s="973">
        <f>+SUMPRODUCT(M122:M124,AC122:AC124)</f>
        <v>1</v>
      </c>
      <c r="N121" s="973">
        <f>+SUMPRODUCT(N122:N124,AD122:AD124)</f>
        <v>1</v>
      </c>
      <c r="O121" s="965"/>
      <c r="P121" s="962"/>
      <c r="Q121" s="966"/>
      <c r="R121" s="965"/>
      <c r="S121" s="965"/>
      <c r="T121" s="966"/>
      <c r="U121" s="966"/>
      <c r="V121" s="966"/>
      <c r="W121" s="1099"/>
      <c r="X121" s="966"/>
      <c r="Y121" s="968"/>
      <c r="Z121" s="969">
        <f t="shared" si="60"/>
        <v>0</v>
      </c>
      <c r="AA121" s="1199">
        <f>+SUMPRODUCT(AA122:AA124,AB122:AB124)</f>
        <v>0.76749999999999996</v>
      </c>
      <c r="AB121" s="964">
        <v>0.25</v>
      </c>
      <c r="AC121" s="879">
        <v>0.25</v>
      </c>
      <c r="AD121" s="471">
        <v>0.25</v>
      </c>
      <c r="AE121" s="971">
        <v>630000000</v>
      </c>
      <c r="AF121" s="971">
        <f>SUM(AF122:AF124)</f>
        <v>680000000</v>
      </c>
      <c r="AG121" s="962">
        <f>SUM(AG122:AG124)</f>
        <v>523011320</v>
      </c>
      <c r="AH121" s="2115">
        <f>SUM(AH122:AH124)</f>
        <v>622866147</v>
      </c>
      <c r="AI121" s="1984">
        <f t="shared" si="54"/>
        <v>0.98867642380952381</v>
      </c>
      <c r="AJ121" s="971">
        <f>SUM(AJ122:AJ124)</f>
        <v>0</v>
      </c>
      <c r="AK121" s="971">
        <f>SUM(AK122:AK124)</f>
        <v>479175420</v>
      </c>
      <c r="AL121" s="971">
        <f>SUM(AL122:AL124)</f>
        <v>448091489</v>
      </c>
      <c r="AM121" s="973">
        <f t="shared" si="55"/>
        <v>0.71125633174603176</v>
      </c>
      <c r="AN121" s="974">
        <f>SUM(AN122:AN124)</f>
        <v>174774658</v>
      </c>
      <c r="AO121" s="965">
        <f>SUM(AO122:AO124)</f>
        <v>680000000</v>
      </c>
      <c r="AP121" s="971">
        <f>SUM(AP122:AP124)</f>
        <v>680000000</v>
      </c>
      <c r="AQ121" s="971">
        <f>SUM(AQ122:AQ124)</f>
        <v>43835900</v>
      </c>
      <c r="AR121" s="971">
        <f>SUM(AR122:AR124)</f>
        <v>43628576</v>
      </c>
      <c r="AS121" s="967">
        <f t="shared" si="56"/>
        <v>0.99527045184426466</v>
      </c>
      <c r="AT121" s="971">
        <f t="shared" ref="AT121:AU121" si="109">SUM(AT122:AT124)</f>
        <v>3920000000</v>
      </c>
      <c r="AU121" s="971">
        <f t="shared" si="109"/>
        <v>1650895485</v>
      </c>
      <c r="AV121" s="964">
        <f t="shared" si="59"/>
        <v>0.42114680739795918</v>
      </c>
      <c r="AW121" s="975"/>
      <c r="AX121" s="975"/>
      <c r="AY121" s="283"/>
      <c r="AZ121" s="974"/>
      <c r="BA121" s="286"/>
      <c r="BB121" s="286"/>
    </row>
    <row r="122" spans="1:54" ht="80.25" customHeight="1">
      <c r="A122" s="340" t="s">
        <v>589</v>
      </c>
      <c r="B122" s="1393" t="s">
        <v>780</v>
      </c>
      <c r="C122" s="1394">
        <v>2</v>
      </c>
      <c r="D122" s="397">
        <v>7</v>
      </c>
      <c r="E122" s="397">
        <v>7</v>
      </c>
      <c r="F122" s="978">
        <v>0</v>
      </c>
      <c r="G122" s="858">
        <v>7</v>
      </c>
      <c r="H122" s="147">
        <v>7</v>
      </c>
      <c r="I122" s="858">
        <v>2</v>
      </c>
      <c r="J122" s="858"/>
      <c r="K122" s="858"/>
      <c r="L122" s="821">
        <f t="shared" ref="L122:M124" si="110">IF((F122+I122)/C122&gt;=100%,100%,(F122+I122)/C122)</f>
        <v>1</v>
      </c>
      <c r="M122" s="1090">
        <f t="shared" si="110"/>
        <v>1</v>
      </c>
      <c r="N122" s="821">
        <f>IF((H122/E122)&gt;=100%,100%,(H122/E122))</f>
        <v>1</v>
      </c>
      <c r="O122" s="2165" t="s">
        <v>2326</v>
      </c>
      <c r="P122" s="1273"/>
      <c r="Q122" s="2041" t="s">
        <v>2183</v>
      </c>
      <c r="R122" s="1015"/>
      <c r="S122" s="1013" t="s">
        <v>2182</v>
      </c>
      <c r="T122" s="2038" t="s">
        <v>2191</v>
      </c>
      <c r="U122" s="1276"/>
      <c r="V122" s="1276"/>
      <c r="W122" s="985"/>
      <c r="X122" s="1276"/>
      <c r="Y122" s="1326">
        <v>20</v>
      </c>
      <c r="Z122" s="1059">
        <f t="shared" si="60"/>
        <v>16</v>
      </c>
      <c r="AA122" s="186">
        <f>IF(Z122/Y122&gt;=100%,100%,Z122/Y122)</f>
        <v>0.8</v>
      </c>
      <c r="AB122" s="1379">
        <v>0.35</v>
      </c>
      <c r="AC122" s="893">
        <v>0.35</v>
      </c>
      <c r="AD122" s="476">
        <v>0.35</v>
      </c>
      <c r="AE122" s="687">
        <v>402500000</v>
      </c>
      <c r="AF122" s="1395">
        <v>480000000</v>
      </c>
      <c r="AG122" s="2077">
        <f>345340879/2</f>
        <v>172670439.5</v>
      </c>
      <c r="AH122" s="2133">
        <v>395553830</v>
      </c>
      <c r="AI122" s="2110">
        <f t="shared" si="54"/>
        <v>0.9827424347826087</v>
      </c>
      <c r="AJ122" s="1395">
        <v>0</v>
      </c>
      <c r="AK122" s="1395">
        <f>306116947/2</f>
        <v>153058473.5</v>
      </c>
      <c r="AL122" s="2155">
        <v>425232234</v>
      </c>
      <c r="AM122" s="1331">
        <f t="shared" si="55"/>
        <v>1.0564776</v>
      </c>
      <c r="AN122" s="997">
        <f>+AH122-AL122</f>
        <v>-29678404</v>
      </c>
      <c r="AO122" s="1396">
        <f>480000000/2</f>
        <v>240000000</v>
      </c>
      <c r="AP122" s="1395">
        <f>480000000/2</f>
        <v>240000000</v>
      </c>
      <c r="AQ122" s="1963">
        <f>39223932/2</f>
        <v>19611966</v>
      </c>
      <c r="AR122" s="1963">
        <f>39085716/2</f>
        <v>19542858</v>
      </c>
      <c r="AS122" s="614">
        <f t="shared" si="56"/>
        <v>0.99647623292840704</v>
      </c>
      <c r="AT122" s="1046">
        <v>2800000000</v>
      </c>
      <c r="AU122" s="993">
        <f t="shared" ref="AU122:AU124" si="111">SUM(AJ122:AL122)+AR122+AP122</f>
        <v>837833565.5</v>
      </c>
      <c r="AV122" s="1090">
        <f t="shared" si="59"/>
        <v>0.29922627339285712</v>
      </c>
      <c r="AW122" s="1328"/>
      <c r="AX122" s="1111"/>
      <c r="AY122" s="190" t="s">
        <v>30</v>
      </c>
      <c r="AZ122" s="2302" t="s">
        <v>908</v>
      </c>
      <c r="BA122" s="1047"/>
      <c r="BB122" s="1047"/>
    </row>
    <row r="123" spans="1:54" ht="52.5" customHeight="1">
      <c r="A123" s="336" t="s">
        <v>590</v>
      </c>
      <c r="B123" s="440" t="s">
        <v>781</v>
      </c>
      <c r="C123" s="1394">
        <v>1</v>
      </c>
      <c r="D123" s="397">
        <v>1</v>
      </c>
      <c r="E123" s="397">
        <v>1</v>
      </c>
      <c r="F123" s="213">
        <v>0</v>
      </c>
      <c r="G123" s="147">
        <v>1</v>
      </c>
      <c r="H123" s="147">
        <v>1</v>
      </c>
      <c r="I123" s="147">
        <v>1</v>
      </c>
      <c r="J123" s="147"/>
      <c r="K123" s="147"/>
      <c r="L123" s="180">
        <f t="shared" si="110"/>
        <v>1</v>
      </c>
      <c r="M123" s="1090">
        <f t="shared" si="110"/>
        <v>1</v>
      </c>
      <c r="N123" s="821">
        <f t="shared" si="106"/>
        <v>1</v>
      </c>
      <c r="O123" s="2165" t="s">
        <v>2327</v>
      </c>
      <c r="P123" s="1023"/>
      <c r="Q123" s="2041" t="s">
        <v>2183</v>
      </c>
      <c r="R123" s="1015"/>
      <c r="S123" s="1013" t="s">
        <v>2182</v>
      </c>
      <c r="T123" s="2038" t="s">
        <v>2191</v>
      </c>
      <c r="U123" s="181"/>
      <c r="V123" s="181"/>
      <c r="W123" s="150"/>
      <c r="X123" s="181"/>
      <c r="Y123" s="236">
        <v>4</v>
      </c>
      <c r="Z123" s="1008">
        <f t="shared" si="60"/>
        <v>3</v>
      </c>
      <c r="AA123" s="186">
        <f t="shared" ref="AA123:AA124" si="112">IF(Z123/Y123&gt;=100%,100%,Z123/Y123)</f>
        <v>0.75</v>
      </c>
      <c r="AB123" s="1397">
        <v>0.35</v>
      </c>
      <c r="AC123" s="476">
        <v>0.35</v>
      </c>
      <c r="AD123" s="476">
        <v>0.35</v>
      </c>
      <c r="AE123" s="688">
        <v>57500000</v>
      </c>
      <c r="AF123" s="628">
        <v>0</v>
      </c>
      <c r="AG123" s="2078">
        <f>345340879/2</f>
        <v>172670439.5</v>
      </c>
      <c r="AH123" s="2133">
        <v>57500000</v>
      </c>
      <c r="AI123" s="1996">
        <f t="shared" si="54"/>
        <v>1</v>
      </c>
      <c r="AJ123" s="628">
        <v>0</v>
      </c>
      <c r="AK123" s="627">
        <f>306116947/2</f>
        <v>153058473.5</v>
      </c>
      <c r="AL123" s="1963">
        <v>0</v>
      </c>
      <c r="AM123" s="1030">
        <f t="shared" si="55"/>
        <v>0</v>
      </c>
      <c r="AN123" s="997">
        <f t="shared" ref="AN123" si="113">+AH123-AL123</f>
        <v>57500000</v>
      </c>
      <c r="AO123" s="1398">
        <f>480000000/2</f>
        <v>240000000</v>
      </c>
      <c r="AP123" s="627">
        <f>480000000/2</f>
        <v>240000000</v>
      </c>
      <c r="AQ123" s="1963">
        <f>39223932/2</f>
        <v>19611966</v>
      </c>
      <c r="AR123" s="1963">
        <f>39085716/2</f>
        <v>19542858</v>
      </c>
      <c r="AS123" s="614">
        <f t="shared" si="56"/>
        <v>0.99647623292840704</v>
      </c>
      <c r="AT123" s="250">
        <v>320000000</v>
      </c>
      <c r="AU123" s="993">
        <f t="shared" si="111"/>
        <v>412601331.5</v>
      </c>
      <c r="AV123" s="1134">
        <f t="shared" si="59"/>
        <v>1.2893791609375</v>
      </c>
      <c r="AW123" s="1140"/>
      <c r="AX123" s="1119"/>
      <c r="AY123" s="152" t="s">
        <v>30</v>
      </c>
      <c r="AZ123" s="2290"/>
      <c r="BA123" s="93"/>
      <c r="BB123" s="93"/>
    </row>
    <row r="124" spans="1:54" ht="52.5" customHeight="1" thickBot="1">
      <c r="A124" s="1399" t="s">
        <v>591</v>
      </c>
      <c r="B124" s="441" t="s">
        <v>782</v>
      </c>
      <c r="C124" s="1400">
        <v>1</v>
      </c>
      <c r="D124" s="837">
        <v>1</v>
      </c>
      <c r="E124" s="397">
        <v>1</v>
      </c>
      <c r="F124" s="870">
        <v>0</v>
      </c>
      <c r="G124" s="860">
        <v>1</v>
      </c>
      <c r="H124" s="147">
        <v>1</v>
      </c>
      <c r="I124" s="860">
        <v>1</v>
      </c>
      <c r="J124" s="860"/>
      <c r="K124" s="860"/>
      <c r="L124" s="1021">
        <f t="shared" si="110"/>
        <v>1</v>
      </c>
      <c r="M124" s="1090">
        <f t="shared" si="110"/>
        <v>1</v>
      </c>
      <c r="N124" s="821">
        <f t="shared" si="106"/>
        <v>1</v>
      </c>
      <c r="O124" s="2165" t="s">
        <v>2328</v>
      </c>
      <c r="P124" s="1023"/>
      <c r="Q124" s="2041" t="s">
        <v>2183</v>
      </c>
      <c r="R124" s="1015"/>
      <c r="S124" s="1013" t="s">
        <v>2182</v>
      </c>
      <c r="T124" s="2038">
        <v>284</v>
      </c>
      <c r="U124" s="181"/>
      <c r="V124" s="181"/>
      <c r="W124" s="1024"/>
      <c r="X124" s="181"/>
      <c r="Y124" s="236">
        <v>4</v>
      </c>
      <c r="Z124" s="1130">
        <f t="shared" si="60"/>
        <v>3</v>
      </c>
      <c r="AA124" s="1387">
        <f t="shared" si="112"/>
        <v>0.75</v>
      </c>
      <c r="AB124" s="1388">
        <v>0.3</v>
      </c>
      <c r="AC124" s="894">
        <v>0.3</v>
      </c>
      <c r="AD124" s="476">
        <v>0.3</v>
      </c>
      <c r="AE124" s="1401">
        <v>170000000</v>
      </c>
      <c r="AF124" s="1402">
        <v>200000000</v>
      </c>
      <c r="AG124" s="2079">
        <v>177670441</v>
      </c>
      <c r="AH124" s="2133">
        <v>169812317</v>
      </c>
      <c r="AI124" s="1995">
        <f t="shared" si="54"/>
        <v>0.99889598235294119</v>
      </c>
      <c r="AJ124" s="1402">
        <v>0</v>
      </c>
      <c r="AK124" s="1403">
        <v>173058473</v>
      </c>
      <c r="AL124" s="1963">
        <v>22859255</v>
      </c>
      <c r="AM124" s="1030">
        <f t="shared" si="55"/>
        <v>0.13446620588235295</v>
      </c>
      <c r="AN124" s="997">
        <f>+AH124-AL124</f>
        <v>146953062</v>
      </c>
      <c r="AO124" s="1404">
        <v>200000000</v>
      </c>
      <c r="AP124" s="1403">
        <v>200000000</v>
      </c>
      <c r="AQ124" s="1963">
        <v>4611968</v>
      </c>
      <c r="AR124" s="1963">
        <v>4542860</v>
      </c>
      <c r="AS124" s="1053">
        <f t="shared" si="56"/>
        <v>0.98501550747967026</v>
      </c>
      <c r="AT124" s="1054">
        <v>800000000</v>
      </c>
      <c r="AU124" s="993">
        <f t="shared" si="111"/>
        <v>400460588</v>
      </c>
      <c r="AV124" s="1139">
        <f t="shared" si="59"/>
        <v>0.50057573499999997</v>
      </c>
      <c r="AW124" s="1140"/>
      <c r="AX124" s="1140"/>
      <c r="AY124" s="189" t="s">
        <v>30</v>
      </c>
      <c r="AZ124" s="1352" t="s">
        <v>890</v>
      </c>
      <c r="BA124" s="1037"/>
      <c r="BB124" s="1037"/>
    </row>
    <row r="125" spans="1:54" ht="52.5" customHeight="1" thickBot="1">
      <c r="A125" s="961" t="s">
        <v>468</v>
      </c>
      <c r="B125" s="962"/>
      <c r="C125" s="861"/>
      <c r="D125" s="826"/>
      <c r="E125" s="223"/>
      <c r="F125" s="963"/>
      <c r="G125" s="861"/>
      <c r="H125" s="139"/>
      <c r="I125" s="861"/>
      <c r="J125" s="861"/>
      <c r="K125" s="861"/>
      <c r="L125" s="964">
        <f>+(L126*25%)+(L127*25%)+(L129*50%)</f>
        <v>1</v>
      </c>
      <c r="M125" s="973">
        <f>+SUMPRODUCT(M126:M131,AC126:AC131)</f>
        <v>1</v>
      </c>
      <c r="N125" s="973">
        <f>+SUMPRODUCT(N126:N131,AD126:AD131)</f>
        <v>1</v>
      </c>
      <c r="O125" s="965"/>
      <c r="P125" s="962"/>
      <c r="Q125" s="966"/>
      <c r="R125" s="965"/>
      <c r="S125" s="965"/>
      <c r="T125" s="966"/>
      <c r="U125" s="966"/>
      <c r="V125" s="966"/>
      <c r="W125" s="1099"/>
      <c r="X125" s="966"/>
      <c r="Y125" s="968"/>
      <c r="Z125" s="969">
        <f t="shared" si="60"/>
        <v>0</v>
      </c>
      <c r="AA125" s="1199">
        <f>+SUMPRODUCT(AA126:AA131,AB126:AB131)</f>
        <v>0.74999999999999989</v>
      </c>
      <c r="AB125" s="964">
        <v>0.25</v>
      </c>
      <c r="AC125" s="879">
        <v>0.25</v>
      </c>
      <c r="AD125" s="471">
        <v>0.25</v>
      </c>
      <c r="AE125" s="971">
        <v>310000000</v>
      </c>
      <c r="AF125" s="971">
        <f>SUM(AF126:AF131)</f>
        <v>100000000</v>
      </c>
      <c r="AG125" s="962">
        <f>SUM(AG126:AG131)</f>
        <v>373611664.68000001</v>
      </c>
      <c r="AH125" s="2115">
        <f>SUM(AH126:AH131)</f>
        <v>300265020.15999997</v>
      </c>
      <c r="AI125" s="1984">
        <f t="shared" si="54"/>
        <v>0.96859683922580631</v>
      </c>
      <c r="AJ125" s="971">
        <f>SUM(AJ126:AJ131)</f>
        <v>12000000</v>
      </c>
      <c r="AK125" s="971">
        <f>SUM(AK126:AK131)</f>
        <v>272088917</v>
      </c>
      <c r="AL125" s="971">
        <f>SUM(AL126:AL131)</f>
        <v>243026892</v>
      </c>
      <c r="AM125" s="973">
        <f t="shared" si="55"/>
        <v>0.78395771612903231</v>
      </c>
      <c r="AN125" s="974">
        <f>SUM(AN126:AN131)</f>
        <v>57238128.159999996</v>
      </c>
      <c r="AO125" s="965">
        <f>SUM(AO126:AO131)</f>
        <v>88000000</v>
      </c>
      <c r="AP125" s="971">
        <f>SUM(AP126:AP131)</f>
        <v>0</v>
      </c>
      <c r="AQ125" s="971">
        <f>SUM(AQ126:AQ131)</f>
        <v>101522747.68000001</v>
      </c>
      <c r="AR125" s="971">
        <f>SUM(AR126:AR131)</f>
        <v>93667119.200000003</v>
      </c>
      <c r="AS125" s="967">
        <f t="shared" si="56"/>
        <v>0.92262198709632082</v>
      </c>
      <c r="AT125" s="971">
        <f t="shared" ref="AT125:AU125" si="114">SUM(AT126:AT131)</f>
        <v>2290000000</v>
      </c>
      <c r="AU125" s="971">
        <f t="shared" si="114"/>
        <v>620782928.20000005</v>
      </c>
      <c r="AV125" s="964">
        <f>+AU125/AT125</f>
        <v>0.27108424812227078</v>
      </c>
      <c r="AW125" s="975"/>
      <c r="AX125" s="975"/>
      <c r="AY125" s="283"/>
      <c r="AZ125" s="974"/>
      <c r="BA125" s="286"/>
      <c r="BB125" s="286"/>
    </row>
    <row r="126" spans="1:54" ht="48.75" customHeight="1">
      <c r="A126" s="341" t="s">
        <v>592</v>
      </c>
      <c r="B126" s="1393" t="s">
        <v>783</v>
      </c>
      <c r="C126" s="1405">
        <v>1</v>
      </c>
      <c r="D126" s="398">
        <v>1</v>
      </c>
      <c r="E126" s="398">
        <v>1</v>
      </c>
      <c r="F126" s="978">
        <v>1</v>
      </c>
      <c r="G126" s="858">
        <v>1</v>
      </c>
      <c r="H126" s="147">
        <v>1</v>
      </c>
      <c r="I126" s="858"/>
      <c r="J126" s="858"/>
      <c r="K126" s="858"/>
      <c r="L126" s="821">
        <f t="shared" ref="L126:M131" si="115">IF((F126+I126)/C126&gt;=100%,100%,(F126+I126)/C126)</f>
        <v>1</v>
      </c>
      <c r="M126" s="1090">
        <f t="shared" si="115"/>
        <v>1</v>
      </c>
      <c r="N126" s="821">
        <f t="shared" si="106"/>
        <v>1</v>
      </c>
      <c r="O126" s="2165" t="s">
        <v>2329</v>
      </c>
      <c r="P126" s="1273"/>
      <c r="Q126" s="2041" t="s">
        <v>2183</v>
      </c>
      <c r="R126" s="1015"/>
      <c r="S126" s="1013" t="s">
        <v>2182</v>
      </c>
      <c r="T126" s="2037" t="s">
        <v>2192</v>
      </c>
      <c r="U126" s="1276"/>
      <c r="V126" s="1276"/>
      <c r="W126" s="985"/>
      <c r="X126" s="1276"/>
      <c r="Y126" s="1326">
        <v>4</v>
      </c>
      <c r="Z126" s="986">
        <f t="shared" si="60"/>
        <v>3</v>
      </c>
      <c r="AA126" s="186">
        <f t="shared" ref="AA126:AA131" si="116">IF(Z126/Y126&gt;=100%,100%,Z126/Y126)</f>
        <v>0.75</v>
      </c>
      <c r="AB126" s="1406">
        <v>0.1</v>
      </c>
      <c r="AC126" s="493">
        <v>0.1</v>
      </c>
      <c r="AD126" s="2030">
        <v>0.13</v>
      </c>
      <c r="AE126" s="535">
        <v>50000000</v>
      </c>
      <c r="AF126" s="628">
        <v>50000000</v>
      </c>
      <c r="AG126" s="2080">
        <f>108446960/2</f>
        <v>54223480</v>
      </c>
      <c r="AH126" s="2134">
        <v>49974158</v>
      </c>
      <c r="AI126" s="2110">
        <f t="shared" si="54"/>
        <v>0.99948316000000004</v>
      </c>
      <c r="AJ126" s="628">
        <v>12000000</v>
      </c>
      <c r="AK126" s="628">
        <f>100666859/2</f>
        <v>50333429.5</v>
      </c>
      <c r="AL126" s="1964">
        <v>46022601</v>
      </c>
      <c r="AM126" s="1331">
        <f t="shared" si="55"/>
        <v>0.92045202000000004</v>
      </c>
      <c r="AN126" s="997">
        <f t="shared" ref="AN126:AN131" si="117">+AH126-AL126</f>
        <v>3951557</v>
      </c>
      <c r="AO126" s="1407">
        <f>88000000/2</f>
        <v>44000000</v>
      </c>
      <c r="AP126" s="628">
        <v>0</v>
      </c>
      <c r="AQ126" s="1964">
        <f>7780101/2</f>
        <v>3890050.5</v>
      </c>
      <c r="AR126" s="1964">
        <f>7734027/2</f>
        <v>3867013.5</v>
      </c>
      <c r="AS126" s="614">
        <f t="shared" si="56"/>
        <v>0.99407796891068634</v>
      </c>
      <c r="AT126" s="1046">
        <v>200000000</v>
      </c>
      <c r="AU126" s="993">
        <f t="shared" ref="AU126:AU131" si="118">SUM(AJ126:AL126)+AR126+AP126</f>
        <v>112223044</v>
      </c>
      <c r="AV126" s="1331">
        <f t="shared" si="59"/>
        <v>0.56111522000000003</v>
      </c>
      <c r="AW126" s="1286"/>
      <c r="AX126" s="191"/>
      <c r="AY126" s="190" t="s">
        <v>30</v>
      </c>
      <c r="AZ126" s="2303" t="s">
        <v>890</v>
      </c>
      <c r="BA126" s="1047"/>
      <c r="BB126" s="1047"/>
    </row>
    <row r="127" spans="1:54" ht="48.75" customHeight="1">
      <c r="A127" s="342" t="s">
        <v>593</v>
      </c>
      <c r="B127" s="440" t="s">
        <v>784</v>
      </c>
      <c r="C127" s="1405">
        <v>1</v>
      </c>
      <c r="D127" s="398">
        <v>1</v>
      </c>
      <c r="E127" s="398">
        <v>1</v>
      </c>
      <c r="F127" s="213">
        <v>1</v>
      </c>
      <c r="G127" s="147">
        <v>1</v>
      </c>
      <c r="H127" s="147">
        <v>1</v>
      </c>
      <c r="I127" s="147"/>
      <c r="J127" s="147"/>
      <c r="K127" s="147"/>
      <c r="L127" s="180">
        <f t="shared" si="115"/>
        <v>1</v>
      </c>
      <c r="M127" s="1090">
        <f t="shared" si="115"/>
        <v>1</v>
      </c>
      <c r="N127" s="821">
        <f t="shared" si="106"/>
        <v>1</v>
      </c>
      <c r="O127" s="2165" t="s">
        <v>2330</v>
      </c>
      <c r="P127" s="1023"/>
      <c r="Q127" s="2041" t="s">
        <v>2183</v>
      </c>
      <c r="R127" s="1015"/>
      <c r="S127" s="1013" t="s">
        <v>2182</v>
      </c>
      <c r="T127" s="2037" t="s">
        <v>2192</v>
      </c>
      <c r="U127" s="181"/>
      <c r="V127" s="181"/>
      <c r="W127" s="150"/>
      <c r="X127" s="181"/>
      <c r="Y127" s="236">
        <v>4</v>
      </c>
      <c r="Z127" s="242">
        <f t="shared" si="60"/>
        <v>3</v>
      </c>
      <c r="AA127" s="186">
        <f t="shared" si="116"/>
        <v>0.75</v>
      </c>
      <c r="AB127" s="1408">
        <v>0.1</v>
      </c>
      <c r="AC127" s="492">
        <v>0.1</v>
      </c>
      <c r="AD127" s="2030">
        <v>0.13</v>
      </c>
      <c r="AE127" s="1409">
        <v>50000000</v>
      </c>
      <c r="AF127" s="1410">
        <v>50000000</v>
      </c>
      <c r="AG127" s="2081">
        <f>108446960/2</f>
        <v>54223480</v>
      </c>
      <c r="AH127" s="2134">
        <v>49974158</v>
      </c>
      <c r="AI127" s="1993">
        <f t="shared" si="54"/>
        <v>0.99948316000000004</v>
      </c>
      <c r="AJ127" s="1410">
        <v>0</v>
      </c>
      <c r="AK127" s="1410">
        <f>100666859/2</f>
        <v>50333429.5</v>
      </c>
      <c r="AL127" s="1964">
        <v>46022601</v>
      </c>
      <c r="AM127" s="1134">
        <f t="shared" si="55"/>
        <v>0.92045202000000004</v>
      </c>
      <c r="AN127" s="997">
        <f t="shared" si="117"/>
        <v>3951557</v>
      </c>
      <c r="AO127" s="1411">
        <f>88000000/2</f>
        <v>44000000</v>
      </c>
      <c r="AP127" s="1410">
        <v>0</v>
      </c>
      <c r="AQ127" s="1964">
        <f>7780101/2</f>
        <v>3890050.5</v>
      </c>
      <c r="AR127" s="1964">
        <f>7734027/2</f>
        <v>3867013.5</v>
      </c>
      <c r="AS127" s="1089">
        <f t="shared" si="56"/>
        <v>0.99407796891068634</v>
      </c>
      <c r="AT127" s="1118">
        <v>200000000</v>
      </c>
      <c r="AU127" s="993">
        <f t="shared" si="118"/>
        <v>100223044</v>
      </c>
      <c r="AV127" s="1134">
        <f t="shared" si="59"/>
        <v>0.50111521999999997</v>
      </c>
      <c r="AW127" s="1140"/>
      <c r="AX127" s="1119"/>
      <c r="AY127" s="152" t="s">
        <v>30</v>
      </c>
      <c r="AZ127" s="2290"/>
      <c r="BA127" s="93"/>
      <c r="BB127" s="93"/>
    </row>
    <row r="128" spans="1:54" ht="48.75" customHeight="1">
      <c r="A128" s="339" t="s">
        <v>594</v>
      </c>
      <c r="B128" s="440" t="s">
        <v>785</v>
      </c>
      <c r="C128" s="1405">
        <v>0</v>
      </c>
      <c r="D128" s="398">
        <v>2</v>
      </c>
      <c r="E128" s="398">
        <v>2</v>
      </c>
      <c r="F128" s="213">
        <v>0</v>
      </c>
      <c r="G128" s="147">
        <v>2</v>
      </c>
      <c r="H128" s="147">
        <v>4</v>
      </c>
      <c r="I128" s="147"/>
      <c r="J128" s="147"/>
      <c r="K128" s="147"/>
      <c r="L128" s="180" t="e">
        <f t="shared" si="115"/>
        <v>#DIV/0!</v>
      </c>
      <c r="M128" s="1090">
        <f t="shared" si="115"/>
        <v>1</v>
      </c>
      <c r="N128" s="821">
        <f t="shared" si="106"/>
        <v>1</v>
      </c>
      <c r="O128" s="2165" t="s">
        <v>2331</v>
      </c>
      <c r="P128" s="1023"/>
      <c r="Q128" s="101"/>
      <c r="R128" s="104"/>
      <c r="S128" s="146"/>
      <c r="T128" s="181"/>
      <c r="U128" s="181"/>
      <c r="V128" s="181"/>
      <c r="W128" s="150"/>
      <c r="X128" s="181"/>
      <c r="Y128" s="236">
        <v>4</v>
      </c>
      <c r="Z128" s="242">
        <f t="shared" si="60"/>
        <v>6</v>
      </c>
      <c r="AA128" s="186">
        <f t="shared" si="116"/>
        <v>1</v>
      </c>
      <c r="AB128" s="1406">
        <v>0.2</v>
      </c>
      <c r="AC128" s="493">
        <v>0.2</v>
      </c>
      <c r="AD128" s="2031">
        <v>0.23</v>
      </c>
      <c r="AE128" s="1409">
        <v>80000000</v>
      </c>
      <c r="AF128" s="1412">
        <v>0</v>
      </c>
      <c r="AG128" s="2081">
        <v>39151208.200000003</v>
      </c>
      <c r="AH128" s="2134">
        <v>71208584</v>
      </c>
      <c r="AI128" s="1993">
        <f t="shared" si="54"/>
        <v>0.89010730000000005</v>
      </c>
      <c r="AJ128" s="1412">
        <v>0</v>
      </c>
      <c r="AK128" s="1410">
        <v>16285692</v>
      </c>
      <c r="AL128" s="1964">
        <v>65623970</v>
      </c>
      <c r="AM128" s="1139">
        <f t="shared" si="55"/>
        <v>0.82029962499999998</v>
      </c>
      <c r="AN128" s="997">
        <f t="shared" si="117"/>
        <v>5584614</v>
      </c>
      <c r="AO128" s="1413">
        <v>0</v>
      </c>
      <c r="AP128" s="1412">
        <v>0</v>
      </c>
      <c r="AQ128" s="1962">
        <v>22865516.199999999</v>
      </c>
      <c r="AR128" s="1962">
        <v>20740179.199999999</v>
      </c>
      <c r="AS128" s="1089">
        <f t="shared" si="56"/>
        <v>0.90705055676809954</v>
      </c>
      <c r="AT128" s="1118">
        <v>160000000</v>
      </c>
      <c r="AU128" s="993">
        <f t="shared" si="118"/>
        <v>102649841.2</v>
      </c>
      <c r="AV128" s="1010">
        <f t="shared" si="59"/>
        <v>0.64156150750000007</v>
      </c>
      <c r="AW128" s="1140"/>
      <c r="AX128" s="1119"/>
      <c r="AY128" s="152" t="s">
        <v>30</v>
      </c>
      <c r="AZ128" s="1414" t="s">
        <v>909</v>
      </c>
      <c r="BA128" s="93"/>
      <c r="BB128" s="93"/>
    </row>
    <row r="129" spans="1:54" ht="48.75" customHeight="1">
      <c r="A129" s="339" t="s">
        <v>595</v>
      </c>
      <c r="B129" s="440" t="s">
        <v>786</v>
      </c>
      <c r="C129" s="1405">
        <v>1</v>
      </c>
      <c r="D129" s="398">
        <v>1</v>
      </c>
      <c r="E129" s="398">
        <v>1</v>
      </c>
      <c r="F129" s="213">
        <v>1</v>
      </c>
      <c r="G129" s="147">
        <v>1</v>
      </c>
      <c r="H129" s="147">
        <v>1</v>
      </c>
      <c r="I129" s="147"/>
      <c r="J129" s="147"/>
      <c r="K129" s="147"/>
      <c r="L129" s="180">
        <f t="shared" si="115"/>
        <v>1</v>
      </c>
      <c r="M129" s="1090">
        <f t="shared" si="115"/>
        <v>1</v>
      </c>
      <c r="N129" s="821">
        <f t="shared" si="106"/>
        <v>1</v>
      </c>
      <c r="O129" s="2165" t="s">
        <v>2332</v>
      </c>
      <c r="P129" s="1023"/>
      <c r="Q129" s="2041" t="s">
        <v>2183</v>
      </c>
      <c r="R129" s="1015"/>
      <c r="S129" s="1013" t="s">
        <v>2182</v>
      </c>
      <c r="T129" s="2037">
        <v>304</v>
      </c>
      <c r="U129" s="181"/>
      <c r="V129" s="181"/>
      <c r="W129" s="150"/>
      <c r="X129" s="181"/>
      <c r="Y129" s="236">
        <v>4</v>
      </c>
      <c r="Z129" s="242">
        <f t="shared" si="60"/>
        <v>3</v>
      </c>
      <c r="AA129" s="186">
        <f t="shared" si="116"/>
        <v>0.75</v>
      </c>
      <c r="AB129" s="1406">
        <v>0.3</v>
      </c>
      <c r="AC129" s="493">
        <v>0.3</v>
      </c>
      <c r="AD129" s="2031">
        <v>0.33</v>
      </c>
      <c r="AE129" s="1409">
        <v>80000000</v>
      </c>
      <c r="AF129" s="1412">
        <v>0</v>
      </c>
      <c r="AG129" s="2081">
        <v>49171138</v>
      </c>
      <c r="AH129" s="2134">
        <v>79123194.159999996</v>
      </c>
      <c r="AI129" s="1993">
        <f t="shared" si="54"/>
        <v>0.98903992699999999</v>
      </c>
      <c r="AJ129" s="1412">
        <v>0</v>
      </c>
      <c r="AK129" s="1410">
        <v>31442882</v>
      </c>
      <c r="AL129" s="1964">
        <v>35908271</v>
      </c>
      <c r="AM129" s="1134">
        <f t="shared" si="55"/>
        <v>0.44885338749999998</v>
      </c>
      <c r="AN129" s="997">
        <f t="shared" si="117"/>
        <v>43214923.159999996</v>
      </c>
      <c r="AO129" s="1413">
        <v>0</v>
      </c>
      <c r="AP129" s="1412">
        <v>0</v>
      </c>
      <c r="AQ129" s="1962">
        <v>17728256</v>
      </c>
      <c r="AR129" s="1962">
        <v>16165483</v>
      </c>
      <c r="AS129" s="1089">
        <f t="shared" si="56"/>
        <v>0.91184846383084717</v>
      </c>
      <c r="AT129" s="1118">
        <v>800000000</v>
      </c>
      <c r="AU129" s="993">
        <f t="shared" si="118"/>
        <v>83516636</v>
      </c>
      <c r="AV129" s="1010">
        <f t="shared" si="59"/>
        <v>0.104395795</v>
      </c>
      <c r="AW129" s="1140"/>
      <c r="AX129" s="1119"/>
      <c r="AY129" s="152" t="s">
        <v>30</v>
      </c>
      <c r="AZ129" s="1415" t="s">
        <v>890</v>
      </c>
      <c r="BA129" s="93"/>
      <c r="BB129" s="93"/>
    </row>
    <row r="130" spans="1:54" ht="48.75" customHeight="1">
      <c r="A130" s="342" t="s">
        <v>596</v>
      </c>
      <c r="B130" s="440" t="s">
        <v>787</v>
      </c>
      <c r="C130" s="1405">
        <v>0</v>
      </c>
      <c r="D130" s="398">
        <v>1</v>
      </c>
      <c r="E130" s="398">
        <v>0</v>
      </c>
      <c r="F130" s="213">
        <v>0</v>
      </c>
      <c r="G130" s="147">
        <v>1</v>
      </c>
      <c r="H130" s="147">
        <v>0</v>
      </c>
      <c r="I130" s="147"/>
      <c r="J130" s="147"/>
      <c r="K130" s="147"/>
      <c r="L130" s="180" t="e">
        <f t="shared" si="115"/>
        <v>#DIV/0!</v>
      </c>
      <c r="M130" s="1090">
        <f t="shared" si="115"/>
        <v>1</v>
      </c>
      <c r="N130" s="821" t="s">
        <v>2163</v>
      </c>
      <c r="O130" s="2165"/>
      <c r="P130" s="1023"/>
      <c r="Q130" s="101"/>
      <c r="R130" s="104"/>
      <c r="S130" s="146"/>
      <c r="T130" s="181"/>
      <c r="U130" s="181"/>
      <c r="V130" s="181"/>
      <c r="W130" s="150"/>
      <c r="X130" s="181"/>
      <c r="Y130" s="236">
        <v>2</v>
      </c>
      <c r="Z130" s="242">
        <f t="shared" si="60"/>
        <v>1</v>
      </c>
      <c r="AA130" s="186">
        <f t="shared" si="116"/>
        <v>0.5</v>
      </c>
      <c r="AB130" s="1408">
        <v>0.15</v>
      </c>
      <c r="AC130" s="492">
        <v>0.15</v>
      </c>
      <c r="AD130" s="492">
        <v>0</v>
      </c>
      <c r="AE130" s="1409">
        <v>0</v>
      </c>
      <c r="AF130" s="1412">
        <v>0</v>
      </c>
      <c r="AG130" s="2081">
        <f>176842358.48/2</f>
        <v>88421179.239999995</v>
      </c>
      <c r="AH130" s="2134">
        <v>0</v>
      </c>
      <c r="AI130" s="1993" t="e">
        <f t="shared" si="54"/>
        <v>#DIV/0!</v>
      </c>
      <c r="AJ130" s="1412">
        <v>0</v>
      </c>
      <c r="AK130" s="1410">
        <f>123693484/2</f>
        <v>61846742</v>
      </c>
      <c r="AL130" s="1964">
        <v>0</v>
      </c>
      <c r="AM130" s="1134" t="e">
        <f t="shared" si="55"/>
        <v>#DIV/0!</v>
      </c>
      <c r="AN130" s="997">
        <f t="shared" si="117"/>
        <v>0</v>
      </c>
      <c r="AO130" s="1413">
        <v>0</v>
      </c>
      <c r="AP130" s="1412">
        <v>0</v>
      </c>
      <c r="AQ130" s="1962"/>
      <c r="AR130" s="1962"/>
      <c r="AS130" s="1089" t="e">
        <f t="shared" si="56"/>
        <v>#DIV/0!</v>
      </c>
      <c r="AT130" s="1118">
        <v>840000000</v>
      </c>
      <c r="AU130" s="993">
        <f t="shared" si="118"/>
        <v>61846742</v>
      </c>
      <c r="AV130" s="1010">
        <f>+AU130/AT130</f>
        <v>7.362707380952381E-2</v>
      </c>
      <c r="AW130" s="1140"/>
      <c r="AX130" s="1119"/>
      <c r="AY130" s="152" t="s">
        <v>30</v>
      </c>
      <c r="AZ130" s="2295" t="s">
        <v>910</v>
      </c>
      <c r="BA130" s="93"/>
      <c r="BB130" s="93"/>
    </row>
    <row r="131" spans="1:54" ht="48.75" customHeight="1" thickBot="1">
      <c r="A131" s="1416" t="s">
        <v>597</v>
      </c>
      <c r="B131" s="441" t="s">
        <v>788</v>
      </c>
      <c r="C131" s="1417">
        <v>0</v>
      </c>
      <c r="D131" s="838">
        <v>1</v>
      </c>
      <c r="E131" s="398">
        <v>1</v>
      </c>
      <c r="F131" s="870">
        <v>0</v>
      </c>
      <c r="G131" s="860">
        <v>1</v>
      </c>
      <c r="H131" s="147">
        <v>1</v>
      </c>
      <c r="I131" s="860"/>
      <c r="J131" s="860"/>
      <c r="K131" s="860"/>
      <c r="L131" s="1021" t="e">
        <f t="shared" si="115"/>
        <v>#DIV/0!</v>
      </c>
      <c r="M131" s="1090">
        <f t="shared" si="115"/>
        <v>1</v>
      </c>
      <c r="N131" s="821">
        <f t="shared" si="106"/>
        <v>1</v>
      </c>
      <c r="O131" s="2165" t="s">
        <v>2333</v>
      </c>
      <c r="P131" s="1023"/>
      <c r="Q131" s="206"/>
      <c r="R131" s="207"/>
      <c r="S131" s="1023"/>
      <c r="T131" s="181"/>
      <c r="U131" s="181"/>
      <c r="V131" s="181"/>
      <c r="W131" s="1024"/>
      <c r="X131" s="181"/>
      <c r="Y131" s="236">
        <v>3</v>
      </c>
      <c r="Z131" s="1026">
        <f t="shared" si="60"/>
        <v>2</v>
      </c>
      <c r="AA131" s="1387">
        <f t="shared" si="116"/>
        <v>0.66666666666666663</v>
      </c>
      <c r="AB131" s="1418">
        <v>0.15</v>
      </c>
      <c r="AC131" s="895">
        <v>0.15</v>
      </c>
      <c r="AD131" s="2030">
        <v>0.18</v>
      </c>
      <c r="AE131" s="1419">
        <v>50000000</v>
      </c>
      <c r="AF131" s="1420">
        <v>0</v>
      </c>
      <c r="AG131" s="2082">
        <f>176842358.48/2</f>
        <v>88421179.239999995</v>
      </c>
      <c r="AH131" s="2134">
        <v>49984926</v>
      </c>
      <c r="AI131" s="1995">
        <f t="shared" si="54"/>
        <v>0.99969852000000003</v>
      </c>
      <c r="AJ131" s="1420">
        <v>0</v>
      </c>
      <c r="AK131" s="1421">
        <f>123693484/2</f>
        <v>61846742</v>
      </c>
      <c r="AL131" s="1964">
        <v>49449449</v>
      </c>
      <c r="AM131" s="1030">
        <f t="shared" si="55"/>
        <v>0.98898898000000002</v>
      </c>
      <c r="AN131" s="997">
        <f t="shared" si="117"/>
        <v>535477</v>
      </c>
      <c r="AO131" s="1422">
        <v>0</v>
      </c>
      <c r="AP131" s="1420">
        <v>0</v>
      </c>
      <c r="AQ131" s="1962">
        <v>53148874.479999997</v>
      </c>
      <c r="AR131" s="1962">
        <v>49027430</v>
      </c>
      <c r="AS131" s="1053">
        <f t="shared" si="56"/>
        <v>0.92245471761493458</v>
      </c>
      <c r="AT131" s="1054">
        <v>90000000</v>
      </c>
      <c r="AU131" s="993">
        <f t="shared" si="118"/>
        <v>160323621</v>
      </c>
      <c r="AV131" s="1030">
        <f>+AU131/AT131</f>
        <v>1.7813735666666666</v>
      </c>
      <c r="AW131" s="173"/>
      <c r="AX131" s="173"/>
      <c r="AY131" s="189" t="s">
        <v>30</v>
      </c>
      <c r="AZ131" s="2289"/>
      <c r="BA131" s="1037"/>
      <c r="BB131" s="1037"/>
    </row>
    <row r="132" spans="1:54" ht="56.25" customHeight="1" thickBot="1">
      <c r="A132" s="1357" t="s">
        <v>469</v>
      </c>
      <c r="B132" s="962"/>
      <c r="C132" s="861"/>
      <c r="D132" s="826"/>
      <c r="E132" s="223"/>
      <c r="F132" s="963"/>
      <c r="G132" s="861"/>
      <c r="H132" s="139"/>
      <c r="I132" s="861"/>
      <c r="J132" s="861"/>
      <c r="K132" s="861"/>
      <c r="L132" s="964">
        <f>+SUMPRODUCT(L133:L133,AB133:AB133)</f>
        <v>1</v>
      </c>
      <c r="M132" s="973">
        <f>+SUMPRODUCT(M133:M133,AC133:AC133)</f>
        <v>1</v>
      </c>
      <c r="N132" s="973">
        <f>+SUMPRODUCT(N133:N133,AD133:AD133)</f>
        <v>1</v>
      </c>
      <c r="O132" s="965"/>
      <c r="P132" s="962"/>
      <c r="Q132" s="966"/>
      <c r="R132" s="965"/>
      <c r="S132" s="965"/>
      <c r="T132" s="966"/>
      <c r="U132" s="966"/>
      <c r="V132" s="966"/>
      <c r="W132" s="1099"/>
      <c r="X132" s="966"/>
      <c r="Y132" s="968"/>
      <c r="Z132" s="969">
        <f t="shared" si="60"/>
        <v>0</v>
      </c>
      <c r="AA132" s="1199">
        <f>+SUMPRODUCT(AA133:AA133,AB133:AB133)</f>
        <v>0.75</v>
      </c>
      <c r="AB132" s="964">
        <v>0.25</v>
      </c>
      <c r="AC132" s="879">
        <v>0.25</v>
      </c>
      <c r="AD132" s="471">
        <v>0.25</v>
      </c>
      <c r="AE132" s="971">
        <v>100000000</v>
      </c>
      <c r="AF132" s="971">
        <f>SUM(AF133)</f>
        <v>0</v>
      </c>
      <c r="AG132" s="962">
        <f>SUM(AG133)</f>
        <v>98769142</v>
      </c>
      <c r="AH132" s="2115">
        <f>SUM(AH133)</f>
        <v>99889401</v>
      </c>
      <c r="AI132" s="1984">
        <f t="shared" si="54"/>
        <v>0.99889401</v>
      </c>
      <c r="AJ132" s="971">
        <f>SUM(AJ133)</f>
        <v>0</v>
      </c>
      <c r="AK132" s="971">
        <f>SUM(AK133)</f>
        <v>96091876</v>
      </c>
      <c r="AL132" s="971">
        <f>SUM(AL133)</f>
        <v>6957167</v>
      </c>
      <c r="AM132" s="973">
        <f t="shared" si="55"/>
        <v>6.9571670000000002E-2</v>
      </c>
      <c r="AN132" s="974">
        <f>SUM(AN133)</f>
        <v>92932234</v>
      </c>
      <c r="AO132" s="965">
        <f>SUM(AO133)</f>
        <v>0</v>
      </c>
      <c r="AP132" s="971">
        <f>SUM(AP133)</f>
        <v>0</v>
      </c>
      <c r="AQ132" s="971">
        <f>SUM(AQ133)</f>
        <v>2677266</v>
      </c>
      <c r="AR132" s="971">
        <f>SUM(AR133)</f>
        <v>2561567</v>
      </c>
      <c r="AS132" s="967">
        <f t="shared" si="56"/>
        <v>0.95678464523136664</v>
      </c>
      <c r="AT132" s="971">
        <f t="shared" ref="AT132:AU132" si="119">SUM(AT133)</f>
        <v>400000000</v>
      </c>
      <c r="AU132" s="971">
        <f t="shared" si="119"/>
        <v>105610610</v>
      </c>
      <c r="AV132" s="964">
        <f t="shared" ref="AV132:AV135" si="120">+AU132/AT132</f>
        <v>0.26402652500000001</v>
      </c>
      <c r="AW132" s="975"/>
      <c r="AX132" s="975"/>
      <c r="AY132" s="283"/>
      <c r="AZ132" s="974"/>
      <c r="BA132" s="286"/>
      <c r="BB132" s="286"/>
    </row>
    <row r="133" spans="1:54" ht="172.5" customHeight="1" thickBot="1">
      <c r="A133" s="1423" t="s">
        <v>598</v>
      </c>
      <c r="B133" s="441" t="s">
        <v>789</v>
      </c>
      <c r="C133" s="1424">
        <v>1</v>
      </c>
      <c r="D133" s="839">
        <v>1</v>
      </c>
      <c r="E133" s="217">
        <v>1</v>
      </c>
      <c r="F133" s="1269">
        <v>0</v>
      </c>
      <c r="G133" s="867">
        <v>1</v>
      </c>
      <c r="H133" s="147">
        <v>1</v>
      </c>
      <c r="I133" s="867">
        <v>1</v>
      </c>
      <c r="J133" s="867"/>
      <c r="K133" s="867"/>
      <c r="L133" s="1270">
        <f>IF((F133+I133)/C133&gt;=100%,100%,(F133+I133)/C133)</f>
        <v>1</v>
      </c>
      <c r="M133" s="1090">
        <f>IF((G133+J133)/D133&gt;=100%,100%,(G133+J133)/D133)</f>
        <v>1</v>
      </c>
      <c r="N133" s="821">
        <f t="shared" si="106"/>
        <v>1</v>
      </c>
      <c r="O133" s="2165" t="s">
        <v>2334</v>
      </c>
      <c r="P133" s="1251"/>
      <c r="Q133" s="2041" t="s">
        <v>2183</v>
      </c>
      <c r="R133" s="1015"/>
      <c r="S133" s="1013" t="s">
        <v>2182</v>
      </c>
      <c r="T133" s="2037" t="s">
        <v>2335</v>
      </c>
      <c r="U133" s="1252"/>
      <c r="V133" s="1252"/>
      <c r="W133" s="1428"/>
      <c r="X133" s="1252"/>
      <c r="Y133" s="1253">
        <v>4</v>
      </c>
      <c r="Z133" s="1429">
        <f t="shared" si="60"/>
        <v>3</v>
      </c>
      <c r="AA133" s="1430">
        <f t="shared" ref="AA133" si="121">IF(Z133/Y133&gt;=100%,100%,Z133/Y133)</f>
        <v>0.75</v>
      </c>
      <c r="AB133" s="1431">
        <v>1</v>
      </c>
      <c r="AC133" s="896">
        <v>1</v>
      </c>
      <c r="AD133" s="476">
        <v>1</v>
      </c>
      <c r="AE133" s="1432">
        <v>100000000</v>
      </c>
      <c r="AF133" s="1364">
        <v>0</v>
      </c>
      <c r="AG133" s="1965">
        <v>98769142</v>
      </c>
      <c r="AH133" s="2129">
        <v>99889401</v>
      </c>
      <c r="AI133" s="1988">
        <f t="shared" si="54"/>
        <v>0.99889401</v>
      </c>
      <c r="AJ133" s="1364">
        <v>0</v>
      </c>
      <c r="AK133" s="1432">
        <v>96091876</v>
      </c>
      <c r="AL133" s="1432">
        <v>6957167</v>
      </c>
      <c r="AM133" s="1425">
        <f t="shared" si="55"/>
        <v>6.9571670000000002E-2</v>
      </c>
      <c r="AN133" s="997">
        <f>+AH133-AL133</f>
        <v>92932234</v>
      </c>
      <c r="AO133" s="1363">
        <v>0</v>
      </c>
      <c r="AP133" s="1364">
        <v>0</v>
      </c>
      <c r="AQ133" s="1965">
        <v>2677266</v>
      </c>
      <c r="AR133" s="1965">
        <v>2561567</v>
      </c>
      <c r="AS133" s="1136">
        <f t="shared" si="56"/>
        <v>0.95678464523136664</v>
      </c>
      <c r="AT133" s="1434">
        <v>400000000</v>
      </c>
      <c r="AU133" s="993">
        <f t="shared" ref="AU133" si="122">SUM(AJ133:AL133)+AR133+AP133</f>
        <v>105610610</v>
      </c>
      <c r="AV133" s="1257">
        <f t="shared" si="120"/>
        <v>0.26402652500000001</v>
      </c>
      <c r="AW133" s="1328"/>
      <c r="AX133" s="1286"/>
      <c r="AY133" s="1272" t="s">
        <v>30</v>
      </c>
      <c r="AZ133" s="1435" t="s">
        <v>911</v>
      </c>
      <c r="BA133" s="1175"/>
      <c r="BB133" s="1175"/>
    </row>
    <row r="134" spans="1:54" s="617" customFormat="1" ht="69" customHeight="1" thickBot="1">
      <c r="A134" s="1065" t="s">
        <v>428</v>
      </c>
      <c r="B134" s="1066"/>
      <c r="C134" s="862"/>
      <c r="D134" s="835"/>
      <c r="E134" s="222"/>
      <c r="F134" s="1067"/>
      <c r="G134" s="862"/>
      <c r="H134" s="129"/>
      <c r="I134" s="862"/>
      <c r="J134" s="862"/>
      <c r="K134" s="862"/>
      <c r="L134" s="1077">
        <f>+(L135*AB135)</f>
        <v>1</v>
      </c>
      <c r="M134" s="1068">
        <f>+(M135*AC135)</f>
        <v>1</v>
      </c>
      <c r="N134" s="1068">
        <f>+(N135*AD135)</f>
        <v>1</v>
      </c>
      <c r="O134" s="948"/>
      <c r="P134" s="1066"/>
      <c r="Q134" s="1071"/>
      <c r="R134" s="1069"/>
      <c r="S134" s="1069"/>
      <c r="T134" s="1071"/>
      <c r="U134" s="1071"/>
      <c r="V134" s="1071"/>
      <c r="W134" s="1072"/>
      <c r="X134" s="1071"/>
      <c r="Y134" s="1074"/>
      <c r="Z134" s="1075">
        <f t="shared" si="60"/>
        <v>0</v>
      </c>
      <c r="AA134" s="1246">
        <f>+(AA135*AB135)</f>
        <v>0.75</v>
      </c>
      <c r="AB134" s="1077">
        <v>0.15</v>
      </c>
      <c r="AC134" s="883">
        <v>0.15</v>
      </c>
      <c r="AD134" s="470">
        <v>0.15</v>
      </c>
      <c r="AE134" s="1078">
        <v>600000000</v>
      </c>
      <c r="AF134" s="1078">
        <f>+AF135</f>
        <v>0</v>
      </c>
      <c r="AG134" s="1066">
        <f>+AG135</f>
        <v>592541079</v>
      </c>
      <c r="AH134" s="2114">
        <f>+AH135</f>
        <v>599332244</v>
      </c>
      <c r="AI134" s="1986">
        <f t="shared" si="54"/>
        <v>0.99888707333333338</v>
      </c>
      <c r="AJ134" s="1078">
        <f>+AJ135</f>
        <v>0</v>
      </c>
      <c r="AK134" s="1078">
        <f>+AK135</f>
        <v>415652749</v>
      </c>
      <c r="AL134" s="1078">
        <f>+AL135</f>
        <v>363796006</v>
      </c>
      <c r="AM134" s="1068">
        <f t="shared" si="55"/>
        <v>0.60632667666666662</v>
      </c>
      <c r="AN134" s="1066">
        <f>+AN135</f>
        <v>235536238</v>
      </c>
      <c r="AO134" s="1069">
        <f>+AO135</f>
        <v>0</v>
      </c>
      <c r="AP134" s="1078">
        <f>+AP135</f>
        <v>0</v>
      </c>
      <c r="AQ134" s="1078">
        <f>+AQ135</f>
        <v>176888330</v>
      </c>
      <c r="AR134" s="1078">
        <f>+AR135</f>
        <v>176604108</v>
      </c>
      <c r="AS134" s="1080">
        <f t="shared" si="56"/>
        <v>0.9983932122599608</v>
      </c>
      <c r="AT134" s="1078">
        <f t="shared" ref="AT134:AU134" si="123">+AT135</f>
        <v>3000000000</v>
      </c>
      <c r="AU134" s="1078">
        <f t="shared" si="123"/>
        <v>956052863</v>
      </c>
      <c r="AV134" s="1077">
        <f t="shared" si="120"/>
        <v>0.31868428766666668</v>
      </c>
      <c r="AW134" s="1071"/>
      <c r="AX134" s="1071" t="s">
        <v>300</v>
      </c>
      <c r="AY134" s="1069"/>
      <c r="AZ134" s="1066"/>
      <c r="BA134" s="1082"/>
      <c r="BB134" s="1082"/>
    </row>
    <row r="135" spans="1:54" ht="52.5" customHeight="1" thickBot="1">
      <c r="A135" s="961" t="s">
        <v>470</v>
      </c>
      <c r="B135" s="962"/>
      <c r="C135" s="861"/>
      <c r="D135" s="826"/>
      <c r="E135" s="223"/>
      <c r="F135" s="963"/>
      <c r="G135" s="861"/>
      <c r="H135" s="139"/>
      <c r="I135" s="861"/>
      <c r="J135" s="861"/>
      <c r="K135" s="861"/>
      <c r="L135" s="964">
        <f>+SUMPRODUCT(L136:L139,AB136:AB139)</f>
        <v>1</v>
      </c>
      <c r="M135" s="973">
        <f>+SUMPRODUCT(M136:M139,AC136:AC139)</f>
        <v>1</v>
      </c>
      <c r="N135" s="973">
        <f>+SUMPRODUCT(N136:N139,AD136:AD139)</f>
        <v>1</v>
      </c>
      <c r="O135" s="965"/>
      <c r="P135" s="962"/>
      <c r="Q135" s="966"/>
      <c r="R135" s="965"/>
      <c r="S135" s="965"/>
      <c r="T135" s="966"/>
      <c r="U135" s="966"/>
      <c r="V135" s="966"/>
      <c r="W135" s="1099"/>
      <c r="X135" s="966"/>
      <c r="Y135" s="968"/>
      <c r="Z135" s="969">
        <f t="shared" si="60"/>
        <v>0</v>
      </c>
      <c r="AA135" s="1199">
        <f>+SUMPRODUCT(AA136:AA139,AB136:AB139)</f>
        <v>0.75</v>
      </c>
      <c r="AB135" s="964">
        <v>1</v>
      </c>
      <c r="AC135" s="879">
        <v>1</v>
      </c>
      <c r="AD135" s="471">
        <v>1</v>
      </c>
      <c r="AE135" s="971">
        <v>600000000</v>
      </c>
      <c r="AF135" s="971">
        <f>SUM(AF136:AF139)</f>
        <v>0</v>
      </c>
      <c r="AG135" s="962">
        <f>SUM(AG136:AG139)</f>
        <v>592541079</v>
      </c>
      <c r="AH135" s="2115">
        <f>SUM(AH136:AH139)</f>
        <v>599332244</v>
      </c>
      <c r="AI135" s="1984">
        <f t="shared" si="54"/>
        <v>0.99888707333333338</v>
      </c>
      <c r="AJ135" s="971">
        <f>SUM(AJ136:AJ139)</f>
        <v>0</v>
      </c>
      <c r="AK135" s="971">
        <f>SUM(AK136:AK139)</f>
        <v>415652749</v>
      </c>
      <c r="AL135" s="971">
        <f>SUM(AL136:AL139)</f>
        <v>363796006</v>
      </c>
      <c r="AM135" s="973">
        <f t="shared" si="55"/>
        <v>0.60632667666666662</v>
      </c>
      <c r="AN135" s="974">
        <f>SUM(AN136:AN139)</f>
        <v>235536238</v>
      </c>
      <c r="AO135" s="965">
        <f>SUM(AO136:AO139)</f>
        <v>0</v>
      </c>
      <c r="AP135" s="971">
        <f>SUM(AP136:AP139)</f>
        <v>0</v>
      </c>
      <c r="AQ135" s="971">
        <f>SUM(AQ136:AQ139)</f>
        <v>176888330</v>
      </c>
      <c r="AR135" s="971">
        <f>SUM(AR136:AR139)</f>
        <v>176604108</v>
      </c>
      <c r="AS135" s="967">
        <f t="shared" si="56"/>
        <v>0.9983932122599608</v>
      </c>
      <c r="AT135" s="971">
        <f t="shared" ref="AT135:AU135" si="124">SUM(AT136:AT139)</f>
        <v>3000000000</v>
      </c>
      <c r="AU135" s="971">
        <f t="shared" si="124"/>
        <v>956052863</v>
      </c>
      <c r="AV135" s="964">
        <f t="shared" si="120"/>
        <v>0.31868428766666668</v>
      </c>
      <c r="AW135" s="975"/>
      <c r="AX135" s="975"/>
      <c r="AY135" s="283"/>
      <c r="AZ135" s="974"/>
      <c r="BA135" s="286"/>
      <c r="BB135" s="286"/>
    </row>
    <row r="136" spans="1:54" ht="203.25" customHeight="1">
      <c r="A136" s="333" t="s">
        <v>599</v>
      </c>
      <c r="B136" s="1436" t="s">
        <v>868</v>
      </c>
      <c r="C136" s="1437">
        <v>1</v>
      </c>
      <c r="D136" s="840">
        <v>1</v>
      </c>
      <c r="E136" s="217">
        <v>1</v>
      </c>
      <c r="F136" s="1203">
        <v>0</v>
      </c>
      <c r="G136" s="865">
        <v>1</v>
      </c>
      <c r="H136" s="147">
        <v>1</v>
      </c>
      <c r="I136" s="865">
        <v>1</v>
      </c>
      <c r="J136" s="865"/>
      <c r="K136" s="865"/>
      <c r="L136" s="1090">
        <f t="shared" ref="L136:M139" si="125">IF((F136+I136)/C136&gt;=100%,100%,(F136+I136)/C136)</f>
        <v>1</v>
      </c>
      <c r="M136" s="1090">
        <f t="shared" si="125"/>
        <v>1</v>
      </c>
      <c r="N136" s="821">
        <f t="shared" ref="N136:N139" si="126">IF((H136/E136)&gt;=100%,100%,(H136/E136))</f>
        <v>1</v>
      </c>
      <c r="O136" s="2165" t="s">
        <v>2336</v>
      </c>
      <c r="P136" s="1251"/>
      <c r="Q136" s="2041" t="s">
        <v>2183</v>
      </c>
      <c r="R136" s="1015"/>
      <c r="S136" s="1013" t="s">
        <v>2182</v>
      </c>
      <c r="T136" s="2037" t="s">
        <v>2335</v>
      </c>
      <c r="U136" s="1252"/>
      <c r="V136" s="1252"/>
      <c r="W136" s="1088"/>
      <c r="X136" s="1252"/>
      <c r="Y136" s="1253">
        <v>4</v>
      </c>
      <c r="Z136" s="1059">
        <f t="shared" si="60"/>
        <v>3</v>
      </c>
      <c r="AA136" s="1438">
        <f t="shared" ref="AA136:AA139" si="127">IF(Z136/Y136&gt;=100%,100%,Z136/Y136)</f>
        <v>0.75</v>
      </c>
      <c r="AB136" s="1090">
        <v>0.25</v>
      </c>
      <c r="AC136" s="884">
        <v>0.25</v>
      </c>
      <c r="AD136" s="472">
        <v>0.25</v>
      </c>
      <c r="AE136" s="531">
        <v>150000000</v>
      </c>
      <c r="AF136" s="531">
        <v>0</v>
      </c>
      <c r="AG136" s="2072">
        <v>148132023</v>
      </c>
      <c r="AH136" s="2128">
        <v>149833109</v>
      </c>
      <c r="AI136" s="2112">
        <f t="shared" si="54"/>
        <v>0.99888739333333332</v>
      </c>
      <c r="AJ136" s="531">
        <v>0</v>
      </c>
      <c r="AK136" s="1439">
        <v>144167220</v>
      </c>
      <c r="AL136" s="1439">
        <v>141900353</v>
      </c>
      <c r="AM136" s="1425">
        <f t="shared" si="55"/>
        <v>0.94600235333333338</v>
      </c>
      <c r="AN136" s="997">
        <f t="shared" ref="AN136:AN139" si="128">+AH136-AL136</f>
        <v>7932756</v>
      </c>
      <c r="AO136" s="1337">
        <v>0</v>
      </c>
      <c r="AP136" s="531">
        <v>0</v>
      </c>
      <c r="AQ136" s="1341">
        <v>3964803</v>
      </c>
      <c r="AR136" s="1341">
        <v>3887145</v>
      </c>
      <c r="AS136" s="1089">
        <f t="shared" si="56"/>
        <v>0.98041315041377841</v>
      </c>
      <c r="AT136" s="1110">
        <v>750000000</v>
      </c>
      <c r="AU136" s="993">
        <f t="shared" ref="AU136:AU139" si="129">SUM(AJ136:AL136)+AR136+AP136</f>
        <v>289954718</v>
      </c>
      <c r="AV136" s="1257">
        <f t="shared" si="59"/>
        <v>0.38660629066666669</v>
      </c>
      <c r="AW136" s="1328"/>
      <c r="AX136" s="1111"/>
      <c r="AY136" s="981" t="s">
        <v>30</v>
      </c>
      <c r="AZ136" s="2296" t="s">
        <v>912</v>
      </c>
      <c r="BA136" s="1207"/>
      <c r="BB136" s="1047"/>
    </row>
    <row r="137" spans="1:54" ht="147" customHeight="1">
      <c r="A137" s="333" t="s">
        <v>600</v>
      </c>
      <c r="B137" s="442" t="s">
        <v>869</v>
      </c>
      <c r="C137" s="1440">
        <v>1</v>
      </c>
      <c r="D137" s="217">
        <v>1</v>
      </c>
      <c r="E137" s="217">
        <v>1</v>
      </c>
      <c r="F137" s="1009">
        <v>0</v>
      </c>
      <c r="G137" s="859">
        <v>1</v>
      </c>
      <c r="H137" s="147">
        <v>1</v>
      </c>
      <c r="I137" s="859">
        <v>1</v>
      </c>
      <c r="J137" s="859"/>
      <c r="K137" s="859"/>
      <c r="L137" s="1010">
        <f t="shared" si="125"/>
        <v>1</v>
      </c>
      <c r="M137" s="1090">
        <f t="shared" si="125"/>
        <v>1</v>
      </c>
      <c r="N137" s="821">
        <f t="shared" si="126"/>
        <v>1</v>
      </c>
      <c r="O137" s="2165" t="s">
        <v>2337</v>
      </c>
      <c r="P137" s="1219"/>
      <c r="Q137" s="2041" t="s">
        <v>2183</v>
      </c>
      <c r="R137" s="1015"/>
      <c r="S137" s="1013" t="s">
        <v>2182</v>
      </c>
      <c r="T137" s="2037" t="s">
        <v>2335</v>
      </c>
      <c r="U137" s="1222"/>
      <c r="V137" s="1222"/>
      <c r="W137" s="1017"/>
      <c r="X137" s="1222"/>
      <c r="Y137" s="1129">
        <v>4</v>
      </c>
      <c r="Z137" s="1008">
        <f t="shared" si="60"/>
        <v>3</v>
      </c>
      <c r="AA137" s="1438">
        <f t="shared" si="127"/>
        <v>0.75</v>
      </c>
      <c r="AB137" s="1010">
        <v>0.25</v>
      </c>
      <c r="AC137" s="881">
        <v>0.25</v>
      </c>
      <c r="AD137" s="472">
        <v>0.25</v>
      </c>
      <c r="AE137" s="531">
        <v>150000000</v>
      </c>
      <c r="AF137" s="531">
        <v>0</v>
      </c>
      <c r="AG137" s="2072">
        <v>148136352</v>
      </c>
      <c r="AH137" s="2128">
        <v>149833045</v>
      </c>
      <c r="AI137" s="1993">
        <f t="shared" ref="AI137:AI200" si="130">+AH137/AE137</f>
        <v>0.99888696666666665</v>
      </c>
      <c r="AJ137" s="531">
        <v>0</v>
      </c>
      <c r="AK137" s="531">
        <v>144161843</v>
      </c>
      <c r="AL137" s="1341">
        <v>39998551</v>
      </c>
      <c r="AM137" s="1134">
        <f t="shared" ref="AM137:AM200" si="131">+AL137/AE137</f>
        <v>0.26665700666666664</v>
      </c>
      <c r="AN137" s="997">
        <f t="shared" si="128"/>
        <v>109834494</v>
      </c>
      <c r="AO137" s="1337">
        <v>0</v>
      </c>
      <c r="AP137" s="531">
        <v>0</v>
      </c>
      <c r="AQ137" s="1341">
        <v>3974509</v>
      </c>
      <c r="AR137" s="1341">
        <v>3878517</v>
      </c>
      <c r="AS137" s="1089">
        <f t="shared" ref="AS137:AS200" si="132">+AR137/AQ137</f>
        <v>0.97584808588935135</v>
      </c>
      <c r="AT137" s="1118">
        <v>750000000</v>
      </c>
      <c r="AU137" s="993">
        <f t="shared" si="129"/>
        <v>188038911</v>
      </c>
      <c r="AV137" s="1139">
        <f t="shared" si="59"/>
        <v>0.25071854799999999</v>
      </c>
      <c r="AW137" s="1140"/>
      <c r="AX137" s="1119"/>
      <c r="AY137" s="1012" t="s">
        <v>30</v>
      </c>
      <c r="AZ137" s="2289"/>
      <c r="BA137" s="1210"/>
      <c r="BB137" s="93"/>
    </row>
    <row r="138" spans="1:54" ht="159" customHeight="1">
      <c r="A138" s="333" t="s">
        <v>601</v>
      </c>
      <c r="B138" s="442" t="s">
        <v>869</v>
      </c>
      <c r="C138" s="1440">
        <v>1</v>
      </c>
      <c r="D138" s="217">
        <v>1</v>
      </c>
      <c r="E138" s="217">
        <v>1</v>
      </c>
      <c r="F138" s="1009">
        <v>0</v>
      </c>
      <c r="G138" s="859">
        <v>1</v>
      </c>
      <c r="H138" s="147">
        <v>1</v>
      </c>
      <c r="I138" s="859">
        <v>1</v>
      </c>
      <c r="J138" s="859"/>
      <c r="K138" s="859"/>
      <c r="L138" s="1010">
        <f t="shared" si="125"/>
        <v>1</v>
      </c>
      <c r="M138" s="1090">
        <f t="shared" si="125"/>
        <v>1</v>
      </c>
      <c r="N138" s="821">
        <f t="shared" si="126"/>
        <v>1</v>
      </c>
      <c r="O138" s="2165" t="s">
        <v>2338</v>
      </c>
      <c r="P138" s="1219"/>
      <c r="Q138" s="2041" t="s">
        <v>2183</v>
      </c>
      <c r="R138" s="1015"/>
      <c r="S138" s="1013" t="s">
        <v>2182</v>
      </c>
      <c r="T138" s="2037">
        <v>343</v>
      </c>
      <c r="U138" s="1222"/>
      <c r="V138" s="1222"/>
      <c r="W138" s="1017"/>
      <c r="X138" s="1222"/>
      <c r="Y138" s="1129">
        <v>4</v>
      </c>
      <c r="Z138" s="1008">
        <f t="shared" si="60"/>
        <v>3</v>
      </c>
      <c r="AA138" s="1438">
        <f t="shared" si="127"/>
        <v>0.75</v>
      </c>
      <c r="AB138" s="1010">
        <v>0.25</v>
      </c>
      <c r="AC138" s="881">
        <v>0.25</v>
      </c>
      <c r="AD138" s="472">
        <v>0.25</v>
      </c>
      <c r="AE138" s="531">
        <v>150000000</v>
      </c>
      <c r="AF138" s="531">
        <v>0</v>
      </c>
      <c r="AG138" s="2072">
        <v>148136352</v>
      </c>
      <c r="AH138" s="2128">
        <v>149833045</v>
      </c>
      <c r="AI138" s="1993">
        <f t="shared" si="130"/>
        <v>0.99888696666666665</v>
      </c>
      <c r="AJ138" s="531">
        <v>0</v>
      </c>
      <c r="AK138" s="531">
        <v>121161843</v>
      </c>
      <c r="AL138" s="1341">
        <v>141898551</v>
      </c>
      <c r="AM138" s="1134">
        <f t="shared" si="131"/>
        <v>0.94599034000000004</v>
      </c>
      <c r="AN138" s="997">
        <f t="shared" si="128"/>
        <v>7934494</v>
      </c>
      <c r="AO138" s="1337">
        <v>0</v>
      </c>
      <c r="AP138" s="531">
        <v>0</v>
      </c>
      <c r="AQ138" s="1341">
        <v>26974509</v>
      </c>
      <c r="AR138" s="1341">
        <v>26919223</v>
      </c>
      <c r="AS138" s="1089">
        <f t="shared" si="132"/>
        <v>0.99795043535361483</v>
      </c>
      <c r="AT138" s="1118">
        <v>750000000</v>
      </c>
      <c r="AU138" s="993">
        <f t="shared" si="129"/>
        <v>289979617</v>
      </c>
      <c r="AV138" s="1139">
        <f t="shared" si="59"/>
        <v>0.38663948933333331</v>
      </c>
      <c r="AW138" s="1140"/>
      <c r="AX138" s="1119"/>
      <c r="AY138" s="1012" t="s">
        <v>30</v>
      </c>
      <c r="AZ138" s="2289"/>
      <c r="BA138" s="1210"/>
      <c r="BB138" s="93"/>
    </row>
    <row r="139" spans="1:54" ht="236.25" customHeight="1" thickBot="1">
      <c r="A139" s="1338" t="s">
        <v>602</v>
      </c>
      <c r="B139" s="1441" t="s">
        <v>790</v>
      </c>
      <c r="C139" s="1442">
        <v>1</v>
      </c>
      <c r="D139" s="841">
        <v>1</v>
      </c>
      <c r="E139" s="217">
        <v>1</v>
      </c>
      <c r="F139" s="1217">
        <v>0</v>
      </c>
      <c r="G139" s="866">
        <v>1</v>
      </c>
      <c r="H139" s="147">
        <v>1</v>
      </c>
      <c r="I139" s="866">
        <v>1</v>
      </c>
      <c r="J139" s="866"/>
      <c r="K139" s="866"/>
      <c r="L139" s="1139">
        <f t="shared" si="125"/>
        <v>1</v>
      </c>
      <c r="M139" s="1090">
        <f t="shared" si="125"/>
        <v>1</v>
      </c>
      <c r="N139" s="821">
        <f t="shared" si="126"/>
        <v>1</v>
      </c>
      <c r="O139" s="2165" t="s">
        <v>2339</v>
      </c>
      <c r="P139" s="1219"/>
      <c r="Q139" s="2041" t="s">
        <v>2183</v>
      </c>
      <c r="R139" s="1015"/>
      <c r="S139" s="1013" t="s">
        <v>2182</v>
      </c>
      <c r="T139" s="2037">
        <v>343</v>
      </c>
      <c r="U139" s="1222"/>
      <c r="V139" s="1222"/>
      <c r="W139" s="1223"/>
      <c r="X139" s="1222"/>
      <c r="Y139" s="1129">
        <v>4</v>
      </c>
      <c r="Z139" s="1130">
        <f t="shared" si="60"/>
        <v>3</v>
      </c>
      <c r="AA139" s="1430">
        <f t="shared" si="127"/>
        <v>0.75</v>
      </c>
      <c r="AB139" s="1139">
        <v>0.25</v>
      </c>
      <c r="AC139" s="885">
        <v>0.25</v>
      </c>
      <c r="AD139" s="472">
        <v>0.25</v>
      </c>
      <c r="AE139" s="1341">
        <v>150000000</v>
      </c>
      <c r="AF139" s="1341">
        <v>0</v>
      </c>
      <c r="AG139" s="2005">
        <v>148136352</v>
      </c>
      <c r="AH139" s="2128">
        <v>149833045</v>
      </c>
      <c r="AI139" s="1997">
        <f t="shared" si="130"/>
        <v>0.99888696666666665</v>
      </c>
      <c r="AJ139" s="1341">
        <v>0</v>
      </c>
      <c r="AK139" s="1341">
        <v>6161843</v>
      </c>
      <c r="AL139" s="1341">
        <v>39998551</v>
      </c>
      <c r="AM139" s="1139">
        <f t="shared" si="131"/>
        <v>0.26665700666666664</v>
      </c>
      <c r="AN139" s="997">
        <f t="shared" si="128"/>
        <v>109834494</v>
      </c>
      <c r="AO139" s="1343">
        <v>0</v>
      </c>
      <c r="AP139" s="1341">
        <v>0</v>
      </c>
      <c r="AQ139" s="1341">
        <v>141974509</v>
      </c>
      <c r="AR139" s="1341">
        <v>141919223</v>
      </c>
      <c r="AS139" s="1136">
        <f t="shared" si="132"/>
        <v>0.99961059206762248</v>
      </c>
      <c r="AT139" s="1138">
        <v>750000000</v>
      </c>
      <c r="AU139" s="993">
        <f t="shared" si="129"/>
        <v>188079617</v>
      </c>
      <c r="AV139" s="1139">
        <f t="shared" ref="AV139:AV203" si="133">+AU139/AT139</f>
        <v>0.25077282266666667</v>
      </c>
      <c r="AW139" s="1140"/>
      <c r="AX139" s="1140"/>
      <c r="AY139" s="1141" t="s">
        <v>302</v>
      </c>
      <c r="AZ139" s="2289"/>
      <c r="BA139" s="1230"/>
      <c r="BB139" s="1037"/>
    </row>
    <row r="140" spans="1:54" s="617" customFormat="1" ht="50.25" customHeight="1" thickBot="1">
      <c r="A140" s="1065" t="s">
        <v>429</v>
      </c>
      <c r="B140" s="1066"/>
      <c r="C140" s="862"/>
      <c r="D140" s="835"/>
      <c r="E140" s="222"/>
      <c r="F140" s="1067"/>
      <c r="G140" s="862"/>
      <c r="H140" s="129"/>
      <c r="I140" s="862"/>
      <c r="J140" s="862"/>
      <c r="K140" s="862"/>
      <c r="L140" s="1198">
        <f>+(L141*0%)+(L144*100%)</f>
        <v>1</v>
      </c>
      <c r="M140" s="1068">
        <f>+(M141*AC141)+(M144*AC144)</f>
        <v>1</v>
      </c>
      <c r="N140" s="1068">
        <f>+(N141*AD141)+(N144*AD144)</f>
        <v>1</v>
      </c>
      <c r="O140" s="948"/>
      <c r="P140" s="1066"/>
      <c r="Q140" s="1071"/>
      <c r="R140" s="1069"/>
      <c r="S140" s="1069"/>
      <c r="T140" s="1071"/>
      <c r="U140" s="1071"/>
      <c r="V140" s="1071"/>
      <c r="W140" s="1072"/>
      <c r="X140" s="1071"/>
      <c r="Y140" s="1074"/>
      <c r="Z140" s="1075">
        <f t="shared" ref="Z140:Z203" si="134">SUM(F140:J140)</f>
        <v>0</v>
      </c>
      <c r="AA140" s="1076">
        <f>+(AA141*AB141)+(AA144*AB144)</f>
        <v>0.95000000000000007</v>
      </c>
      <c r="AB140" s="1077">
        <v>0.15</v>
      </c>
      <c r="AC140" s="883">
        <v>0.15</v>
      </c>
      <c r="AD140" s="470">
        <v>0.15</v>
      </c>
      <c r="AE140" s="1078">
        <v>1135000000</v>
      </c>
      <c r="AF140" s="1078">
        <f>+AF141+AF144</f>
        <v>125000000</v>
      </c>
      <c r="AG140" s="2083">
        <f>+AG141+AG144</f>
        <v>1013923268</v>
      </c>
      <c r="AH140" s="2135">
        <f>+AH141+AH144</f>
        <v>1133876494</v>
      </c>
      <c r="AI140" s="1986">
        <f t="shared" si="130"/>
        <v>0.99901012687224666</v>
      </c>
      <c r="AJ140" s="1078">
        <f>+AJ141+AJ144</f>
        <v>62750000</v>
      </c>
      <c r="AK140" s="1443">
        <f>+AK141+AK144</f>
        <v>562539524</v>
      </c>
      <c r="AL140" s="1443">
        <f>+AL141+AL144</f>
        <v>663781540</v>
      </c>
      <c r="AM140" s="1068">
        <f t="shared" si="131"/>
        <v>0.5848295506607929</v>
      </c>
      <c r="AN140" s="1066">
        <f>+AN141+AN144</f>
        <v>470094954</v>
      </c>
      <c r="AO140" s="1069">
        <f>+AO141+AO144</f>
        <v>62250000</v>
      </c>
      <c r="AP140" s="1078">
        <f>+AP141+AP144</f>
        <v>4000000</v>
      </c>
      <c r="AQ140" s="1078">
        <f>+AQ141+AQ144</f>
        <v>451383744</v>
      </c>
      <c r="AR140" s="1078">
        <f>+AR141+AR144</f>
        <v>451015168</v>
      </c>
      <c r="AS140" s="1080">
        <f t="shared" si="132"/>
        <v>0.99918345309307377</v>
      </c>
      <c r="AT140" s="1078">
        <f t="shared" ref="AT140:AU140" si="135">+AT141+AT144</f>
        <v>4360000000</v>
      </c>
      <c r="AU140" s="1078">
        <f t="shared" si="135"/>
        <v>1744086232</v>
      </c>
      <c r="AV140" s="1077">
        <f t="shared" si="133"/>
        <v>0.40001977798165139</v>
      </c>
      <c r="AW140" s="1071"/>
      <c r="AX140" s="1071" t="s">
        <v>300</v>
      </c>
      <c r="AY140" s="1069"/>
      <c r="AZ140" s="1066"/>
      <c r="BA140" s="1082"/>
      <c r="BB140" s="1082"/>
    </row>
    <row r="141" spans="1:54" ht="75" customHeight="1" thickBot="1">
      <c r="A141" s="961" t="s">
        <v>471</v>
      </c>
      <c r="B141" s="962"/>
      <c r="C141" s="861"/>
      <c r="D141" s="826"/>
      <c r="E141" s="223"/>
      <c r="F141" s="963"/>
      <c r="G141" s="861"/>
      <c r="H141" s="139"/>
      <c r="I141" s="861"/>
      <c r="J141" s="861"/>
      <c r="K141" s="861"/>
      <c r="L141" s="964">
        <v>0</v>
      </c>
      <c r="M141" s="973">
        <f>+SUMPRODUCT(M142:M143,AC142:AC143)</f>
        <v>1</v>
      </c>
      <c r="N141" s="973">
        <f>+SUMPRODUCT(N142:N143,AD142:AD143)</f>
        <v>1</v>
      </c>
      <c r="O141" s="965"/>
      <c r="P141" s="962"/>
      <c r="Q141" s="966"/>
      <c r="R141" s="965"/>
      <c r="S141" s="965"/>
      <c r="T141" s="966"/>
      <c r="U141" s="966"/>
      <c r="V141" s="966"/>
      <c r="W141" s="1099"/>
      <c r="X141" s="966"/>
      <c r="Y141" s="969"/>
      <c r="Z141" s="969">
        <f t="shared" si="134"/>
        <v>0</v>
      </c>
      <c r="AA141" s="1199">
        <f>+SUMPRODUCT(AA142:AA143,AB142:AB143)</f>
        <v>1</v>
      </c>
      <c r="AB141" s="964">
        <v>0.8</v>
      </c>
      <c r="AC141" s="879">
        <v>0.8</v>
      </c>
      <c r="AD141" s="471">
        <v>0.8</v>
      </c>
      <c r="AE141" s="971">
        <v>1010000000</v>
      </c>
      <c r="AF141" s="971">
        <f>SUM(AF142:AF143)</f>
        <v>0</v>
      </c>
      <c r="AG141" s="2084">
        <f>SUM(AG142:AG143)</f>
        <v>890476308</v>
      </c>
      <c r="AH141" s="2136">
        <f>SUM(AH142:AH143)</f>
        <v>1008941098</v>
      </c>
      <c r="AI141" s="1984">
        <f t="shared" si="130"/>
        <v>0.99895158217821778</v>
      </c>
      <c r="AJ141" s="971">
        <f>SUM(AJ142:AJ143)</f>
        <v>0</v>
      </c>
      <c r="AK141" s="1056">
        <f>SUM(AK142:AK143)</f>
        <v>497437069</v>
      </c>
      <c r="AL141" s="1056">
        <f>SUM(AL142:AL143)</f>
        <v>541679251</v>
      </c>
      <c r="AM141" s="973">
        <f t="shared" si="131"/>
        <v>0.53631609009900993</v>
      </c>
      <c r="AN141" s="974">
        <f>SUM(AN142:AN143)</f>
        <v>467261847</v>
      </c>
      <c r="AO141" s="283">
        <f>SUM(AO142:AO143)</f>
        <v>0</v>
      </c>
      <c r="AP141" s="976">
        <f>SUM(AP142:AP143)</f>
        <v>0</v>
      </c>
      <c r="AQ141" s="976">
        <f>SUM(AQ142:AQ143)</f>
        <v>393039239</v>
      </c>
      <c r="AR141" s="976">
        <f>SUM(AR142:AR143)</f>
        <v>392716735</v>
      </c>
      <c r="AS141" s="967">
        <f t="shared" si="132"/>
        <v>0.99917946106139288</v>
      </c>
      <c r="AT141" s="971">
        <f t="shared" ref="AT141:AU141" si="136">SUM(AT142:AT143)</f>
        <v>3860000000</v>
      </c>
      <c r="AU141" s="971">
        <f t="shared" si="136"/>
        <v>1431833055</v>
      </c>
      <c r="AV141" s="964">
        <f t="shared" si="133"/>
        <v>0.37094120595854924</v>
      </c>
      <c r="AW141" s="975"/>
      <c r="AX141" s="975"/>
      <c r="AY141" s="283"/>
      <c r="AZ141" s="974"/>
      <c r="BA141" s="286"/>
      <c r="BB141" s="286"/>
    </row>
    <row r="142" spans="1:54" ht="98.25" customHeight="1">
      <c r="A142" s="343" t="s">
        <v>2166</v>
      </c>
      <c r="B142" s="1436" t="s">
        <v>870</v>
      </c>
      <c r="C142" s="1444">
        <v>0</v>
      </c>
      <c r="D142" s="399">
        <v>23</v>
      </c>
      <c r="E142" s="399">
        <v>0</v>
      </c>
      <c r="F142" s="978">
        <v>0</v>
      </c>
      <c r="G142" s="858">
        <v>23</v>
      </c>
      <c r="H142" s="147">
        <v>0</v>
      </c>
      <c r="I142" s="858"/>
      <c r="J142" s="858"/>
      <c r="K142" s="858"/>
      <c r="L142" s="821" t="e">
        <f>IF((F142+I142)/C142&gt;=100%,100%,(F142+I142)/C142)</f>
        <v>#DIV/0!</v>
      </c>
      <c r="M142" s="1090">
        <f>IF((G142+J142)/D142&gt;=100%,100%,(G142+J142)/D142)</f>
        <v>1</v>
      </c>
      <c r="N142" s="821" t="s">
        <v>2163</v>
      </c>
      <c r="O142" s="2165"/>
      <c r="P142" s="1273"/>
      <c r="Q142" s="2041"/>
      <c r="R142" s="1015"/>
      <c r="S142" s="1013"/>
      <c r="T142" s="2038"/>
      <c r="U142" s="1276"/>
      <c r="V142" s="1276"/>
      <c r="W142" s="985"/>
      <c r="X142" s="1276"/>
      <c r="Y142" s="297">
        <v>23</v>
      </c>
      <c r="Z142" s="986">
        <f t="shared" si="134"/>
        <v>23</v>
      </c>
      <c r="AA142" s="186">
        <f t="shared" ref="AA142:AA143" si="137">IF(Z142/Y142&gt;=100%,100%,Z142/Y142)</f>
        <v>1</v>
      </c>
      <c r="AB142" s="821">
        <v>0.5</v>
      </c>
      <c r="AC142" s="880">
        <v>0.5</v>
      </c>
      <c r="AD142" s="472">
        <v>0</v>
      </c>
      <c r="AE142" s="687">
        <v>0</v>
      </c>
      <c r="AF142" s="687">
        <v>0</v>
      </c>
      <c r="AG142" s="2073">
        <v>831081538</v>
      </c>
      <c r="AH142" s="2129">
        <v>0</v>
      </c>
      <c r="AI142" s="2110" t="e">
        <f t="shared" si="130"/>
        <v>#DIV/0!</v>
      </c>
      <c r="AJ142" s="687">
        <v>0</v>
      </c>
      <c r="AK142" s="367">
        <v>464258016</v>
      </c>
      <c r="AL142" s="1965">
        <v>0</v>
      </c>
      <c r="AM142" s="1331" t="e">
        <f t="shared" si="131"/>
        <v>#DIV/0!</v>
      </c>
      <c r="AN142" s="997">
        <f t="shared" ref="AN142:AN143" si="138">+AH142-AL142</f>
        <v>0</v>
      </c>
      <c r="AO142" s="1445">
        <v>0</v>
      </c>
      <c r="AP142" s="687">
        <v>0</v>
      </c>
      <c r="AQ142" s="2007"/>
      <c r="AR142" s="2007"/>
      <c r="AS142" s="614" t="e">
        <f t="shared" si="132"/>
        <v>#DIV/0!</v>
      </c>
      <c r="AT142" s="1446">
        <v>80000000</v>
      </c>
      <c r="AU142" s="993">
        <f t="shared" ref="AU142:AU143" si="139">SUM(AJ142:AL142)+AR142+AP142</f>
        <v>464258016</v>
      </c>
      <c r="AV142" s="1331">
        <f t="shared" si="133"/>
        <v>5.8032252</v>
      </c>
      <c r="AW142" s="1286"/>
      <c r="AX142" s="191"/>
      <c r="AY142" s="190" t="s">
        <v>30</v>
      </c>
      <c r="AZ142" s="1447" t="s">
        <v>1523</v>
      </c>
      <c r="BA142" s="1047"/>
      <c r="BB142" s="1047"/>
    </row>
    <row r="143" spans="1:54" ht="133.5" customHeight="1">
      <c r="A143" s="344" t="s">
        <v>2167</v>
      </c>
      <c r="B143" s="444" t="s">
        <v>871</v>
      </c>
      <c r="C143" s="1448">
        <v>0</v>
      </c>
      <c r="D143" s="400">
        <v>1</v>
      </c>
      <c r="E143" s="400">
        <v>1</v>
      </c>
      <c r="F143" s="1002">
        <v>0</v>
      </c>
      <c r="G143" s="182">
        <v>1</v>
      </c>
      <c r="H143" s="182">
        <v>1</v>
      </c>
      <c r="I143" s="147"/>
      <c r="J143" s="147"/>
      <c r="K143" s="147"/>
      <c r="L143" s="180" t="e">
        <f>IF((F143+I143)/C143&gt;=100%,100%,(F143+I143)/C143)</f>
        <v>#DIV/0!</v>
      </c>
      <c r="M143" s="1090">
        <f>IF((G143+J143)/D143&gt;=100%,100%,(G143+J143)/D143)</f>
        <v>1</v>
      </c>
      <c r="N143" s="821">
        <f t="shared" ref="N143" si="140">IF((H143/E143)&gt;=100%,100%,(H143/E143))</f>
        <v>1</v>
      </c>
      <c r="O143" s="2165" t="s">
        <v>2340</v>
      </c>
      <c r="P143" s="1023"/>
      <c r="Q143" s="2041" t="s">
        <v>2183</v>
      </c>
      <c r="R143" s="1015"/>
      <c r="S143" s="1013" t="s">
        <v>2182</v>
      </c>
      <c r="T143" s="2038" t="s">
        <v>2193</v>
      </c>
      <c r="U143" s="181"/>
      <c r="V143" s="181"/>
      <c r="W143" s="150"/>
      <c r="X143" s="181"/>
      <c r="Y143" s="298">
        <v>1</v>
      </c>
      <c r="Z143" s="180">
        <f t="shared" si="134"/>
        <v>2</v>
      </c>
      <c r="AA143" s="186">
        <f t="shared" si="137"/>
        <v>1</v>
      </c>
      <c r="AB143" s="180">
        <v>0.5</v>
      </c>
      <c r="AC143" s="472">
        <v>0.5</v>
      </c>
      <c r="AD143" s="472">
        <v>1</v>
      </c>
      <c r="AE143" s="1449">
        <v>1010000000</v>
      </c>
      <c r="AF143" s="687">
        <v>0</v>
      </c>
      <c r="AG143" s="2073">
        <v>59394770</v>
      </c>
      <c r="AH143" s="2129">
        <v>1008941098</v>
      </c>
      <c r="AI143" s="1996">
        <f t="shared" si="130"/>
        <v>0.99895158217821778</v>
      </c>
      <c r="AJ143" s="687">
        <v>0</v>
      </c>
      <c r="AK143" s="367">
        <v>33179053</v>
      </c>
      <c r="AL143" s="1965">
        <v>541679251</v>
      </c>
      <c r="AM143" s="1030">
        <f t="shared" si="131"/>
        <v>0.53631609009900993</v>
      </c>
      <c r="AN143" s="997">
        <f t="shared" si="138"/>
        <v>467261847</v>
      </c>
      <c r="AO143" s="1445">
        <v>0</v>
      </c>
      <c r="AP143" s="687">
        <v>0</v>
      </c>
      <c r="AQ143" s="2007">
        <v>393039239</v>
      </c>
      <c r="AR143" s="2007">
        <v>392716735</v>
      </c>
      <c r="AS143" s="614">
        <f t="shared" si="132"/>
        <v>0.99917946106139288</v>
      </c>
      <c r="AT143" s="1450">
        <v>3780000000</v>
      </c>
      <c r="AU143" s="993">
        <f t="shared" si="139"/>
        <v>967575039</v>
      </c>
      <c r="AV143" s="1139">
        <f t="shared" si="133"/>
        <v>0.25597223253968254</v>
      </c>
      <c r="AW143" s="173"/>
      <c r="AX143" s="157"/>
      <c r="AY143" s="152" t="s">
        <v>30</v>
      </c>
      <c r="AZ143" s="1451" t="s">
        <v>1523</v>
      </c>
      <c r="BA143" s="93"/>
      <c r="BB143" s="93"/>
    </row>
    <row r="144" spans="1:54" ht="52.5" customHeight="1">
      <c r="A144" s="315" t="s">
        <v>472</v>
      </c>
      <c r="B144" s="138"/>
      <c r="C144" s="139"/>
      <c r="D144" s="223"/>
      <c r="E144" s="223"/>
      <c r="F144" s="212"/>
      <c r="G144" s="139"/>
      <c r="H144" s="139"/>
      <c r="I144" s="139"/>
      <c r="J144" s="139"/>
      <c r="K144" s="139"/>
      <c r="L144" s="140">
        <f>+(L145*100%)</f>
        <v>1</v>
      </c>
      <c r="M144" s="161">
        <f>+SUMPRODUCT(M145:M145,AC145:AC145)</f>
        <v>1</v>
      </c>
      <c r="N144" s="161">
        <f>+SUMPRODUCT(N145:N145,AD145:AD145)</f>
        <v>1</v>
      </c>
      <c r="O144" s="2165"/>
      <c r="P144" s="1452"/>
      <c r="Q144" s="141"/>
      <c r="R144" s="142"/>
      <c r="S144" s="142"/>
      <c r="T144" s="176"/>
      <c r="U144" s="176"/>
      <c r="V144" s="176"/>
      <c r="W144" s="163"/>
      <c r="X144" s="176"/>
      <c r="Y144" s="235"/>
      <c r="Z144" s="258">
        <f t="shared" si="134"/>
        <v>0</v>
      </c>
      <c r="AA144" s="177">
        <f>+SUMPRODUCT(AA145:AA145,AB145:AB145)</f>
        <v>0.75</v>
      </c>
      <c r="AB144" s="140">
        <v>0.2</v>
      </c>
      <c r="AC144" s="471">
        <v>0.2</v>
      </c>
      <c r="AD144" s="471">
        <v>0.2</v>
      </c>
      <c r="AE144" s="1453">
        <v>125000000</v>
      </c>
      <c r="AF144" s="1453">
        <f>SUM(AF145)</f>
        <v>125000000</v>
      </c>
      <c r="AG144" s="138">
        <f>SUM(AG145)</f>
        <v>123446960</v>
      </c>
      <c r="AH144" s="2115">
        <f>SUM(AH145)</f>
        <v>124935396</v>
      </c>
      <c r="AI144" s="1990">
        <f t="shared" si="130"/>
        <v>0.99948316800000003</v>
      </c>
      <c r="AJ144" s="1453">
        <f>SUM(AJ145)</f>
        <v>62750000</v>
      </c>
      <c r="AK144" s="1453">
        <f>SUM(AK145)</f>
        <v>65102455</v>
      </c>
      <c r="AL144" s="1975">
        <f>SUM(AL145)</f>
        <v>122102289</v>
      </c>
      <c r="AM144" s="1454">
        <f t="shared" si="131"/>
        <v>0.97681831200000002</v>
      </c>
      <c r="AN144" s="145">
        <f>SUM(AN145)</f>
        <v>2833107</v>
      </c>
      <c r="AO144" s="142">
        <f>SUM(AO145)</f>
        <v>62250000</v>
      </c>
      <c r="AP144" s="1453">
        <f>SUM(AP145)</f>
        <v>4000000</v>
      </c>
      <c r="AQ144" s="1581">
        <f>SUM(AQ145)</f>
        <v>58344505</v>
      </c>
      <c r="AR144" s="1581">
        <f>SUM(AR145)</f>
        <v>58298433</v>
      </c>
      <c r="AS144" s="613">
        <f t="shared" si="132"/>
        <v>0.99921034551582877</v>
      </c>
      <c r="AT144" s="1453">
        <f t="shared" ref="AT144:AU144" si="141">SUM(AT145)</f>
        <v>500000000</v>
      </c>
      <c r="AU144" s="1453">
        <f t="shared" si="141"/>
        <v>312253177</v>
      </c>
      <c r="AV144" s="1455">
        <f t="shared" si="133"/>
        <v>0.62450635399999999</v>
      </c>
      <c r="AW144" s="179"/>
      <c r="AX144" s="165"/>
      <c r="AY144" s="553"/>
      <c r="AZ144" s="145"/>
      <c r="BA144" s="98"/>
      <c r="BB144" s="98"/>
    </row>
    <row r="145" spans="1:54" ht="147" customHeight="1" thickBot="1">
      <c r="A145" s="1456" t="s">
        <v>604</v>
      </c>
      <c r="B145" s="1457" t="s">
        <v>791</v>
      </c>
      <c r="C145" s="1442">
        <v>1</v>
      </c>
      <c r="D145" s="841">
        <v>1</v>
      </c>
      <c r="E145" s="217">
        <v>1</v>
      </c>
      <c r="F145" s="870">
        <v>0</v>
      </c>
      <c r="G145" s="860">
        <v>1</v>
      </c>
      <c r="H145" s="678">
        <v>1</v>
      </c>
      <c r="I145" s="860">
        <v>1</v>
      </c>
      <c r="J145" s="860"/>
      <c r="K145" s="860"/>
      <c r="L145" s="1021">
        <f>IF((F145+I145)/C145&gt;=100%,100%,(F145+I145)/C145)</f>
        <v>1</v>
      </c>
      <c r="M145" s="1090">
        <f>IF((G145+J145)/D145&gt;=100%,100%,(G145+J145)/D145)</f>
        <v>1</v>
      </c>
      <c r="N145" s="821">
        <f>IF((H145/E145)&gt;=100%,100%,(H145/E145))</f>
        <v>1</v>
      </c>
      <c r="O145" s="2165" t="s">
        <v>2341</v>
      </c>
      <c r="P145" s="1023"/>
      <c r="Q145" s="2041" t="s">
        <v>2183</v>
      </c>
      <c r="R145" s="1015"/>
      <c r="S145" s="1013" t="s">
        <v>2182</v>
      </c>
      <c r="T145" s="2038" t="s">
        <v>2193</v>
      </c>
      <c r="U145" s="181"/>
      <c r="V145" s="181"/>
      <c r="W145" s="1024"/>
      <c r="X145" s="181"/>
      <c r="Y145" s="236">
        <v>4</v>
      </c>
      <c r="Z145" s="1026">
        <f t="shared" si="134"/>
        <v>3</v>
      </c>
      <c r="AA145" s="1387">
        <f t="shared" ref="AA145" si="142">IF(Z145/Y145&gt;=100%,100%,Z145/Y145)</f>
        <v>0.75</v>
      </c>
      <c r="AB145" s="1021">
        <v>1</v>
      </c>
      <c r="AC145" s="477">
        <v>1</v>
      </c>
      <c r="AD145" s="472">
        <v>1</v>
      </c>
      <c r="AE145" s="1432">
        <v>125000000</v>
      </c>
      <c r="AF145" s="1364">
        <v>125000000</v>
      </c>
      <c r="AG145" s="1965">
        <v>123446960</v>
      </c>
      <c r="AH145" s="2129">
        <v>124935396</v>
      </c>
      <c r="AI145" s="1995">
        <f t="shared" si="130"/>
        <v>0.99948316800000003</v>
      </c>
      <c r="AJ145" s="1364">
        <v>62750000</v>
      </c>
      <c r="AK145" s="1364">
        <v>65102455</v>
      </c>
      <c r="AL145" s="1965">
        <v>122102289</v>
      </c>
      <c r="AM145" s="1030">
        <f t="shared" si="131"/>
        <v>0.97681831200000002</v>
      </c>
      <c r="AN145" s="997">
        <f>+AH145-AL145</f>
        <v>2833107</v>
      </c>
      <c r="AO145" s="1363">
        <v>62250000</v>
      </c>
      <c r="AP145" s="1364">
        <v>4000000</v>
      </c>
      <c r="AQ145" s="1965">
        <v>58344505</v>
      </c>
      <c r="AR145" s="1965">
        <v>58298433</v>
      </c>
      <c r="AS145" s="1053">
        <f t="shared" si="132"/>
        <v>0.99921034551582877</v>
      </c>
      <c r="AT145" s="1054">
        <v>500000000</v>
      </c>
      <c r="AU145" s="993">
        <f t="shared" ref="AU145" si="143">SUM(AJ145:AL145)+AR145+AP145</f>
        <v>312253177</v>
      </c>
      <c r="AV145" s="1139">
        <f>+AU145/AT145</f>
        <v>0.62450635399999999</v>
      </c>
      <c r="AW145" s="173"/>
      <c r="AX145" s="173"/>
      <c r="AY145" s="189" t="s">
        <v>302</v>
      </c>
      <c r="AZ145" s="1458" t="s">
        <v>908</v>
      </c>
      <c r="BA145" s="1037"/>
      <c r="BB145" s="1037"/>
    </row>
    <row r="146" spans="1:54" ht="42.75" customHeight="1" thickBot="1">
      <c r="A146" s="919" t="s">
        <v>418</v>
      </c>
      <c r="B146" s="1185"/>
      <c r="C146" s="869"/>
      <c r="D146" s="1186"/>
      <c r="E146" s="225"/>
      <c r="F146" s="1187"/>
      <c r="G146" s="869"/>
      <c r="H146" s="166"/>
      <c r="I146" s="869"/>
      <c r="J146" s="869"/>
      <c r="K146" s="869"/>
      <c r="L146" s="924">
        <f>(L147*0%)+(L150*14%)+(L157*14%)+(L167*24%)+(L190*29%)+(L202*19%)+(L208*0%)</f>
        <v>0.92383400000000004</v>
      </c>
      <c r="M146" s="924">
        <f>(M147*AC147)+(M150*AC150)+(M157*AC157)+(M167*AC167)+(M190*AC190)+(M202*AC202)+(M208*AC208)</f>
        <v>0.81607602252173916</v>
      </c>
      <c r="N146" s="924">
        <f>(N147*AD147)+(N150*AD150)+(N157*AD157)+(N167*AD167)+(N190*AD190)+(N202*AD202)+(N208*AD208)</f>
        <v>0.758938</v>
      </c>
      <c r="O146" s="925"/>
      <c r="P146" s="1459"/>
      <c r="Q146" s="927"/>
      <c r="R146" s="925"/>
      <c r="S146" s="925"/>
      <c r="T146" s="1460"/>
      <c r="U146" s="1460"/>
      <c r="V146" s="1460"/>
      <c r="W146" s="1461"/>
      <c r="X146" s="1460"/>
      <c r="Y146" s="1462"/>
      <c r="Z146" s="1194">
        <f t="shared" si="134"/>
        <v>0</v>
      </c>
      <c r="AA146" s="932">
        <f>(AA147*AB147)+(AA150*AB150)+(AA157*AB157)+(AA167*AB167)+(AA190*AB190)+(AA202*AB202)+(AA208*AB208)</f>
        <v>0.60837177002164489</v>
      </c>
      <c r="AB146" s="933">
        <v>0.15</v>
      </c>
      <c r="AC146" s="877">
        <v>0.15</v>
      </c>
      <c r="AD146" s="877">
        <v>0.15</v>
      </c>
      <c r="AE146" s="934">
        <v>11090821444</v>
      </c>
      <c r="AF146" s="934">
        <f>+AF147+AF150+AF157+AF167+AF190+AF202+AF208</f>
        <v>2780417319</v>
      </c>
      <c r="AG146" s="2052">
        <f>+AG147+AG150+AG157+AG167+AG190+AG202+AG208</f>
        <v>5433305897.1400003</v>
      </c>
      <c r="AH146" s="2113">
        <f>+AH147+AH150+AH157+AH167+AH190+AH202+AH208</f>
        <v>10746837803.18</v>
      </c>
      <c r="AI146" s="1982">
        <f t="shared" si="130"/>
        <v>0.96898483646528355</v>
      </c>
      <c r="AJ146" s="934">
        <f>+AJ147+AJ150+AJ157+AJ167+AJ190+AJ202+AJ208</f>
        <v>1791641486</v>
      </c>
      <c r="AK146" s="935">
        <f>+AK147+AK150+AK157+AK167+AK190+AK202+AK208</f>
        <v>4158637205.3000002</v>
      </c>
      <c r="AL146" s="935">
        <f>+AL147+AL150+AL157+AL167+AL190+AL202+AL208</f>
        <v>6159301541.6099997</v>
      </c>
      <c r="AM146" s="936">
        <f t="shared" si="131"/>
        <v>0.55535124902241639</v>
      </c>
      <c r="AN146" s="920">
        <f>+AN147+AN150+AN157+AN167+AN190+AN202+AN208</f>
        <v>4587536261.5699997</v>
      </c>
      <c r="AO146" s="937">
        <f>+AO147+AO150+AO157+AO167+AO190+AO202+AO208</f>
        <v>988775833</v>
      </c>
      <c r="AP146" s="934">
        <f>+AP147+AP150+AP157+AP167+AP190+AP202+AP208</f>
        <v>869778890</v>
      </c>
      <c r="AQ146" s="934">
        <f>+AQ147+AQ150+AQ157+AQ167+AQ190+AQ202+AQ208</f>
        <v>1274668691.8400002</v>
      </c>
      <c r="AR146" s="934">
        <f>+AR147+AR150+AR157+AR167+AR190+AR202+AR208</f>
        <v>1209290667.2</v>
      </c>
      <c r="AS146" s="1195">
        <f t="shared" si="132"/>
        <v>0.94870979019212742</v>
      </c>
      <c r="AT146" s="934">
        <f t="shared" ref="AT146:AU146" si="144">+AT147+AT150+AT157+AT167+AT190+AT202+AT208</f>
        <v>26440000000</v>
      </c>
      <c r="AU146" s="934">
        <f t="shared" si="144"/>
        <v>14188649790.110001</v>
      </c>
      <c r="AV146" s="933">
        <f t="shared" ref="AV146:AV174" si="145">+AU146/AT146</f>
        <v>0.53663577118419059</v>
      </c>
      <c r="AW146" s="939"/>
      <c r="AX146" s="939"/>
      <c r="AY146" s="937"/>
      <c r="AZ146" s="920"/>
      <c r="BA146" s="1196"/>
      <c r="BB146" s="1196"/>
    </row>
    <row r="147" spans="1:54" s="617" customFormat="1" ht="39" customHeight="1" thickBot="1">
      <c r="A147" s="1065" t="s">
        <v>430</v>
      </c>
      <c r="B147" s="1066"/>
      <c r="C147" s="862"/>
      <c r="D147" s="835"/>
      <c r="E147" s="222"/>
      <c r="F147" s="1067"/>
      <c r="G147" s="862"/>
      <c r="H147" s="129"/>
      <c r="I147" s="862"/>
      <c r="J147" s="862"/>
      <c r="K147" s="862"/>
      <c r="L147" s="1077">
        <f>+(L148*0%)</f>
        <v>0</v>
      </c>
      <c r="M147" s="1068">
        <f>+(M148*AC148)</f>
        <v>0</v>
      </c>
      <c r="N147" s="1068">
        <f>+(N148*AD148)</f>
        <v>1</v>
      </c>
      <c r="O147" s="948"/>
      <c r="P147" s="1463"/>
      <c r="Q147" s="1071"/>
      <c r="R147" s="1069"/>
      <c r="S147" s="1069"/>
      <c r="T147" s="1464"/>
      <c r="U147" s="1464"/>
      <c r="V147" s="1464"/>
      <c r="W147" s="1072"/>
      <c r="X147" s="1464"/>
      <c r="Y147" s="1465"/>
      <c r="Z147" s="1075">
        <f t="shared" si="134"/>
        <v>0</v>
      </c>
      <c r="AA147" s="1246">
        <f>+(AA148*AB148)</f>
        <v>0.33333333333333331</v>
      </c>
      <c r="AB147" s="1077">
        <v>0.05</v>
      </c>
      <c r="AC147" s="883">
        <v>0.05</v>
      </c>
      <c r="AD147" s="470">
        <v>0.05</v>
      </c>
      <c r="AE147" s="1078">
        <v>175000000</v>
      </c>
      <c r="AF147" s="1078">
        <f>+AF148</f>
        <v>0</v>
      </c>
      <c r="AG147" s="1066">
        <f>+AG148</f>
        <v>177204569.19999999</v>
      </c>
      <c r="AH147" s="2114">
        <f>+AH148</f>
        <v>174909553</v>
      </c>
      <c r="AI147" s="1986">
        <f t="shared" si="130"/>
        <v>0.99948316000000004</v>
      </c>
      <c r="AJ147" s="1078">
        <f>+AJ148</f>
        <v>0</v>
      </c>
      <c r="AK147" s="1078">
        <f>+AK148</f>
        <v>164176346</v>
      </c>
      <c r="AL147" s="1078">
        <f>+AL148</f>
        <v>162374348</v>
      </c>
      <c r="AM147" s="1068">
        <f t="shared" si="131"/>
        <v>0.92785341714285718</v>
      </c>
      <c r="AN147" s="1066">
        <f>+AN148</f>
        <v>12535205</v>
      </c>
      <c r="AO147" s="1069">
        <f>+AO148</f>
        <v>0</v>
      </c>
      <c r="AP147" s="1078">
        <f>+AP148</f>
        <v>0</v>
      </c>
      <c r="AQ147" s="1078">
        <f>+AQ148</f>
        <v>13028223.199999999</v>
      </c>
      <c r="AR147" s="1078">
        <f>+AR148</f>
        <v>12945295.199999999</v>
      </c>
      <c r="AS147" s="1080">
        <f t="shared" si="132"/>
        <v>0.9936347421496432</v>
      </c>
      <c r="AT147" s="1078">
        <f t="shared" ref="AT147:AU147" si="146">+AT148</f>
        <v>600000000</v>
      </c>
      <c r="AU147" s="1078">
        <f t="shared" si="146"/>
        <v>339495989.19999999</v>
      </c>
      <c r="AV147" s="1077">
        <f t="shared" si="145"/>
        <v>0.56582664866666665</v>
      </c>
      <c r="AW147" s="1071"/>
      <c r="AX147" s="1071" t="s">
        <v>293</v>
      </c>
      <c r="AY147" s="1069"/>
      <c r="AZ147" s="1066"/>
      <c r="BA147" s="1082"/>
      <c r="BB147" s="1082"/>
    </row>
    <row r="148" spans="1:54" ht="36" customHeight="1" thickBot="1">
      <c r="A148" s="961" t="s">
        <v>473</v>
      </c>
      <c r="B148" s="962"/>
      <c r="C148" s="861"/>
      <c r="D148" s="826"/>
      <c r="E148" s="223"/>
      <c r="F148" s="963"/>
      <c r="G148" s="861"/>
      <c r="H148" s="139"/>
      <c r="I148" s="861"/>
      <c r="J148" s="861"/>
      <c r="K148" s="861"/>
      <c r="L148" s="964">
        <v>0</v>
      </c>
      <c r="M148" s="973">
        <f>+SUMPRODUCT(M149:M149,AC149:AC149)</f>
        <v>0</v>
      </c>
      <c r="N148" s="973">
        <f>+SUMPRODUCT(N149:N149,AD149:AD149)</f>
        <v>1</v>
      </c>
      <c r="O148" s="965"/>
      <c r="P148" s="284"/>
      <c r="Q148" s="966"/>
      <c r="R148" s="965"/>
      <c r="S148" s="965"/>
      <c r="T148" s="1466"/>
      <c r="U148" s="1466"/>
      <c r="V148" s="1466"/>
      <c r="W148" s="1099"/>
      <c r="X148" s="1466"/>
      <c r="Y148" s="1467"/>
      <c r="Z148" s="969">
        <f t="shared" si="134"/>
        <v>0</v>
      </c>
      <c r="AA148" s="1199">
        <f>+SUMPRODUCT(AA149:AA149,AB149:AB149)</f>
        <v>0.33333333333333331</v>
      </c>
      <c r="AB148" s="964">
        <v>1</v>
      </c>
      <c r="AC148" s="879">
        <v>1</v>
      </c>
      <c r="AD148" s="471">
        <v>1</v>
      </c>
      <c r="AE148" s="971">
        <v>175000000</v>
      </c>
      <c r="AF148" s="971">
        <f>SUM(AF149)</f>
        <v>0</v>
      </c>
      <c r="AG148" s="962">
        <f>SUM(AG149)</f>
        <v>177204569.19999999</v>
      </c>
      <c r="AH148" s="2115">
        <f>SUM(AH149)</f>
        <v>174909553</v>
      </c>
      <c r="AI148" s="1984">
        <f t="shared" si="130"/>
        <v>0.99948316000000004</v>
      </c>
      <c r="AJ148" s="971">
        <f>SUM(AJ149)</f>
        <v>0</v>
      </c>
      <c r="AK148" s="971">
        <f>SUM(AK149)</f>
        <v>164176346</v>
      </c>
      <c r="AL148" s="971">
        <f>SUM(AL149)</f>
        <v>162374348</v>
      </c>
      <c r="AM148" s="973">
        <f t="shared" si="131"/>
        <v>0.92785341714285718</v>
      </c>
      <c r="AN148" s="974">
        <f>SUM(AN149)</f>
        <v>12535205</v>
      </c>
      <c r="AO148" s="965">
        <f>SUM(AO149)</f>
        <v>0</v>
      </c>
      <c r="AP148" s="971">
        <f>SUM(AP149)</f>
        <v>0</v>
      </c>
      <c r="AQ148" s="971">
        <f>SUM(AQ149)</f>
        <v>13028223.199999999</v>
      </c>
      <c r="AR148" s="971">
        <f>SUM(AR149)</f>
        <v>12945295.199999999</v>
      </c>
      <c r="AS148" s="967">
        <f t="shared" si="132"/>
        <v>0.9936347421496432</v>
      </c>
      <c r="AT148" s="971">
        <f t="shared" ref="AT148:AU148" si="147">SUM(AT149)</f>
        <v>600000000</v>
      </c>
      <c r="AU148" s="971">
        <f t="shared" si="147"/>
        <v>339495989.19999999</v>
      </c>
      <c r="AV148" s="964">
        <f t="shared" si="145"/>
        <v>0.56582664866666665</v>
      </c>
      <c r="AW148" s="975"/>
      <c r="AX148" s="975"/>
      <c r="AY148" s="283"/>
      <c r="AZ148" s="974"/>
      <c r="BA148" s="286"/>
      <c r="BB148" s="286"/>
    </row>
    <row r="149" spans="1:54" ht="93.75" customHeight="1" thickBot="1">
      <c r="A149" s="1468" t="s">
        <v>605</v>
      </c>
      <c r="B149" s="446" t="s">
        <v>872</v>
      </c>
      <c r="C149" s="1469">
        <v>0</v>
      </c>
      <c r="D149" s="842">
        <v>1</v>
      </c>
      <c r="E149" s="218">
        <v>1</v>
      </c>
      <c r="F149" s="1269">
        <v>0</v>
      </c>
      <c r="G149" s="867">
        <v>0</v>
      </c>
      <c r="H149" s="147">
        <v>1</v>
      </c>
      <c r="I149" s="867"/>
      <c r="J149" s="867"/>
      <c r="K149" s="867"/>
      <c r="L149" s="1270" t="e">
        <f>IF((F149+I149)/C149&gt;=100%,100%,(F149+I149)/C149)</f>
        <v>#DIV/0!</v>
      </c>
      <c r="M149" s="1090">
        <f>IF((G149+J149)/D149&gt;=100%,100%,(G149+J149)/D149)</f>
        <v>0</v>
      </c>
      <c r="N149" s="821">
        <f>IF((H149/E149)&gt;=100%,100%,(H149/E149))</f>
        <v>1</v>
      </c>
      <c r="O149" s="2165" t="s">
        <v>2342</v>
      </c>
      <c r="Q149" s="2041" t="s">
        <v>2183</v>
      </c>
      <c r="R149" s="1015"/>
      <c r="S149" s="1013" t="s">
        <v>2182</v>
      </c>
      <c r="T149" s="2038" t="s">
        <v>2194</v>
      </c>
      <c r="U149" s="1470"/>
      <c r="V149" s="1470"/>
      <c r="W149" s="1277"/>
      <c r="X149" s="1470"/>
      <c r="Y149" s="1471">
        <v>3</v>
      </c>
      <c r="Z149" s="1278">
        <f t="shared" si="134"/>
        <v>1</v>
      </c>
      <c r="AA149" s="1387">
        <f t="shared" ref="AA149" si="148">IF(Z149/Y149&gt;=100%,100%,Z149/Y149)</f>
        <v>0.33333333333333331</v>
      </c>
      <c r="AB149" s="1270">
        <v>1</v>
      </c>
      <c r="AC149" s="888">
        <v>1</v>
      </c>
      <c r="AD149" s="472">
        <v>1</v>
      </c>
      <c r="AE149" s="1472">
        <v>175000000</v>
      </c>
      <c r="AF149" s="1473">
        <v>0</v>
      </c>
      <c r="AG149" s="1966">
        <v>177204569.19999999</v>
      </c>
      <c r="AH149" s="2137">
        <v>174909553</v>
      </c>
      <c r="AI149" s="1985">
        <f t="shared" si="130"/>
        <v>0.99948316000000004</v>
      </c>
      <c r="AJ149" s="1473">
        <v>0</v>
      </c>
      <c r="AK149" s="1473">
        <v>164176346</v>
      </c>
      <c r="AL149" s="1966">
        <v>162374348</v>
      </c>
      <c r="AM149" s="1331">
        <f t="shared" si="131"/>
        <v>0.92785341714285718</v>
      </c>
      <c r="AN149" s="997">
        <f>+AH149-AL149</f>
        <v>12535205</v>
      </c>
      <c r="AO149" s="1474">
        <v>0</v>
      </c>
      <c r="AP149" s="1473">
        <v>0</v>
      </c>
      <c r="AQ149" s="1966">
        <v>13028223.199999999</v>
      </c>
      <c r="AR149" s="1966">
        <v>12945295.199999999</v>
      </c>
      <c r="AS149" s="1053">
        <f t="shared" si="132"/>
        <v>0.9936347421496432</v>
      </c>
      <c r="AT149" s="1285">
        <v>600000000</v>
      </c>
      <c r="AU149" s="993">
        <f t="shared" ref="AU149" si="149">SUM(AJ149:AL149)+AR149+AP149</f>
        <v>339495989.19999999</v>
      </c>
      <c r="AV149" s="1257">
        <f t="shared" si="145"/>
        <v>0.56582664866666665</v>
      </c>
      <c r="AW149" s="1286"/>
      <c r="AX149" s="1286"/>
      <c r="AY149" s="1272" t="s">
        <v>21</v>
      </c>
      <c r="AZ149" s="1475" t="s">
        <v>890</v>
      </c>
      <c r="BA149" s="1175"/>
      <c r="BB149" s="1175"/>
    </row>
    <row r="150" spans="1:54" s="617" customFormat="1" ht="56.25" customHeight="1" thickBot="1">
      <c r="A150" s="1065" t="s">
        <v>431</v>
      </c>
      <c r="B150" s="1066"/>
      <c r="C150" s="862"/>
      <c r="D150" s="835"/>
      <c r="E150" s="222"/>
      <c r="F150" s="1067"/>
      <c r="G150" s="862"/>
      <c r="H150" s="129"/>
      <c r="I150" s="862"/>
      <c r="J150" s="862"/>
      <c r="K150" s="862"/>
      <c r="L150" s="1077">
        <f>+(L151*40%)+(L153*60%)+(L155*0%)</f>
        <v>1</v>
      </c>
      <c r="M150" s="1068">
        <f>+(M151*AC151)+(M153*AC153)+(M155*AC155)</f>
        <v>1</v>
      </c>
      <c r="N150" s="1068">
        <f>+(N151*AD151)+(N153*AD153)+(N155*AD155)</f>
        <v>1</v>
      </c>
      <c r="O150" s="948"/>
      <c r="P150" s="1463"/>
      <c r="Q150" s="1071"/>
      <c r="R150" s="1069"/>
      <c r="S150" s="1069"/>
      <c r="T150" s="1464"/>
      <c r="U150" s="1464"/>
      <c r="V150" s="1464"/>
      <c r="W150" s="1072"/>
      <c r="X150" s="1464"/>
      <c r="Y150" s="1465"/>
      <c r="Z150" s="1075">
        <f t="shared" si="134"/>
        <v>0</v>
      </c>
      <c r="AA150" s="1246">
        <f>+(AA151*AB151)+(AA153*AB153)+(AA155*AB155)</f>
        <v>0.82499999999999996</v>
      </c>
      <c r="AB150" s="1077">
        <v>0.1</v>
      </c>
      <c r="AC150" s="883">
        <v>0.1</v>
      </c>
      <c r="AD150" s="470">
        <v>0.1</v>
      </c>
      <c r="AE150" s="1078">
        <v>430000000</v>
      </c>
      <c r="AF150" s="1078">
        <f>+AF151+AF153+AF155</f>
        <v>68500000</v>
      </c>
      <c r="AG150" s="1066">
        <f>+AG151+AG153+AG155</f>
        <v>472511601</v>
      </c>
      <c r="AH150" s="2114">
        <f>+AH151+AH153+AH155</f>
        <v>429686303</v>
      </c>
      <c r="AI150" s="1986">
        <f t="shared" si="130"/>
        <v>0.99927047209302322</v>
      </c>
      <c r="AJ150" s="1078">
        <f>+AJ151+AJ153+AJ155</f>
        <v>30000000</v>
      </c>
      <c r="AK150" s="1078">
        <f>+AK151+AK153+AK155</f>
        <v>445997516</v>
      </c>
      <c r="AL150" s="1078">
        <f>+AL151+AL153+AL155</f>
        <v>320743627</v>
      </c>
      <c r="AM150" s="1068">
        <f t="shared" si="131"/>
        <v>0.74591541162790698</v>
      </c>
      <c r="AN150" s="1066">
        <f>+AN151+AN153+AN155</f>
        <v>108942676</v>
      </c>
      <c r="AO150" s="1069">
        <f>+AO151+AO153+AO155</f>
        <v>38500000</v>
      </c>
      <c r="AP150" s="1078">
        <f>+AP151+AP153+AP155</f>
        <v>38500000</v>
      </c>
      <c r="AQ150" s="1078">
        <f>+AQ151+AQ153+AQ155</f>
        <v>26514085</v>
      </c>
      <c r="AR150" s="1078">
        <f>+AR151+AR153+AR155</f>
        <v>26213355</v>
      </c>
      <c r="AS150" s="1080">
        <f t="shared" si="132"/>
        <v>0.98865772663850171</v>
      </c>
      <c r="AT150" s="1078">
        <f t="shared" ref="AT150:AU150" si="150">+AT151+AT153+AT155</f>
        <v>1540000000</v>
      </c>
      <c r="AU150" s="1078">
        <f t="shared" si="150"/>
        <v>861454498</v>
      </c>
      <c r="AV150" s="1077">
        <f t="shared" si="145"/>
        <v>0.55938603766233763</v>
      </c>
      <c r="AW150" s="1071"/>
      <c r="AX150" s="1071" t="s">
        <v>298</v>
      </c>
      <c r="AY150" s="1069"/>
      <c r="AZ150" s="1066"/>
      <c r="BA150" s="1082"/>
      <c r="BB150" s="1082"/>
    </row>
    <row r="151" spans="1:54" ht="44.25" customHeight="1" thickBot="1">
      <c r="A151" s="961" t="s">
        <v>474</v>
      </c>
      <c r="B151" s="962"/>
      <c r="C151" s="861"/>
      <c r="D151" s="826"/>
      <c r="E151" s="223"/>
      <c r="F151" s="963"/>
      <c r="G151" s="861"/>
      <c r="H151" s="139"/>
      <c r="I151" s="861"/>
      <c r="J151" s="861"/>
      <c r="K151" s="861"/>
      <c r="L151" s="964">
        <f>+SUMPRODUCT(L152:L152,AB152:AB152)</f>
        <v>1</v>
      </c>
      <c r="M151" s="973">
        <f>+SUMPRODUCT(M152:M152,AC152:AC152)</f>
        <v>1</v>
      </c>
      <c r="N151" s="973">
        <f>+SUMPRODUCT(N152:N152,AD152:AD152)</f>
        <v>1</v>
      </c>
      <c r="O151" s="965"/>
      <c r="P151" s="962"/>
      <c r="Q151" s="966"/>
      <c r="R151" s="965"/>
      <c r="S151" s="965"/>
      <c r="T151" s="966"/>
      <c r="U151" s="966"/>
      <c r="V151" s="966"/>
      <c r="W151" s="1099"/>
      <c r="X151" s="966"/>
      <c r="Y151" s="968"/>
      <c r="Z151" s="969">
        <f t="shared" si="134"/>
        <v>0</v>
      </c>
      <c r="AA151" s="1199">
        <f>+SUMPRODUCT(AA152:AA152,AB152:AB152)</f>
        <v>0.75</v>
      </c>
      <c r="AB151" s="964">
        <v>0.3</v>
      </c>
      <c r="AC151" s="879">
        <v>0.3</v>
      </c>
      <c r="AD151" s="471">
        <v>0.3</v>
      </c>
      <c r="AE151" s="971">
        <v>100000000</v>
      </c>
      <c r="AF151" s="971">
        <f>SUM(AF152)</f>
        <v>0</v>
      </c>
      <c r="AG151" s="962">
        <f>SUM(AG152)</f>
        <v>137825746</v>
      </c>
      <c r="AH151" s="2115">
        <f>SUM(AH152)</f>
        <v>99948316</v>
      </c>
      <c r="AI151" s="1984">
        <f t="shared" si="130"/>
        <v>0.99948316000000004</v>
      </c>
      <c r="AJ151" s="971">
        <f>SUM(AJ152)</f>
        <v>0</v>
      </c>
      <c r="AK151" s="971">
        <f>SUM(AK152)</f>
        <v>127134839</v>
      </c>
      <c r="AL151" s="971">
        <f>SUM(AL152)</f>
        <v>32949328</v>
      </c>
      <c r="AM151" s="973">
        <f t="shared" si="131"/>
        <v>0.32949328</v>
      </c>
      <c r="AN151" s="974">
        <f>SUM(AN152)</f>
        <v>66998988</v>
      </c>
      <c r="AO151" s="965">
        <f>SUM(AO152)</f>
        <v>0</v>
      </c>
      <c r="AP151" s="971">
        <f>SUM(AP152)</f>
        <v>0</v>
      </c>
      <c r="AQ151" s="971">
        <f>SUM(AQ152)</f>
        <v>10690907</v>
      </c>
      <c r="AR151" s="971">
        <f>SUM(AR152)</f>
        <v>10626406</v>
      </c>
      <c r="AS151" s="967">
        <f t="shared" si="132"/>
        <v>0.99396674201730495</v>
      </c>
      <c r="AT151" s="971">
        <f t="shared" ref="AT151:AU151" si="151">SUM(AT152)</f>
        <v>510000000</v>
      </c>
      <c r="AU151" s="971">
        <f t="shared" si="151"/>
        <v>170710573</v>
      </c>
      <c r="AV151" s="964">
        <f t="shared" si="145"/>
        <v>0.33472661372549017</v>
      </c>
      <c r="AW151" s="975"/>
      <c r="AX151" s="975"/>
      <c r="AY151" s="283"/>
      <c r="AZ151" s="974"/>
      <c r="BA151" s="286"/>
      <c r="BB151" s="286"/>
    </row>
    <row r="152" spans="1:54" ht="84" customHeight="1" thickBot="1">
      <c r="A152" s="1476" t="s">
        <v>606</v>
      </c>
      <c r="B152" s="1477" t="s">
        <v>873</v>
      </c>
      <c r="C152" s="1478">
        <v>1</v>
      </c>
      <c r="D152" s="839">
        <v>1</v>
      </c>
      <c r="E152" s="217">
        <v>1</v>
      </c>
      <c r="F152" s="1269">
        <v>1</v>
      </c>
      <c r="G152" s="867">
        <v>1</v>
      </c>
      <c r="H152" s="679">
        <v>1</v>
      </c>
      <c r="I152" s="867"/>
      <c r="J152" s="867"/>
      <c r="K152" s="867"/>
      <c r="L152" s="1270">
        <f>IF((F152+I152)/C152&gt;=100%,100%,(F152+I152)/C152)</f>
        <v>1</v>
      </c>
      <c r="M152" s="1090">
        <f>IF((G152+J152)/D152&gt;=100%,100%,(G152+J152)/D152)</f>
        <v>1</v>
      </c>
      <c r="N152" s="821">
        <f>IF((H152/E152)&gt;=100%,100%,(H152/E152))</f>
        <v>1</v>
      </c>
      <c r="O152" s="2165" t="s">
        <v>2343</v>
      </c>
      <c r="P152" s="1273"/>
      <c r="Q152" s="2041" t="s">
        <v>2183</v>
      </c>
      <c r="R152" s="1015"/>
      <c r="S152" s="1013" t="s">
        <v>2182</v>
      </c>
      <c r="T152" s="2038" t="s">
        <v>2194</v>
      </c>
      <c r="U152" s="1276"/>
      <c r="V152" s="1276"/>
      <c r="W152" s="1277"/>
      <c r="X152" s="1276"/>
      <c r="Y152" s="1326">
        <v>4</v>
      </c>
      <c r="Z152" s="1278">
        <f t="shared" si="134"/>
        <v>3</v>
      </c>
      <c r="AA152" s="1387">
        <f t="shared" ref="AA152" si="152">IF(Z152/Y152&gt;=100%,100%,Z152/Y152)</f>
        <v>0.75</v>
      </c>
      <c r="AB152" s="1270">
        <v>1</v>
      </c>
      <c r="AC152" s="888">
        <v>1</v>
      </c>
      <c r="AD152" s="472">
        <v>1</v>
      </c>
      <c r="AE152" s="1479">
        <v>100000000</v>
      </c>
      <c r="AF152" s="1480">
        <v>0</v>
      </c>
      <c r="AG152" s="2010">
        <v>137825746</v>
      </c>
      <c r="AH152" s="2138">
        <v>99948316</v>
      </c>
      <c r="AI152" s="1985">
        <f t="shared" si="130"/>
        <v>0.99948316000000004</v>
      </c>
      <c r="AJ152" s="1480">
        <v>0</v>
      </c>
      <c r="AK152" s="1479">
        <v>127134839</v>
      </c>
      <c r="AL152" s="1479">
        <v>32949328</v>
      </c>
      <c r="AM152" s="1331">
        <f t="shared" si="131"/>
        <v>0.32949328</v>
      </c>
      <c r="AN152" s="997">
        <f>+AH152-AL152</f>
        <v>66998988</v>
      </c>
      <c r="AO152" s="1481">
        <v>0</v>
      </c>
      <c r="AP152" s="1480">
        <v>0</v>
      </c>
      <c r="AQ152" s="2008">
        <v>10690907</v>
      </c>
      <c r="AR152" s="2008">
        <v>10626406</v>
      </c>
      <c r="AS152" s="1053">
        <f t="shared" si="132"/>
        <v>0.99396674201730495</v>
      </c>
      <c r="AT152" s="1285">
        <v>510000000</v>
      </c>
      <c r="AU152" s="993">
        <f t="shared" ref="AU152" si="153">SUM(AJ152:AL152)+AR152+AP152</f>
        <v>170710573</v>
      </c>
      <c r="AV152" s="1257">
        <f t="shared" si="145"/>
        <v>0.33472661372549017</v>
      </c>
      <c r="AW152" s="1286"/>
      <c r="AX152" s="1286"/>
      <c r="AY152" s="1272" t="s">
        <v>21</v>
      </c>
      <c r="AZ152" s="1482" t="s">
        <v>914</v>
      </c>
      <c r="BA152" s="1175"/>
      <c r="BB152" s="1175"/>
    </row>
    <row r="153" spans="1:54" ht="39" customHeight="1" thickBot="1">
      <c r="A153" s="961" t="s">
        <v>475</v>
      </c>
      <c r="B153" s="962"/>
      <c r="C153" s="861"/>
      <c r="D153" s="826"/>
      <c r="E153" s="223"/>
      <c r="F153" s="963"/>
      <c r="G153" s="861"/>
      <c r="H153" s="139"/>
      <c r="I153" s="861"/>
      <c r="J153" s="861"/>
      <c r="K153" s="861"/>
      <c r="L153" s="964">
        <f>+SUMPRODUCT(L154:L154,AB154:AB154)</f>
        <v>1</v>
      </c>
      <c r="M153" s="973">
        <f>+SUMPRODUCT(M154:M154,AC154:AC154)</f>
        <v>1</v>
      </c>
      <c r="N153" s="973">
        <f>+SUMPRODUCT(N154:N154,AD154:AD154)</f>
        <v>1</v>
      </c>
      <c r="O153" s="965"/>
      <c r="P153" s="962"/>
      <c r="Q153" s="966"/>
      <c r="R153" s="965"/>
      <c r="S153" s="965"/>
      <c r="T153" s="966"/>
      <c r="U153" s="966"/>
      <c r="V153" s="966"/>
      <c r="W153" s="1099"/>
      <c r="X153" s="966"/>
      <c r="Y153" s="968"/>
      <c r="Z153" s="969">
        <f t="shared" si="134"/>
        <v>0</v>
      </c>
      <c r="AA153" s="1199">
        <f>+SUMPRODUCT(AA154:AA154,AB154:AB154)</f>
        <v>0.75</v>
      </c>
      <c r="AB153" s="964">
        <v>0.4</v>
      </c>
      <c r="AC153" s="879">
        <v>0.4</v>
      </c>
      <c r="AD153" s="471">
        <v>0.4</v>
      </c>
      <c r="AE153" s="971">
        <v>155000000</v>
      </c>
      <c r="AF153" s="971">
        <f>SUM(AF154)</f>
        <v>68500000</v>
      </c>
      <c r="AG153" s="962">
        <f>SUM(AG154)</f>
        <v>157516021</v>
      </c>
      <c r="AH153" s="2115">
        <f>SUM(AH154)</f>
        <v>154828434</v>
      </c>
      <c r="AI153" s="1984">
        <f t="shared" si="130"/>
        <v>0.99889312258064511</v>
      </c>
      <c r="AJ153" s="971">
        <f>SUM(AJ154)</f>
        <v>30000000</v>
      </c>
      <c r="AK153" s="971">
        <f>SUM(AK154)</f>
        <v>152164275</v>
      </c>
      <c r="AL153" s="971">
        <f>SUM(AL154)</f>
        <v>149632817</v>
      </c>
      <c r="AM153" s="973">
        <f t="shared" si="131"/>
        <v>0.96537301290322586</v>
      </c>
      <c r="AN153" s="974">
        <f>SUM(AN154)</f>
        <v>5195617</v>
      </c>
      <c r="AO153" s="965">
        <f>SUM(AO154)</f>
        <v>38500000</v>
      </c>
      <c r="AP153" s="971">
        <f>SUM(AP154)</f>
        <v>38500000</v>
      </c>
      <c r="AQ153" s="971">
        <f>SUM(AQ154)</f>
        <v>5351746</v>
      </c>
      <c r="AR153" s="971">
        <f>SUM(AR154)</f>
        <v>5278031</v>
      </c>
      <c r="AS153" s="967">
        <f t="shared" si="132"/>
        <v>0.98622599054588911</v>
      </c>
      <c r="AT153" s="971">
        <f>SUM(AT154)</f>
        <v>630000000</v>
      </c>
      <c r="AU153" s="971">
        <f>SUM(AU154)</f>
        <v>375575123</v>
      </c>
      <c r="AV153" s="964">
        <f t="shared" si="145"/>
        <v>0.59615098888888884</v>
      </c>
      <c r="AW153" s="975"/>
      <c r="AX153" s="975"/>
      <c r="AY153" s="283"/>
      <c r="AZ153" s="974"/>
      <c r="BA153" s="286"/>
      <c r="BB153" s="286"/>
    </row>
    <row r="154" spans="1:54" ht="87.75" customHeight="1" thickBot="1">
      <c r="A154" s="348" t="s">
        <v>607</v>
      </c>
      <c r="B154" s="1477" t="s">
        <v>873</v>
      </c>
      <c r="C154" s="1478">
        <v>1</v>
      </c>
      <c r="D154" s="839">
        <v>1</v>
      </c>
      <c r="E154" s="217">
        <v>1</v>
      </c>
      <c r="F154" s="1269">
        <v>1</v>
      </c>
      <c r="G154" s="867">
        <v>1</v>
      </c>
      <c r="H154" s="680">
        <v>1</v>
      </c>
      <c r="I154" s="867"/>
      <c r="J154" s="867"/>
      <c r="K154" s="867"/>
      <c r="L154" s="1270">
        <f>IF((F154+I154)/C154&gt;=100%,100%,(F154+I154)/C154)</f>
        <v>1</v>
      </c>
      <c r="M154" s="1090">
        <f>IF((G154+J154)/D154&gt;=100%,100%,(G154+J154)/D154)</f>
        <v>1</v>
      </c>
      <c r="N154" s="821">
        <f>IF((H154/E154)&gt;=100%,100%,(H154/E154))</f>
        <v>1</v>
      </c>
      <c r="O154" s="2165" t="s">
        <v>2344</v>
      </c>
      <c r="P154" s="1273"/>
      <c r="Q154" s="2041" t="s">
        <v>2183</v>
      </c>
      <c r="R154" s="1015"/>
      <c r="S154" s="1013" t="s">
        <v>2182</v>
      </c>
      <c r="T154" s="2038" t="s">
        <v>2194</v>
      </c>
      <c r="U154" s="1276"/>
      <c r="V154" s="1276"/>
      <c r="W154" s="1277"/>
      <c r="X154" s="1276"/>
      <c r="Y154" s="1326">
        <v>4</v>
      </c>
      <c r="Z154" s="1278">
        <f t="shared" si="134"/>
        <v>3</v>
      </c>
      <c r="AA154" s="1387">
        <f t="shared" ref="AA154" si="154">IF(Z154/Y154&gt;=100%,100%,Z154/Y154)</f>
        <v>0.75</v>
      </c>
      <c r="AB154" s="1270">
        <v>1</v>
      </c>
      <c r="AC154" s="888">
        <v>1</v>
      </c>
      <c r="AD154" s="472">
        <v>1</v>
      </c>
      <c r="AE154" s="1483">
        <v>155000000</v>
      </c>
      <c r="AF154" s="1480">
        <v>68500000</v>
      </c>
      <c r="AG154" s="2008">
        <v>157516021</v>
      </c>
      <c r="AH154" s="2139">
        <v>154828434</v>
      </c>
      <c r="AI154" s="1985">
        <f t="shared" si="130"/>
        <v>0.99889312258064511</v>
      </c>
      <c r="AJ154" s="1480">
        <v>30000000</v>
      </c>
      <c r="AK154" s="1483">
        <v>152164275</v>
      </c>
      <c r="AL154" s="1483">
        <v>149632817</v>
      </c>
      <c r="AM154" s="1331">
        <f t="shared" si="131"/>
        <v>0.96537301290322586</v>
      </c>
      <c r="AN154" s="997">
        <f>+AH154-AL154</f>
        <v>5195617</v>
      </c>
      <c r="AO154" s="1481">
        <v>38500000</v>
      </c>
      <c r="AP154" s="1480">
        <v>38500000</v>
      </c>
      <c r="AQ154" s="2008">
        <v>5351746</v>
      </c>
      <c r="AR154" s="2008">
        <v>5278031</v>
      </c>
      <c r="AS154" s="1053">
        <f t="shared" si="132"/>
        <v>0.98622599054588911</v>
      </c>
      <c r="AT154" s="1285">
        <v>630000000</v>
      </c>
      <c r="AU154" s="993">
        <f t="shared" ref="AU154" si="155">SUM(AJ154:AL154)+AR154+AP154</f>
        <v>375575123</v>
      </c>
      <c r="AV154" s="1257">
        <f t="shared" si="145"/>
        <v>0.59615098888888884</v>
      </c>
      <c r="AW154" s="1286"/>
      <c r="AX154" s="1286"/>
      <c r="AY154" s="1272" t="s">
        <v>21</v>
      </c>
      <c r="AZ154" s="1484" t="s">
        <v>914</v>
      </c>
      <c r="BA154" s="1175"/>
      <c r="BB154" s="1175"/>
    </row>
    <row r="155" spans="1:54" ht="44.25" customHeight="1" thickBot="1">
      <c r="A155" s="961" t="s">
        <v>476</v>
      </c>
      <c r="B155" s="962"/>
      <c r="C155" s="861"/>
      <c r="D155" s="826"/>
      <c r="E155" s="223"/>
      <c r="F155" s="963"/>
      <c r="G155" s="861"/>
      <c r="H155" s="139"/>
      <c r="I155" s="861"/>
      <c r="J155" s="861"/>
      <c r="K155" s="861"/>
      <c r="L155" s="964">
        <v>0</v>
      </c>
      <c r="M155" s="973">
        <f>+SUMPRODUCT(M156:M156,AC156:AC156)</f>
        <v>1</v>
      </c>
      <c r="N155" s="973">
        <f>+SUMPRODUCT(N156:N156,AD156:AD156)</f>
        <v>1</v>
      </c>
      <c r="O155" s="965"/>
      <c r="P155" s="962"/>
      <c r="Q155" s="966"/>
      <c r="R155" s="965"/>
      <c r="S155" s="965"/>
      <c r="T155" s="966"/>
      <c r="U155" s="966"/>
      <c r="V155" s="966"/>
      <c r="W155" s="1099"/>
      <c r="X155" s="966"/>
      <c r="Y155" s="968"/>
      <c r="Z155" s="969">
        <f t="shared" si="134"/>
        <v>0</v>
      </c>
      <c r="AA155" s="1199">
        <f>+SUMPRODUCT(AA156:AA156,AB156:AB156)</f>
        <v>1</v>
      </c>
      <c r="AB155" s="964">
        <v>0.3</v>
      </c>
      <c r="AC155" s="879">
        <v>0.3</v>
      </c>
      <c r="AD155" s="471">
        <v>0.3</v>
      </c>
      <c r="AE155" s="971">
        <v>175000000</v>
      </c>
      <c r="AF155" s="971">
        <f>SUM(AF156)</f>
        <v>0</v>
      </c>
      <c r="AG155" s="962">
        <f>SUM(AG156)</f>
        <v>177169834</v>
      </c>
      <c r="AH155" s="2115">
        <f>SUM(AH156)</f>
        <v>174909553</v>
      </c>
      <c r="AI155" s="1984">
        <f t="shared" si="130"/>
        <v>0.99948316000000004</v>
      </c>
      <c r="AJ155" s="971">
        <f>SUM(AJ156)</f>
        <v>0</v>
      </c>
      <c r="AK155" s="971">
        <f>SUM(AK156)</f>
        <v>166698402</v>
      </c>
      <c r="AL155" s="971">
        <f>SUM(AL156)</f>
        <v>138161482</v>
      </c>
      <c r="AM155" s="973">
        <f t="shared" si="131"/>
        <v>0.7894941828571429</v>
      </c>
      <c r="AN155" s="974">
        <f>SUM(AN156)</f>
        <v>36748071</v>
      </c>
      <c r="AO155" s="965">
        <f>SUM(AO156)</f>
        <v>0</v>
      </c>
      <c r="AP155" s="971">
        <f>SUM(AP156)</f>
        <v>0</v>
      </c>
      <c r="AQ155" s="971">
        <f>SUM(AQ156)</f>
        <v>10471432</v>
      </c>
      <c r="AR155" s="971">
        <f>SUM(AR156)</f>
        <v>10308918</v>
      </c>
      <c r="AS155" s="967">
        <f t="shared" si="132"/>
        <v>0.98448025064766687</v>
      </c>
      <c r="AT155" s="971">
        <f t="shared" ref="AT155:AU155" si="156">SUM(AT156)</f>
        <v>400000000</v>
      </c>
      <c r="AU155" s="971">
        <f t="shared" si="156"/>
        <v>315168802</v>
      </c>
      <c r="AV155" s="964">
        <f t="shared" si="145"/>
        <v>0.78792200499999998</v>
      </c>
      <c r="AW155" s="975"/>
      <c r="AX155" s="975"/>
      <c r="AY155" s="283"/>
      <c r="AZ155" s="974"/>
      <c r="BA155" s="286"/>
      <c r="BB155" s="286"/>
    </row>
    <row r="156" spans="1:54" ht="93" customHeight="1">
      <c r="A156" s="347" t="s">
        <v>608</v>
      </c>
      <c r="B156" s="453" t="s">
        <v>792</v>
      </c>
      <c r="C156" s="1485">
        <v>0</v>
      </c>
      <c r="D156" s="843">
        <v>1</v>
      </c>
      <c r="E156" s="219">
        <v>1</v>
      </c>
      <c r="F156" s="978">
        <v>0</v>
      </c>
      <c r="G156" s="858">
        <v>0</v>
      </c>
      <c r="H156" s="147">
        <v>1</v>
      </c>
      <c r="I156" s="858"/>
      <c r="J156" s="858">
        <v>1</v>
      </c>
      <c r="K156" s="858"/>
      <c r="L156" s="821" t="e">
        <f>IF((F156+I156)/C156&gt;=100%,100%,(F156+I156)/C156)</f>
        <v>#DIV/0!</v>
      </c>
      <c r="M156" s="1090">
        <f>IF((G156+J156)/D156&gt;=100%,100%,(G156+J156)/D156)</f>
        <v>1</v>
      </c>
      <c r="N156" s="821">
        <f>IF((H156/E156)&gt;=100%,100%,(H156/E156))</f>
        <v>1</v>
      </c>
      <c r="O156" s="2165" t="s">
        <v>2345</v>
      </c>
      <c r="P156" s="1273"/>
      <c r="Q156" s="2041" t="s">
        <v>2183</v>
      </c>
      <c r="R156" s="1015"/>
      <c r="S156" s="1013" t="s">
        <v>2182</v>
      </c>
      <c r="T156" s="2038">
        <v>313</v>
      </c>
      <c r="U156" s="1276"/>
      <c r="V156" s="1276"/>
      <c r="W156" s="985"/>
      <c r="X156" s="1276"/>
      <c r="Y156" s="1326">
        <v>2</v>
      </c>
      <c r="Z156" s="986">
        <f t="shared" si="134"/>
        <v>2</v>
      </c>
      <c r="AA156" s="186">
        <f t="shared" ref="AA156" si="157">IF(Z156/Y156&gt;=100%,100%,Z156/Y156)</f>
        <v>1</v>
      </c>
      <c r="AB156" s="821">
        <v>1</v>
      </c>
      <c r="AC156" s="880">
        <v>1</v>
      </c>
      <c r="AD156" s="472">
        <v>1</v>
      </c>
      <c r="AE156" s="539">
        <v>175000000</v>
      </c>
      <c r="AF156" s="372">
        <v>0</v>
      </c>
      <c r="AG156" s="2085">
        <v>177169834</v>
      </c>
      <c r="AH156" s="2139">
        <v>174909553</v>
      </c>
      <c r="AI156" s="2110">
        <f t="shared" si="130"/>
        <v>0.99948316000000004</v>
      </c>
      <c r="AJ156" s="372">
        <v>0</v>
      </c>
      <c r="AK156" s="539">
        <v>166698402</v>
      </c>
      <c r="AL156" s="1483">
        <v>138161482</v>
      </c>
      <c r="AM156" s="1331">
        <f t="shared" si="131"/>
        <v>0.7894941828571429</v>
      </c>
      <c r="AN156" s="997">
        <f>+AH156-AL156</f>
        <v>36748071</v>
      </c>
      <c r="AO156" s="1486">
        <v>0</v>
      </c>
      <c r="AP156" s="372">
        <v>0</v>
      </c>
      <c r="AQ156" s="2008">
        <v>10471432</v>
      </c>
      <c r="AR156" s="2008">
        <v>10308918</v>
      </c>
      <c r="AS156" s="614">
        <f t="shared" si="132"/>
        <v>0.98448025064766687</v>
      </c>
      <c r="AT156" s="1046">
        <v>400000000</v>
      </c>
      <c r="AU156" s="993">
        <f t="shared" ref="AU156" si="158">SUM(AJ156:AL156)+AR156+AP156</f>
        <v>315168802</v>
      </c>
      <c r="AV156" s="1257">
        <f t="shared" si="145"/>
        <v>0.78792200499999998</v>
      </c>
      <c r="AW156" s="1286"/>
      <c r="AX156" s="191"/>
      <c r="AY156" s="1272" t="s">
        <v>21</v>
      </c>
      <c r="AZ156" s="1487" t="s">
        <v>914</v>
      </c>
      <c r="BA156" s="1488"/>
      <c r="BB156" s="1489"/>
    </row>
    <row r="157" spans="1:54" s="617" customFormat="1" ht="42.75" customHeight="1" thickBot="1">
      <c r="A157" s="1490" t="s">
        <v>432</v>
      </c>
      <c r="B157" s="171"/>
      <c r="C157" s="871"/>
      <c r="D157" s="844"/>
      <c r="E157" s="222"/>
      <c r="F157" s="1491"/>
      <c r="G157" s="871"/>
      <c r="H157" s="129"/>
      <c r="I157" s="871"/>
      <c r="J157" s="871"/>
      <c r="K157" s="871"/>
      <c r="L157" s="915">
        <f>+(L158*45%)+(L161*20%)+(L163*35%)</f>
        <v>0.9</v>
      </c>
      <c r="M157" s="1492">
        <f>+(M158*AC158)+(M161*AC161)+(M163*AC163)+(M165*AC165)</f>
        <v>1</v>
      </c>
      <c r="N157" s="1492">
        <f>+(N158*AD158)+(N161*AD161)+(N163*AD163)+(N165*AD165)</f>
        <v>0.48399999999999999</v>
      </c>
      <c r="O157" s="948"/>
      <c r="P157" s="1494"/>
      <c r="Q157" s="172"/>
      <c r="R157" s="1495"/>
      <c r="S157" s="1495"/>
      <c r="T157" s="288"/>
      <c r="U157" s="288"/>
      <c r="V157" s="288"/>
      <c r="W157" s="1496"/>
      <c r="X157" s="288"/>
      <c r="Y157" s="289"/>
      <c r="Z157" s="280">
        <f t="shared" si="134"/>
        <v>0</v>
      </c>
      <c r="AA157" s="1497">
        <f>+(AA158*AB158)+(AA161*AB161)+(AA163*AB163)+(AA165*AB165)</f>
        <v>0.56000000000000005</v>
      </c>
      <c r="AB157" s="915">
        <v>0.1</v>
      </c>
      <c r="AC157" s="897">
        <v>0.14000000000000001</v>
      </c>
      <c r="AD157" s="470">
        <v>0.1</v>
      </c>
      <c r="AE157" s="1498">
        <v>1750000000</v>
      </c>
      <c r="AF157" s="1498">
        <f>+AF158+AF161+AF163+AF165</f>
        <v>519650000</v>
      </c>
      <c r="AG157" s="171">
        <f>+AG158+AG161+AG163+AG165</f>
        <v>486929495</v>
      </c>
      <c r="AH157" s="2114">
        <f>+AH158+AH161+AH163+AH165</f>
        <v>1729588519</v>
      </c>
      <c r="AI157" s="1991">
        <f t="shared" si="130"/>
        <v>0.98833629657142852</v>
      </c>
      <c r="AJ157" s="1498">
        <f>+AJ158+AJ161+AJ163+AJ165</f>
        <v>109050000</v>
      </c>
      <c r="AK157" s="1498">
        <f>+AK158+AK161+AK163+AK165</f>
        <v>447174904</v>
      </c>
      <c r="AL157" s="1498">
        <f>+AL158+AL161+AL163+AL165</f>
        <v>1346126997.02</v>
      </c>
      <c r="AM157" s="1492">
        <f t="shared" si="131"/>
        <v>0.76921542686857147</v>
      </c>
      <c r="AN157" s="171">
        <f>+AN158+AN161+AN163+AN165</f>
        <v>383461521.98000002</v>
      </c>
      <c r="AO157" s="1495">
        <f>+AO158+AO161+AO163+AO165</f>
        <v>410600000</v>
      </c>
      <c r="AP157" s="1498">
        <f>+AP158+AP161+AP163+AP165</f>
        <v>320578348</v>
      </c>
      <c r="AQ157" s="954">
        <f>+AQ158+AQ161+AQ163+AQ165</f>
        <v>39754591</v>
      </c>
      <c r="AR157" s="954">
        <f>+AR158+AR161+AR163+AR165</f>
        <v>35269555</v>
      </c>
      <c r="AS157" s="958">
        <f t="shared" si="132"/>
        <v>0.88718193579201954</v>
      </c>
      <c r="AT157" s="1498">
        <f t="shared" ref="AT157:AU157" si="159">+AT158+AT161+AT163+AT165</f>
        <v>3900000000</v>
      </c>
      <c r="AU157" s="1498">
        <f t="shared" si="159"/>
        <v>2258199804.02</v>
      </c>
      <c r="AV157" s="915">
        <f t="shared" si="145"/>
        <v>0.579025590774359</v>
      </c>
      <c r="AW157" s="172"/>
      <c r="AX157" s="172" t="s">
        <v>297</v>
      </c>
      <c r="AY157" s="1495"/>
      <c r="AZ157" s="171"/>
      <c r="BA157" s="1493"/>
      <c r="BB157" s="1493"/>
    </row>
    <row r="158" spans="1:54" ht="48" customHeight="1" thickBot="1">
      <c r="A158" s="961" t="s">
        <v>477</v>
      </c>
      <c r="B158" s="962"/>
      <c r="C158" s="861"/>
      <c r="D158" s="826"/>
      <c r="E158" s="223"/>
      <c r="F158" s="963"/>
      <c r="G158" s="861"/>
      <c r="H158" s="139"/>
      <c r="I158" s="861"/>
      <c r="J158" s="861"/>
      <c r="K158" s="861"/>
      <c r="L158" s="964">
        <f>+(L159*100%)</f>
        <v>1</v>
      </c>
      <c r="M158" s="973">
        <f>+SUMPRODUCT(M159:M160,AC159:AC160)</f>
        <v>1</v>
      </c>
      <c r="N158" s="973">
        <f>+SUMPRODUCT(N159:N160,AD159:AD160)</f>
        <v>0.46</v>
      </c>
      <c r="O158" s="965"/>
      <c r="P158" s="284"/>
      <c r="Q158" s="966"/>
      <c r="R158" s="965"/>
      <c r="S158" s="965"/>
      <c r="T158" s="1466"/>
      <c r="U158" s="1466"/>
      <c r="V158" s="1466"/>
      <c r="W158" s="1099"/>
      <c r="X158" s="1466"/>
      <c r="Y158" s="1467"/>
      <c r="Z158" s="969">
        <f t="shared" si="134"/>
        <v>0</v>
      </c>
      <c r="AA158" s="1199">
        <f>+SUMPRODUCT(AA159:AA160,AB159:AB160)</f>
        <v>0.4</v>
      </c>
      <c r="AB158" s="964">
        <v>0.4</v>
      </c>
      <c r="AC158" s="879">
        <v>0.45</v>
      </c>
      <c r="AD158" s="471">
        <v>0.4</v>
      </c>
      <c r="AE158" s="971">
        <v>1080850000</v>
      </c>
      <c r="AF158" s="971">
        <f>SUM(AF159:AF160)</f>
        <v>143950000</v>
      </c>
      <c r="AG158" s="962">
        <f>SUM(AG159:AG160)</f>
        <v>162054527</v>
      </c>
      <c r="AH158" s="2115">
        <f>SUM(AH159:AH160)</f>
        <v>1073040332</v>
      </c>
      <c r="AI158" s="1984">
        <f t="shared" si="130"/>
        <v>0.99277451265207939</v>
      </c>
      <c r="AJ158" s="971">
        <f>SUM(AJ159:AJ160)</f>
        <v>83350000</v>
      </c>
      <c r="AK158" s="971">
        <f>SUM(AK159:AK160)</f>
        <v>149235219</v>
      </c>
      <c r="AL158" s="971">
        <f>SUM(AL159:AL160)</f>
        <v>1029127560.02</v>
      </c>
      <c r="AM158" s="973">
        <f t="shared" si="131"/>
        <v>0.95214651433593933</v>
      </c>
      <c r="AN158" s="974">
        <f>SUM(AN159:AN160)</f>
        <v>43912771.980000019</v>
      </c>
      <c r="AO158" s="965">
        <f>SUM(AO159:AO160)</f>
        <v>60600000</v>
      </c>
      <c r="AP158" s="971">
        <f>SUM(AP159:AP160)</f>
        <v>60600000</v>
      </c>
      <c r="AQ158" s="971">
        <f>SUM(AQ159:AQ160)</f>
        <v>12819308</v>
      </c>
      <c r="AR158" s="971">
        <f>SUM(AR159:AR160)</f>
        <v>8636378</v>
      </c>
      <c r="AS158" s="967">
        <f t="shared" si="132"/>
        <v>0.6737007957059773</v>
      </c>
      <c r="AT158" s="971">
        <f t="shared" ref="AT158:AU158" si="160">SUM(AT159:AT160)</f>
        <v>1800000000</v>
      </c>
      <c r="AU158" s="971">
        <f t="shared" si="160"/>
        <v>1330949157.02</v>
      </c>
      <c r="AV158" s="964">
        <f t="shared" si="145"/>
        <v>0.73941619834444439</v>
      </c>
      <c r="AW158" s="975"/>
      <c r="AX158" s="975"/>
      <c r="AY158" s="283"/>
      <c r="AZ158" s="974"/>
      <c r="BA158" s="286"/>
      <c r="BB158" s="286"/>
    </row>
    <row r="159" spans="1:54" ht="58.5" customHeight="1">
      <c r="A159" s="346" t="s">
        <v>609</v>
      </c>
      <c r="B159" s="1500" t="s">
        <v>874</v>
      </c>
      <c r="C159" s="1501">
        <v>23</v>
      </c>
      <c r="D159" s="843">
        <v>23</v>
      </c>
      <c r="E159" s="219">
        <v>23</v>
      </c>
      <c r="F159" s="1502">
        <v>23</v>
      </c>
      <c r="G159" s="858">
        <v>23</v>
      </c>
      <c r="H159" s="147">
        <v>23</v>
      </c>
      <c r="I159" s="858"/>
      <c r="J159" s="858"/>
      <c r="K159" s="858"/>
      <c r="L159" s="821">
        <f>IF((F159+I159)/C159&gt;=100%,100%,(F159+I159)/C159)</f>
        <v>1</v>
      </c>
      <c r="M159" s="1090">
        <f>IF((G159+J159)/D159&gt;=100%,100%,(G159+J159)/D159)</f>
        <v>1</v>
      </c>
      <c r="N159" s="821">
        <f t="shared" ref="N159:N166" si="161">IF((H159/E159)&gt;=100%,100%,(H159/E159))</f>
        <v>1</v>
      </c>
      <c r="O159" s="2165" t="s">
        <v>2346</v>
      </c>
      <c r="Q159" s="2041" t="s">
        <v>2183</v>
      </c>
      <c r="R159" s="1015"/>
      <c r="S159" s="1013" t="s">
        <v>2182</v>
      </c>
      <c r="T159" s="2038" t="s">
        <v>2195</v>
      </c>
      <c r="U159" s="1470"/>
      <c r="V159" s="1470"/>
      <c r="W159" s="985"/>
      <c r="X159" s="1470"/>
      <c r="Y159" s="1326">
        <f>23</f>
        <v>23</v>
      </c>
      <c r="Z159" s="986">
        <f t="shared" si="134"/>
        <v>69</v>
      </c>
      <c r="AA159" s="1438">
        <f t="shared" ref="AA159:AA160" si="162">IF(Z159/Y159&gt;=100%,100%,Z159/Y159)</f>
        <v>1</v>
      </c>
      <c r="AB159" s="1254">
        <v>0.4</v>
      </c>
      <c r="AC159" s="884">
        <v>1</v>
      </c>
      <c r="AD159" s="472">
        <v>0.46</v>
      </c>
      <c r="AE159" s="540">
        <v>180850000</v>
      </c>
      <c r="AF159" s="373">
        <v>143950000</v>
      </c>
      <c r="AG159" s="2086">
        <v>162054527</v>
      </c>
      <c r="AH159" s="2140">
        <v>173506563</v>
      </c>
      <c r="AI159" s="2112">
        <f t="shared" si="130"/>
        <v>0.95939487420514236</v>
      </c>
      <c r="AJ159" s="373">
        <v>83350000</v>
      </c>
      <c r="AK159" s="540">
        <v>149235219</v>
      </c>
      <c r="AL159" s="1510">
        <v>167761213</v>
      </c>
      <c r="AM159" s="1425">
        <f t="shared" si="131"/>
        <v>0.9276262814487144</v>
      </c>
      <c r="AN159" s="997">
        <f t="shared" ref="AN159:AN160" si="163">+AH159-AL159</f>
        <v>5745350</v>
      </c>
      <c r="AO159" s="1503">
        <v>60600000</v>
      </c>
      <c r="AP159" s="373">
        <v>60600000</v>
      </c>
      <c r="AQ159" s="1970">
        <v>12819308</v>
      </c>
      <c r="AR159" s="1970">
        <v>8636378</v>
      </c>
      <c r="AS159" s="1089">
        <f t="shared" si="132"/>
        <v>0.6737007957059773</v>
      </c>
      <c r="AT159" s="1110">
        <v>800000000</v>
      </c>
      <c r="AU159" s="993">
        <f t="shared" ref="AU159:AU166" si="164">SUM(AJ159:AL159)+AR159+AP159</f>
        <v>469582810</v>
      </c>
      <c r="AV159" s="1257">
        <f t="shared" si="145"/>
        <v>0.58697851249999999</v>
      </c>
      <c r="AW159" s="1328"/>
      <c r="AX159" s="1111"/>
      <c r="AY159" s="190" t="s">
        <v>27</v>
      </c>
      <c r="AZ159" s="1504" t="s">
        <v>915</v>
      </c>
      <c r="BA159" s="1047"/>
      <c r="BB159" s="1047"/>
    </row>
    <row r="160" spans="1:54" ht="36" customHeight="1" thickBot="1">
      <c r="A160" s="1468" t="s">
        <v>610</v>
      </c>
      <c r="B160" s="1475" t="s">
        <v>793</v>
      </c>
      <c r="C160" s="1505">
        <v>0</v>
      </c>
      <c r="D160" s="845">
        <v>0</v>
      </c>
      <c r="E160" s="219">
        <v>1</v>
      </c>
      <c r="F160" s="1506">
        <v>0</v>
      </c>
      <c r="G160" s="860">
        <v>0</v>
      </c>
      <c r="H160" s="678">
        <v>0</v>
      </c>
      <c r="I160" s="860"/>
      <c r="J160" s="860"/>
      <c r="K160" s="860"/>
      <c r="L160" s="1021" t="e">
        <f>IF((F160+I160)/C160&gt;=100%,100%,(F160+I160)/C160)</f>
        <v>#DIV/0!</v>
      </c>
      <c r="M160" s="1204" t="s">
        <v>2163</v>
      </c>
      <c r="N160" s="821">
        <f t="shared" si="161"/>
        <v>0</v>
      </c>
      <c r="O160" s="2165" t="s">
        <v>2347</v>
      </c>
      <c r="P160" s="1507"/>
      <c r="Q160" s="2041" t="s">
        <v>2183</v>
      </c>
      <c r="R160" s="1015"/>
      <c r="S160" s="1013" t="s">
        <v>2182</v>
      </c>
      <c r="T160" s="2038" t="s">
        <v>2196</v>
      </c>
      <c r="U160" s="195"/>
      <c r="V160" s="195"/>
      <c r="W160" s="1024"/>
      <c r="X160" s="195"/>
      <c r="Y160" s="236">
        <v>1</v>
      </c>
      <c r="Z160" s="1026">
        <f t="shared" si="134"/>
        <v>0</v>
      </c>
      <c r="AA160" s="1430">
        <f t="shared" si="162"/>
        <v>0</v>
      </c>
      <c r="AB160" s="1263">
        <v>0.6</v>
      </c>
      <c r="AC160" s="885">
        <v>0</v>
      </c>
      <c r="AD160" s="881">
        <v>0.6</v>
      </c>
      <c r="AE160" s="1508">
        <v>900000000</v>
      </c>
      <c r="AF160" s="1509" t="s">
        <v>887</v>
      </c>
      <c r="AG160" s="1967" t="s">
        <v>887</v>
      </c>
      <c r="AH160" s="2141">
        <v>899533769</v>
      </c>
      <c r="AI160" s="1997">
        <f t="shared" si="130"/>
        <v>0.99948196555555557</v>
      </c>
      <c r="AJ160" s="1509" t="s">
        <v>887</v>
      </c>
      <c r="AK160" s="1510">
        <v>0</v>
      </c>
      <c r="AL160" s="1510">
        <v>861366347.01999998</v>
      </c>
      <c r="AM160" s="1130">
        <f t="shared" si="131"/>
        <v>0.95707371891111104</v>
      </c>
      <c r="AN160" s="997">
        <f t="shared" si="163"/>
        <v>38167421.980000019</v>
      </c>
      <c r="AO160" s="1511" t="s">
        <v>887</v>
      </c>
      <c r="AP160" s="373">
        <v>0</v>
      </c>
      <c r="AQ160" s="1967"/>
      <c r="AR160" s="1967"/>
      <c r="AS160" s="1136" t="e">
        <f t="shared" si="132"/>
        <v>#DIV/0!</v>
      </c>
      <c r="AT160" s="1138">
        <v>1000000000</v>
      </c>
      <c r="AU160" s="993">
        <f t="shared" si="164"/>
        <v>861366347.01999998</v>
      </c>
      <c r="AV160" s="1139">
        <f t="shared" si="145"/>
        <v>0.86136634702000003</v>
      </c>
      <c r="AW160" s="1140"/>
      <c r="AX160" s="1140"/>
      <c r="AY160" s="189" t="s">
        <v>302</v>
      </c>
      <c r="AZ160" s="1512" t="s">
        <v>890</v>
      </c>
      <c r="BA160" s="1037"/>
      <c r="BB160" s="1037"/>
    </row>
    <row r="161" spans="1:54" ht="42.75" customHeight="1" thickBot="1">
      <c r="A161" s="961" t="s">
        <v>478</v>
      </c>
      <c r="B161" s="962"/>
      <c r="C161" s="861"/>
      <c r="D161" s="826"/>
      <c r="E161" s="223"/>
      <c r="F161" s="963"/>
      <c r="G161" s="861"/>
      <c r="H161" s="139"/>
      <c r="I161" s="861"/>
      <c r="J161" s="861"/>
      <c r="K161" s="861"/>
      <c r="L161" s="964">
        <f>+SUMPRODUCT(L162:L162,AB162:AB162)</f>
        <v>0.5</v>
      </c>
      <c r="M161" s="973">
        <f>+SUMPRODUCT(M162:M162,AC162:AC162)</f>
        <v>1</v>
      </c>
      <c r="N161" s="973">
        <f>+SUMPRODUCT(N162:N162,AD162:AD162)</f>
        <v>1</v>
      </c>
      <c r="O161" s="965"/>
      <c r="P161" s="284"/>
      <c r="Q161" s="966"/>
      <c r="R161" s="965"/>
      <c r="S161" s="965"/>
      <c r="T161" s="1466"/>
      <c r="U161" s="1466"/>
      <c r="V161" s="1466"/>
      <c r="W161" s="1099"/>
      <c r="X161" s="1466"/>
      <c r="Y161" s="1467"/>
      <c r="Z161" s="969">
        <f t="shared" si="134"/>
        <v>0</v>
      </c>
      <c r="AA161" s="970">
        <f>+SUMPRODUCT(AA162:AA162,AB162:AB162)</f>
        <v>1</v>
      </c>
      <c r="AB161" s="964">
        <v>0.15</v>
      </c>
      <c r="AC161" s="879">
        <v>0.2</v>
      </c>
      <c r="AD161" s="471">
        <v>0.15</v>
      </c>
      <c r="AE161" s="971">
        <v>100000000</v>
      </c>
      <c r="AF161" s="971">
        <f>SUM(AF162)</f>
        <v>25700000</v>
      </c>
      <c r="AG161" s="962">
        <f>SUM(AG162)</f>
        <v>98446960</v>
      </c>
      <c r="AH161" s="2115">
        <f>SUM(AH162)</f>
        <v>99948316</v>
      </c>
      <c r="AI161" s="1984">
        <f t="shared" si="130"/>
        <v>0.99948316000000004</v>
      </c>
      <c r="AJ161" s="971">
        <f>SUM(AJ162)</f>
        <v>25700000</v>
      </c>
      <c r="AK161" s="971">
        <f>SUM(AK162)</f>
        <v>79318503</v>
      </c>
      <c r="AL161" s="971">
        <f>SUM(AL162)</f>
        <v>97780035</v>
      </c>
      <c r="AM161" s="973">
        <f t="shared" si="131"/>
        <v>0.97780034999999998</v>
      </c>
      <c r="AN161" s="974">
        <f>SUM(AN162)</f>
        <v>2168281</v>
      </c>
      <c r="AO161" s="965">
        <f>SUM(AO162)</f>
        <v>0</v>
      </c>
      <c r="AP161" s="971">
        <f>SUM(AP162)</f>
        <v>0</v>
      </c>
      <c r="AQ161" s="971">
        <f>SUM(AQ162)</f>
        <v>19128457</v>
      </c>
      <c r="AR161" s="971">
        <f>SUM(AR162)</f>
        <v>19082385</v>
      </c>
      <c r="AS161" s="967">
        <f t="shared" si="132"/>
        <v>0.9975914419025016</v>
      </c>
      <c r="AT161" s="971">
        <f t="shared" ref="AT161:AU161" si="165">SUM(AT162)</f>
        <v>400000000</v>
      </c>
      <c r="AU161" s="971">
        <f t="shared" si="165"/>
        <v>221880923</v>
      </c>
      <c r="AV161" s="964">
        <f t="shared" si="145"/>
        <v>0.55470230750000005</v>
      </c>
      <c r="AW161" s="975"/>
      <c r="AX161" s="975"/>
      <c r="AY161" s="283"/>
      <c r="AZ161" s="974"/>
      <c r="BA161" s="286"/>
      <c r="BB161" s="286"/>
    </row>
    <row r="162" spans="1:54" ht="76.5" customHeight="1" thickBot="1">
      <c r="A162" s="348" t="s">
        <v>611</v>
      </c>
      <c r="B162" s="1513" t="s">
        <v>794</v>
      </c>
      <c r="C162" s="1469">
        <v>24</v>
      </c>
      <c r="D162" s="846">
        <v>24</v>
      </c>
      <c r="E162" s="219">
        <v>24</v>
      </c>
      <c r="F162" s="1269">
        <v>0</v>
      </c>
      <c r="G162" s="867">
        <v>24</v>
      </c>
      <c r="H162" s="147">
        <v>24</v>
      </c>
      <c r="I162" s="867">
        <v>12</v>
      </c>
      <c r="J162" s="867"/>
      <c r="K162" s="867"/>
      <c r="L162" s="1270">
        <f>IF((F162+I162)/C162&gt;=100%,100%,(F162+I162)/C162)</f>
        <v>0.5</v>
      </c>
      <c r="M162" s="1090">
        <f>IF((G162+J162)/D162&gt;=100%,100%,(G162+J162)/D162)</f>
        <v>1</v>
      </c>
      <c r="N162" s="821">
        <f t="shared" si="161"/>
        <v>1</v>
      </c>
      <c r="O162" s="2165" t="s">
        <v>2348</v>
      </c>
      <c r="Q162" s="2041" t="s">
        <v>2183</v>
      </c>
      <c r="R162" s="1015"/>
      <c r="S162" s="1013" t="s">
        <v>2182</v>
      </c>
      <c r="T162" s="2038" t="s">
        <v>2195</v>
      </c>
      <c r="U162" s="1470"/>
      <c r="V162" s="1470"/>
      <c r="W162" s="1277"/>
      <c r="X162" s="1470"/>
      <c r="Y162" s="1326">
        <v>24</v>
      </c>
      <c r="Z162" s="1278">
        <f t="shared" si="134"/>
        <v>60</v>
      </c>
      <c r="AA162" s="1430">
        <f t="shared" ref="AA162" si="166">IF(Z162/Y162&gt;=100%,100%,Z162/Y162)</f>
        <v>1</v>
      </c>
      <c r="AB162" s="1279">
        <v>1</v>
      </c>
      <c r="AC162" s="888">
        <v>1</v>
      </c>
      <c r="AD162" s="472">
        <v>1</v>
      </c>
      <c r="AE162" s="1483">
        <v>100000000</v>
      </c>
      <c r="AF162" s="1480">
        <v>25700000</v>
      </c>
      <c r="AG162" s="2008">
        <v>98446960</v>
      </c>
      <c r="AH162" s="2139">
        <v>99948316</v>
      </c>
      <c r="AI162" s="1985">
        <f t="shared" si="130"/>
        <v>0.99948316000000004</v>
      </c>
      <c r="AJ162" s="1480">
        <v>25700000</v>
      </c>
      <c r="AK162" s="1483">
        <v>79318503</v>
      </c>
      <c r="AL162" s="1483">
        <v>97780035</v>
      </c>
      <c r="AM162" s="1331">
        <f t="shared" si="131"/>
        <v>0.97780034999999998</v>
      </c>
      <c r="AN162" s="997">
        <f>+AH162-AL162</f>
        <v>2168281</v>
      </c>
      <c r="AO162" s="1511" t="s">
        <v>887</v>
      </c>
      <c r="AP162" s="373">
        <v>0</v>
      </c>
      <c r="AQ162" s="1967">
        <v>19128457</v>
      </c>
      <c r="AR162" s="1967">
        <v>19082385</v>
      </c>
      <c r="AS162" s="1053">
        <f t="shared" si="132"/>
        <v>0.9975914419025016</v>
      </c>
      <c r="AT162" s="1285">
        <v>400000000</v>
      </c>
      <c r="AU162" s="993">
        <f t="shared" si="164"/>
        <v>221880923</v>
      </c>
      <c r="AV162" s="1257">
        <f t="shared" si="145"/>
        <v>0.55470230750000005</v>
      </c>
      <c r="AW162" s="1286"/>
      <c r="AX162" s="1286"/>
      <c r="AY162" s="1272" t="s">
        <v>302</v>
      </c>
      <c r="AZ162" s="1484" t="s">
        <v>890</v>
      </c>
      <c r="BA162" s="1175"/>
      <c r="BB162" s="1175"/>
    </row>
    <row r="163" spans="1:54" ht="54" customHeight="1" thickBot="1">
      <c r="A163" s="961" t="s">
        <v>479</v>
      </c>
      <c r="B163" s="962"/>
      <c r="C163" s="861"/>
      <c r="D163" s="826"/>
      <c r="E163" s="223"/>
      <c r="F163" s="963"/>
      <c r="G163" s="861"/>
      <c r="H163" s="139"/>
      <c r="I163" s="861"/>
      <c r="J163" s="861"/>
      <c r="K163" s="861"/>
      <c r="L163" s="964">
        <f>+SUMPRODUCT(L164:L164,AB164:AB164)</f>
        <v>1</v>
      </c>
      <c r="M163" s="973">
        <f>+SUMPRODUCT(M164:M164,AC164:AC164)</f>
        <v>0</v>
      </c>
      <c r="N163" s="973">
        <f>+SUMPRODUCT(N164:N164,AD164:AD164)</f>
        <v>0</v>
      </c>
      <c r="O163" s="965"/>
      <c r="P163" s="284"/>
      <c r="Q163" s="966"/>
      <c r="R163" s="965"/>
      <c r="S163" s="965"/>
      <c r="T163" s="1466"/>
      <c r="U163" s="1466"/>
      <c r="V163" s="1466"/>
      <c r="W163" s="1099"/>
      <c r="X163" s="1466"/>
      <c r="Y163" s="1467"/>
      <c r="Z163" s="969">
        <f t="shared" si="134"/>
        <v>0</v>
      </c>
      <c r="AA163" s="1199">
        <f>+SUMPRODUCT(AA164:AA164,AB164:AB164)</f>
        <v>0.33333333333333331</v>
      </c>
      <c r="AB163" s="964">
        <v>0.3</v>
      </c>
      <c r="AC163" s="879">
        <v>0</v>
      </c>
      <c r="AD163" s="471">
        <v>0.3</v>
      </c>
      <c r="AE163" s="971">
        <v>344150000</v>
      </c>
      <c r="AF163" s="971">
        <f>SUM(AF164)</f>
        <v>350000000</v>
      </c>
      <c r="AG163" s="962">
        <f>SUM(AG164)</f>
        <v>0</v>
      </c>
      <c r="AH163" s="2115">
        <f>SUM(AH164)</f>
        <v>337660472</v>
      </c>
      <c r="AI163" s="1984">
        <f t="shared" si="130"/>
        <v>0.98114331541479005</v>
      </c>
      <c r="AJ163" s="971">
        <f>SUM(AJ164)</f>
        <v>0</v>
      </c>
      <c r="AK163" s="971">
        <f>SUM(AK164)</f>
        <v>0</v>
      </c>
      <c r="AL163" s="971">
        <f>SUM(AL164)</f>
        <v>25853102</v>
      </c>
      <c r="AM163" s="969">
        <f t="shared" si="131"/>
        <v>7.512160976318466E-2</v>
      </c>
      <c r="AN163" s="974">
        <f>SUM(AN164)</f>
        <v>311807370</v>
      </c>
      <c r="AO163" s="965">
        <f>SUM(AO164)</f>
        <v>350000000</v>
      </c>
      <c r="AP163" s="971">
        <f>SUM(AP164)</f>
        <v>259978348</v>
      </c>
      <c r="AQ163" s="971">
        <f>SUM(AQ164)</f>
        <v>0</v>
      </c>
      <c r="AR163" s="971">
        <f>SUM(AR164)</f>
        <v>0</v>
      </c>
      <c r="AS163" s="967" t="e">
        <f t="shared" si="132"/>
        <v>#DIV/0!</v>
      </c>
      <c r="AT163" s="971">
        <f t="shared" ref="AT163:AU163" si="167">SUM(AT164)</f>
        <v>1200000000</v>
      </c>
      <c r="AU163" s="971">
        <f t="shared" si="167"/>
        <v>285831450</v>
      </c>
      <c r="AV163" s="964">
        <f t="shared" si="145"/>
        <v>0.238192875</v>
      </c>
      <c r="AW163" s="975"/>
      <c r="AX163" s="975"/>
      <c r="AY163" s="283"/>
      <c r="AZ163" s="974"/>
      <c r="BA163" s="286"/>
      <c r="BB163" s="286"/>
    </row>
    <row r="164" spans="1:54" ht="70.5" customHeight="1" thickBot="1">
      <c r="A164" s="1468" t="s">
        <v>612</v>
      </c>
      <c r="B164" s="1475" t="s">
        <v>795</v>
      </c>
      <c r="C164" s="1469">
        <v>1</v>
      </c>
      <c r="D164" s="842">
        <v>0</v>
      </c>
      <c r="E164" s="218">
        <v>1</v>
      </c>
      <c r="F164" s="1269">
        <v>0</v>
      </c>
      <c r="G164" s="867">
        <v>0</v>
      </c>
      <c r="H164" s="147">
        <v>0</v>
      </c>
      <c r="I164" s="867">
        <v>1</v>
      </c>
      <c r="J164" s="867"/>
      <c r="K164" s="867"/>
      <c r="L164" s="1270">
        <f t="shared" ref="L164" si="168">IF((F164+I164)/C164&gt;=100%,100%,(F164+I164)/C164)</f>
        <v>1</v>
      </c>
      <c r="M164" s="1204" t="s">
        <v>2163</v>
      </c>
      <c r="N164" s="821">
        <f t="shared" si="161"/>
        <v>0</v>
      </c>
      <c r="O164" s="2165" t="s">
        <v>2349</v>
      </c>
      <c r="Q164" s="2041" t="s">
        <v>2183</v>
      </c>
      <c r="R164" s="1015"/>
      <c r="S164" s="1013" t="s">
        <v>2182</v>
      </c>
      <c r="T164" s="2038">
        <v>358</v>
      </c>
      <c r="U164" s="1470"/>
      <c r="V164" s="1470"/>
      <c r="W164" s="1277"/>
      <c r="X164" s="1470"/>
      <c r="Y164" s="1471">
        <v>3</v>
      </c>
      <c r="Z164" s="1429">
        <f t="shared" si="134"/>
        <v>1</v>
      </c>
      <c r="AA164" s="1387">
        <f t="shared" ref="AA164" si="169">IF(Z164/Y164&gt;=100%,100%,Z164/Y164)</f>
        <v>0.33333333333333331</v>
      </c>
      <c r="AB164" s="1279">
        <v>1</v>
      </c>
      <c r="AC164" s="888">
        <v>0</v>
      </c>
      <c r="AD164" s="881">
        <v>1</v>
      </c>
      <c r="AE164" s="1280">
        <v>344150000</v>
      </c>
      <c r="AF164" s="1515">
        <v>350000000</v>
      </c>
      <c r="AG164" s="2009">
        <v>0</v>
      </c>
      <c r="AH164" s="2142">
        <v>337660472</v>
      </c>
      <c r="AI164" s="1985">
        <f t="shared" si="130"/>
        <v>0.98114331541479005</v>
      </c>
      <c r="AJ164" s="1515">
        <v>0</v>
      </c>
      <c r="AK164" s="1280">
        <v>0</v>
      </c>
      <c r="AL164" s="1280">
        <v>25853102</v>
      </c>
      <c r="AM164" s="1278">
        <f t="shared" si="131"/>
        <v>7.512160976318466E-2</v>
      </c>
      <c r="AN164" s="997">
        <f>+AH164-AL164</f>
        <v>311807370</v>
      </c>
      <c r="AO164" s="1516">
        <v>350000000</v>
      </c>
      <c r="AP164" s="1515">
        <v>259978348</v>
      </c>
      <c r="AQ164" s="2009"/>
      <c r="AR164" s="2009"/>
      <c r="AS164" s="1053" t="e">
        <f t="shared" si="132"/>
        <v>#DIV/0!</v>
      </c>
      <c r="AT164" s="1285">
        <v>1200000000</v>
      </c>
      <c r="AU164" s="993">
        <f t="shared" si="164"/>
        <v>285831450</v>
      </c>
      <c r="AV164" s="1257">
        <f t="shared" si="145"/>
        <v>0.238192875</v>
      </c>
      <c r="AW164" s="1286"/>
      <c r="AX164" s="1286"/>
      <c r="AY164" s="1272" t="s">
        <v>302</v>
      </c>
      <c r="AZ164" s="1517" t="s">
        <v>915</v>
      </c>
      <c r="BA164" s="1175"/>
      <c r="BB164" s="1175"/>
    </row>
    <row r="165" spans="1:54" ht="45" customHeight="1" thickBot="1">
      <c r="A165" s="961" t="s">
        <v>480</v>
      </c>
      <c r="B165" s="962"/>
      <c r="C165" s="861"/>
      <c r="D165" s="826"/>
      <c r="E165" s="223"/>
      <c r="F165" s="963"/>
      <c r="G165" s="861"/>
      <c r="H165" s="139"/>
      <c r="I165" s="861"/>
      <c r="J165" s="861"/>
      <c r="K165" s="861"/>
      <c r="L165" s="964">
        <v>0</v>
      </c>
      <c r="M165" s="973">
        <f>+SUMPRODUCT(M166:M166,AC166:AC166)</f>
        <v>1</v>
      </c>
      <c r="N165" s="973">
        <f>+SUMPRODUCT(N166:N166,AD166:AD166)</f>
        <v>1</v>
      </c>
      <c r="O165" s="965"/>
      <c r="P165" s="284"/>
      <c r="Q165" s="966"/>
      <c r="R165" s="965"/>
      <c r="S165" s="965"/>
      <c r="T165" s="1466"/>
      <c r="U165" s="1466"/>
      <c r="V165" s="1466"/>
      <c r="W165" s="1099"/>
      <c r="X165" s="1466"/>
      <c r="Y165" s="1467"/>
      <c r="Z165" s="969">
        <f t="shared" si="134"/>
        <v>0</v>
      </c>
      <c r="AA165" s="1199">
        <f>+SUMPRODUCT(AA166:AA166,AB166:AB166)</f>
        <v>1</v>
      </c>
      <c r="AB165" s="964">
        <v>0.15</v>
      </c>
      <c r="AC165" s="879">
        <v>0.35</v>
      </c>
      <c r="AD165" s="471">
        <v>0.15</v>
      </c>
      <c r="AE165" s="971">
        <v>225000000</v>
      </c>
      <c r="AF165" s="971">
        <f>SUM(AF166)</f>
        <v>0</v>
      </c>
      <c r="AG165" s="962">
        <f>SUM(AG166)</f>
        <v>226428008</v>
      </c>
      <c r="AH165" s="2115">
        <f>SUM(AH166)</f>
        <v>218939399</v>
      </c>
      <c r="AI165" s="1984">
        <f t="shared" si="130"/>
        <v>0.97306399555555556</v>
      </c>
      <c r="AJ165" s="971">
        <f>SUM(AJ166)</f>
        <v>0</v>
      </c>
      <c r="AK165" s="971">
        <f>SUM(AK166)</f>
        <v>218621182</v>
      </c>
      <c r="AL165" s="971">
        <f>SUM(AL166)</f>
        <v>193366300</v>
      </c>
      <c r="AM165" s="973">
        <f t="shared" si="131"/>
        <v>0.85940577777777782</v>
      </c>
      <c r="AN165" s="974">
        <f>SUM(AN166)</f>
        <v>25573099</v>
      </c>
      <c r="AO165" s="965">
        <f>SUM(AO166)</f>
        <v>0</v>
      </c>
      <c r="AP165" s="971">
        <f>SUM(AP166)</f>
        <v>0</v>
      </c>
      <c r="AQ165" s="971">
        <f>SUM(AQ166)</f>
        <v>7806826</v>
      </c>
      <c r="AR165" s="971">
        <f>SUM(AR166)</f>
        <v>7550792</v>
      </c>
      <c r="AS165" s="967">
        <f t="shared" si="132"/>
        <v>0.96720382905933855</v>
      </c>
      <c r="AT165" s="971">
        <f t="shared" ref="AT165:AU165" si="170">SUM(AT166)</f>
        <v>500000000</v>
      </c>
      <c r="AU165" s="971">
        <f t="shared" si="170"/>
        <v>419538274</v>
      </c>
      <c r="AV165" s="964">
        <f t="shared" si="145"/>
        <v>0.83907654799999998</v>
      </c>
      <c r="AW165" s="975"/>
      <c r="AX165" s="975"/>
      <c r="AY165" s="283"/>
      <c r="AZ165" s="974"/>
      <c r="BA165" s="286"/>
      <c r="BB165" s="286"/>
    </row>
    <row r="166" spans="1:54" ht="69" customHeight="1" thickBot="1">
      <c r="A166" s="348" t="s">
        <v>613</v>
      </c>
      <c r="B166" s="1513" t="s">
        <v>796</v>
      </c>
      <c r="C166" s="1469">
        <v>0</v>
      </c>
      <c r="D166" s="842">
        <v>1</v>
      </c>
      <c r="E166" s="218">
        <v>1</v>
      </c>
      <c r="F166" s="1269">
        <v>0</v>
      </c>
      <c r="G166" s="867">
        <v>1</v>
      </c>
      <c r="H166" s="147">
        <v>1</v>
      </c>
      <c r="I166" s="867"/>
      <c r="J166" s="867"/>
      <c r="K166" s="867"/>
      <c r="L166" s="1270" t="e">
        <f>IF((F166+I166)/C166&gt;=100%,100%,(F166+I166)/C166)</f>
        <v>#DIV/0!</v>
      </c>
      <c r="M166" s="1090">
        <f>IF((G166+J166)/D166&gt;=100%,100%,(G166+J166)/D166)</f>
        <v>1</v>
      </c>
      <c r="N166" s="821">
        <f t="shared" si="161"/>
        <v>1</v>
      </c>
      <c r="O166" s="2165" t="s">
        <v>2350</v>
      </c>
      <c r="Q166" s="1274"/>
      <c r="R166" s="1275"/>
      <c r="S166" s="1273"/>
      <c r="T166" s="1470"/>
      <c r="U166" s="1470"/>
      <c r="V166" s="1470"/>
      <c r="W166" s="1277"/>
      <c r="X166" s="1470"/>
      <c r="Y166" s="1471">
        <v>2</v>
      </c>
      <c r="Z166" s="1278">
        <f t="shared" si="134"/>
        <v>2</v>
      </c>
      <c r="AA166" s="1387">
        <f t="shared" ref="AA166" si="171">IF(Z166/Y166&gt;=100%,100%,Z166/Y166)</f>
        <v>1</v>
      </c>
      <c r="AB166" s="1279">
        <v>1</v>
      </c>
      <c r="AC166" s="888">
        <v>1</v>
      </c>
      <c r="AD166" s="472">
        <v>1</v>
      </c>
      <c r="AE166" s="1483">
        <v>225000000</v>
      </c>
      <c r="AF166" s="1515">
        <v>0</v>
      </c>
      <c r="AG166" s="2008">
        <v>226428008</v>
      </c>
      <c r="AH166" s="2139">
        <v>218939399</v>
      </c>
      <c r="AI166" s="1985">
        <f t="shared" si="130"/>
        <v>0.97306399555555556</v>
      </c>
      <c r="AJ166" s="1515">
        <v>0</v>
      </c>
      <c r="AK166" s="1483">
        <v>218621182</v>
      </c>
      <c r="AL166" s="1483">
        <v>193366300</v>
      </c>
      <c r="AM166" s="1331">
        <f t="shared" si="131"/>
        <v>0.85940577777777782</v>
      </c>
      <c r="AN166" s="997">
        <f>+AH166-AL166</f>
        <v>25573099</v>
      </c>
      <c r="AO166" s="1516">
        <v>0</v>
      </c>
      <c r="AP166" s="1515">
        <v>0</v>
      </c>
      <c r="AQ166" s="2009">
        <v>7806826</v>
      </c>
      <c r="AR166" s="2009">
        <v>7550792</v>
      </c>
      <c r="AS166" s="1053">
        <f t="shared" si="132"/>
        <v>0.96720382905933855</v>
      </c>
      <c r="AT166" s="1285">
        <v>500000000</v>
      </c>
      <c r="AU166" s="993">
        <f t="shared" si="164"/>
        <v>419538274</v>
      </c>
      <c r="AV166" s="1257">
        <f t="shared" si="145"/>
        <v>0.83907654799999998</v>
      </c>
      <c r="AW166" s="1286"/>
      <c r="AX166" s="1286"/>
      <c r="AY166" s="1272" t="s">
        <v>302</v>
      </c>
      <c r="AZ166" s="1518" t="s">
        <v>890</v>
      </c>
      <c r="BA166" s="1175"/>
      <c r="BB166" s="1175"/>
    </row>
    <row r="167" spans="1:54" s="617" customFormat="1" ht="53.25" customHeight="1" thickBot="1">
      <c r="A167" s="1065" t="s">
        <v>433</v>
      </c>
      <c r="B167" s="1066"/>
      <c r="C167" s="862"/>
      <c r="D167" s="835"/>
      <c r="E167" s="222"/>
      <c r="F167" s="1067"/>
      <c r="G167" s="862"/>
      <c r="H167" s="129"/>
      <c r="I167" s="862"/>
      <c r="J167" s="862"/>
      <c r="K167" s="862"/>
      <c r="L167" s="1077">
        <f>+(L168*45%)+(L176*5%)+(L178*20%)+(L183*30%)</f>
        <v>0.82362500000000005</v>
      </c>
      <c r="M167" s="1068">
        <f>+(M168*AC168)+(M176*AC176)+(M178*AC178)+(M183*AC183)</f>
        <v>0.741800652173913</v>
      </c>
      <c r="N167" s="1068">
        <f>+(N168*AD168)+(N176*AD176)+(N178*AD178)+(N183*AD183)</f>
        <v>0.69189000000000001</v>
      </c>
      <c r="O167" s="948"/>
      <c r="P167" s="1463"/>
      <c r="Q167" s="1071"/>
      <c r="R167" s="1069"/>
      <c r="S167" s="1069"/>
      <c r="T167" s="1464"/>
      <c r="U167" s="1464"/>
      <c r="V167" s="1464"/>
      <c r="W167" s="1072"/>
      <c r="X167" s="1464"/>
      <c r="Y167" s="1465"/>
      <c r="Z167" s="1075">
        <f t="shared" si="134"/>
        <v>0</v>
      </c>
      <c r="AA167" s="1246">
        <f>+(AA168*AB168)+(AA176*AB176)+(AA178*AB178)+(AA183*AB183)</f>
        <v>0.74249761904761902</v>
      </c>
      <c r="AB167" s="1077">
        <v>0.2</v>
      </c>
      <c r="AC167" s="883">
        <v>0.24</v>
      </c>
      <c r="AD167" s="470">
        <v>0.2</v>
      </c>
      <c r="AE167" s="1078">
        <v>1792247465</v>
      </c>
      <c r="AF167" s="1078">
        <f>+AF168+AF176+AF178+AF183</f>
        <v>244410750</v>
      </c>
      <c r="AG167" s="1066">
        <f>+AG168+AG176+AG178+AG183</f>
        <v>1958456348.9400001</v>
      </c>
      <c r="AH167" s="2114">
        <f>+AH168+AH176+AH178+AH183</f>
        <v>1504902492.77</v>
      </c>
      <c r="AI167" s="1986">
        <f t="shared" si="130"/>
        <v>0.83967338336840669</v>
      </c>
      <c r="AJ167" s="1078">
        <f>+AJ168+AJ176+AJ178+AJ183</f>
        <v>146910750</v>
      </c>
      <c r="AK167" s="1078">
        <f>+AK168+AK176+AK178+AK183</f>
        <v>1037690522.3</v>
      </c>
      <c r="AL167" s="1078">
        <f>+AL168+AL176+AL178+AL183</f>
        <v>1126432229.22</v>
      </c>
      <c r="AM167" s="1247">
        <f t="shared" si="131"/>
        <v>0.6285026209926875</v>
      </c>
      <c r="AN167" s="1066">
        <f>+AN168+AN176+AN178+AN183</f>
        <v>378470263.55000001</v>
      </c>
      <c r="AO167" s="1069">
        <f>+AO168+AO176+AO178+AO183</f>
        <v>97500000</v>
      </c>
      <c r="AP167" s="1078">
        <f>+AP168+AP176+AP178+AP183</f>
        <v>87000000</v>
      </c>
      <c r="AQ167" s="1078">
        <f>+AQ168+AQ176+AQ178+AQ183</f>
        <v>920765826.63999999</v>
      </c>
      <c r="AR167" s="1078">
        <f>+AR168+AR176+AR178+AR183</f>
        <v>901851606</v>
      </c>
      <c r="AS167" s="1080">
        <f t="shared" si="132"/>
        <v>0.97945816396225238</v>
      </c>
      <c r="AT167" s="1078">
        <f t="shared" ref="AT167:AU167" si="172">+AT168+AT176+AT178+AT183</f>
        <v>7290000000</v>
      </c>
      <c r="AU167" s="1078">
        <f t="shared" si="172"/>
        <v>3299885107.52</v>
      </c>
      <c r="AV167" s="1247">
        <f t="shared" si="145"/>
        <v>0.4526591368340192</v>
      </c>
      <c r="AW167" s="1071"/>
      <c r="AX167" s="1071" t="s">
        <v>293</v>
      </c>
      <c r="AY167" s="1069"/>
      <c r="AZ167" s="1066"/>
      <c r="BA167" s="1082"/>
      <c r="BB167" s="1082"/>
    </row>
    <row r="168" spans="1:54" ht="41.25" customHeight="1" thickBot="1">
      <c r="A168" s="961" t="s">
        <v>481</v>
      </c>
      <c r="B168" s="962"/>
      <c r="C168" s="861"/>
      <c r="D168" s="826"/>
      <c r="E168" s="223"/>
      <c r="F168" s="963"/>
      <c r="G168" s="861"/>
      <c r="H168" s="139"/>
      <c r="I168" s="861"/>
      <c r="J168" s="861"/>
      <c r="K168" s="861"/>
      <c r="L168" s="964">
        <f>+(L169*49%)+(L171*13%)+(L173*38%)</f>
        <v>0.8125</v>
      </c>
      <c r="M168" s="973">
        <f>+SUMPRODUCT(M169:M175,AC169:AC175)</f>
        <v>0.64690000000000003</v>
      </c>
      <c r="N168" s="973">
        <f>+SUMPRODUCT(N169:N175,AD169:AD175)</f>
        <v>0.33700000000000002</v>
      </c>
      <c r="O168" s="965"/>
      <c r="P168" s="284"/>
      <c r="Q168" s="966"/>
      <c r="R168" s="965"/>
      <c r="S168" s="965"/>
      <c r="T168" s="1466"/>
      <c r="U168" s="1466"/>
      <c r="V168" s="1466"/>
      <c r="W168" s="1099"/>
      <c r="X168" s="1466"/>
      <c r="Y168" s="1467"/>
      <c r="Z168" s="969">
        <f t="shared" si="134"/>
        <v>0</v>
      </c>
      <c r="AA168" s="1199">
        <f>+SUMPRODUCT(AA169:AA175,AB169:AB175)</f>
        <v>0.8</v>
      </c>
      <c r="AB168" s="964">
        <v>0.45</v>
      </c>
      <c r="AC168" s="879">
        <v>0.45</v>
      </c>
      <c r="AD168" s="471">
        <v>0.45</v>
      </c>
      <c r="AE168" s="971">
        <v>835400000</v>
      </c>
      <c r="AF168" s="971">
        <f>SUM(AF169:AF175)</f>
        <v>117660750</v>
      </c>
      <c r="AG168" s="962">
        <f>SUM(AG169:AG175)</f>
        <v>482298283.94</v>
      </c>
      <c r="AH168" s="2115">
        <f>SUM(AH169:AH175)</f>
        <v>554785815.76999998</v>
      </c>
      <c r="AI168" s="1984">
        <f t="shared" si="130"/>
        <v>0.66409602079243479</v>
      </c>
      <c r="AJ168" s="971">
        <f>SUM(AJ169:AJ175)</f>
        <v>66310750</v>
      </c>
      <c r="AK168" s="976">
        <f>SUM(AK169:AK175)</f>
        <v>306420659.30000001</v>
      </c>
      <c r="AL168" s="976">
        <f>SUM(AL169:AL175)</f>
        <v>513925057.22000003</v>
      </c>
      <c r="AM168" s="964">
        <f t="shared" si="131"/>
        <v>0.61518441132391677</v>
      </c>
      <c r="AN168" s="974">
        <f>SUM(AN169:AN175)</f>
        <v>40860758.550000004</v>
      </c>
      <c r="AO168" s="965">
        <f>SUM(AO169:AO175)</f>
        <v>51350000</v>
      </c>
      <c r="AP168" s="971">
        <f>SUM(AP169:AP175)</f>
        <v>47850000</v>
      </c>
      <c r="AQ168" s="971">
        <f>SUM(AQ169:AQ175)</f>
        <v>175877624.63999999</v>
      </c>
      <c r="AR168" s="971">
        <f>SUM(AR169:AR175)</f>
        <v>159476974</v>
      </c>
      <c r="AS168" s="967">
        <f t="shared" si="132"/>
        <v>0.90674964667296298</v>
      </c>
      <c r="AT168" s="971">
        <f t="shared" ref="AT168:AU168" si="173">SUM(AT169:AT175)</f>
        <v>3445000000</v>
      </c>
      <c r="AU168" s="971">
        <f t="shared" si="173"/>
        <v>1093983440.52</v>
      </c>
      <c r="AV168" s="964">
        <f t="shared" si="145"/>
        <v>0.31755687678374456</v>
      </c>
      <c r="AW168" s="975"/>
      <c r="AX168" s="975"/>
      <c r="AY168" s="283"/>
      <c r="AZ168" s="974"/>
      <c r="BA168" s="286"/>
      <c r="BB168" s="286"/>
    </row>
    <row r="169" spans="1:54" ht="78" customHeight="1">
      <c r="A169" s="347" t="s">
        <v>614</v>
      </c>
      <c r="B169" s="1500" t="s">
        <v>875</v>
      </c>
      <c r="C169" s="1519">
        <v>8</v>
      </c>
      <c r="D169" s="401">
        <v>8</v>
      </c>
      <c r="E169" s="401">
        <v>8</v>
      </c>
      <c r="F169" s="978">
        <v>6</v>
      </c>
      <c r="G169" s="858">
        <v>6</v>
      </c>
      <c r="H169" s="147">
        <v>0</v>
      </c>
      <c r="I169" s="858"/>
      <c r="J169" s="858"/>
      <c r="K169" s="858"/>
      <c r="L169" s="821">
        <f>IF((F169+I169)/C169&gt;=100%,100%,(F169+I169)/C169)</f>
        <v>0.75</v>
      </c>
      <c r="M169" s="1090">
        <f>IF((G169+J169)/D169&gt;=100%,100%,(G169+J169)/D169)</f>
        <v>0.75</v>
      </c>
      <c r="N169" s="821">
        <f t="shared" ref="N169:N189" si="174">IF((H169/E169)&gt;=100%,100%,(H169/E169))</f>
        <v>0</v>
      </c>
      <c r="O169" s="2165" t="s">
        <v>2351</v>
      </c>
      <c r="P169" s="1520"/>
      <c r="Q169" s="2041" t="s">
        <v>2183</v>
      </c>
      <c r="R169" s="1015"/>
      <c r="S169" s="1013" t="s">
        <v>2182</v>
      </c>
      <c r="T169" s="2038" t="s">
        <v>2352</v>
      </c>
      <c r="U169" s="1521"/>
      <c r="V169" s="1521"/>
      <c r="W169" s="1088"/>
      <c r="X169" s="1521"/>
      <c r="Y169" s="1522">
        <v>8</v>
      </c>
      <c r="Z169" s="1059">
        <f t="shared" si="134"/>
        <v>12</v>
      </c>
      <c r="AA169" s="1438">
        <f t="shared" ref="AA169:AA175" si="175">IF(Z169/Y169&gt;=100%,100%,Z169/Y169)</f>
        <v>1</v>
      </c>
      <c r="AB169" s="1523">
        <v>0.4</v>
      </c>
      <c r="AC169" s="884">
        <v>0.43</v>
      </c>
      <c r="AD169" s="472">
        <v>0.43</v>
      </c>
      <c r="AE169" s="538">
        <v>282300000</v>
      </c>
      <c r="AF169" s="375" t="s">
        <v>887</v>
      </c>
      <c r="AG169" s="2087">
        <v>56419087.380000003</v>
      </c>
      <c r="AH169" s="2138">
        <v>47743163.770000003</v>
      </c>
      <c r="AI169" s="2112">
        <f t="shared" si="130"/>
        <v>0.1691220820758059</v>
      </c>
      <c r="AJ169" s="375" t="s">
        <v>887</v>
      </c>
      <c r="AK169" s="538">
        <v>36245937.740000002</v>
      </c>
      <c r="AL169" s="1479">
        <v>36207519.219999999</v>
      </c>
      <c r="AM169" s="1257">
        <f t="shared" si="131"/>
        <v>0.12825901246900459</v>
      </c>
      <c r="AN169" s="997">
        <f t="shared" ref="AN169:AN175" si="176">+AH169-AL169</f>
        <v>11535644.550000004</v>
      </c>
      <c r="AO169" s="1524" t="s">
        <v>887</v>
      </c>
      <c r="AP169" s="1515">
        <v>0</v>
      </c>
      <c r="AQ169" s="1968">
        <v>20173149.640000001</v>
      </c>
      <c r="AR169" s="1968">
        <v>19462674</v>
      </c>
      <c r="AS169" s="1089">
        <f t="shared" si="132"/>
        <v>0.96478112477829214</v>
      </c>
      <c r="AT169" s="1110">
        <v>1520000000</v>
      </c>
      <c r="AU169" s="993">
        <f t="shared" ref="AU169:AU189" si="177">SUM(AJ169:AL169)+AR169+AP169</f>
        <v>91916130.960000008</v>
      </c>
      <c r="AV169" s="1257">
        <f t="shared" si="145"/>
        <v>6.0471138789473688E-2</v>
      </c>
      <c r="AW169" s="1328"/>
      <c r="AX169" s="1111"/>
      <c r="AY169" s="190" t="s">
        <v>28</v>
      </c>
      <c r="AZ169" s="2297" t="s">
        <v>916</v>
      </c>
      <c r="BA169" s="1047"/>
      <c r="BB169" s="1047"/>
    </row>
    <row r="170" spans="1:54" ht="40.5" customHeight="1">
      <c r="A170" s="347" t="s">
        <v>615</v>
      </c>
      <c r="B170" s="449" t="s">
        <v>877</v>
      </c>
      <c r="C170" s="1519">
        <v>0</v>
      </c>
      <c r="D170" s="401">
        <v>0</v>
      </c>
      <c r="E170" s="401">
        <v>1</v>
      </c>
      <c r="F170" s="213">
        <v>0</v>
      </c>
      <c r="G170" s="147">
        <v>0</v>
      </c>
      <c r="H170" s="147">
        <v>0</v>
      </c>
      <c r="I170" s="147"/>
      <c r="J170" s="147"/>
      <c r="K170" s="147"/>
      <c r="L170" s="180" t="e">
        <f t="shared" ref="L170:L175" si="178">IF((F170+I170)/C170&gt;=100%,100%,(F170+I170)/C170)</f>
        <v>#DIV/0!</v>
      </c>
      <c r="M170" s="1204" t="s">
        <v>2163</v>
      </c>
      <c r="N170" s="821">
        <f t="shared" si="174"/>
        <v>0</v>
      </c>
      <c r="O170" s="2165" t="s">
        <v>2353</v>
      </c>
      <c r="P170" s="1525"/>
      <c r="Q170" s="2041" t="s">
        <v>2183</v>
      </c>
      <c r="R170" s="1015"/>
      <c r="S170" s="1013" t="s">
        <v>2182</v>
      </c>
      <c r="T170" s="2038" t="s">
        <v>2352</v>
      </c>
      <c r="U170" s="1526"/>
      <c r="V170" s="1526"/>
      <c r="W170" s="1017"/>
      <c r="X170" s="1526"/>
      <c r="Y170" s="1527">
        <v>1</v>
      </c>
      <c r="Z170" s="1008">
        <f t="shared" si="134"/>
        <v>0</v>
      </c>
      <c r="AA170" s="1438">
        <f t="shared" si="175"/>
        <v>0</v>
      </c>
      <c r="AB170" s="1523">
        <v>0.05</v>
      </c>
      <c r="AC170" s="881">
        <v>0</v>
      </c>
      <c r="AD170" s="2025">
        <v>0.08</v>
      </c>
      <c r="AE170" s="541">
        <v>120000000</v>
      </c>
      <c r="AF170" s="375" t="s">
        <v>887</v>
      </c>
      <c r="AG170" s="2088" t="s">
        <v>887</v>
      </c>
      <c r="AH170" s="2143">
        <v>119938087</v>
      </c>
      <c r="AI170" s="1993">
        <f t="shared" si="130"/>
        <v>0.99948405833333331</v>
      </c>
      <c r="AJ170" s="375" t="s">
        <v>887</v>
      </c>
      <c r="AK170" s="538">
        <v>0</v>
      </c>
      <c r="AL170" s="1479">
        <v>109572824</v>
      </c>
      <c r="AM170" s="1130">
        <f t="shared" si="131"/>
        <v>0.91310686666666663</v>
      </c>
      <c r="AN170" s="997">
        <f t="shared" si="176"/>
        <v>10365263</v>
      </c>
      <c r="AO170" s="1524" t="s">
        <v>887</v>
      </c>
      <c r="AP170" s="1515">
        <v>0</v>
      </c>
      <c r="AQ170" s="1968"/>
      <c r="AR170" s="1968"/>
      <c r="AS170" s="1089" t="e">
        <f t="shared" si="132"/>
        <v>#DIV/0!</v>
      </c>
      <c r="AT170" s="1118">
        <v>120000000</v>
      </c>
      <c r="AU170" s="993">
        <f t="shared" si="177"/>
        <v>109572824</v>
      </c>
      <c r="AV170" s="1139">
        <f t="shared" si="145"/>
        <v>0.91310686666666663</v>
      </c>
      <c r="AW170" s="1140"/>
      <c r="AX170" s="1119"/>
      <c r="AY170" s="152" t="s">
        <v>302</v>
      </c>
      <c r="AZ170" s="2289"/>
      <c r="BA170" s="93"/>
      <c r="BB170" s="93"/>
    </row>
    <row r="171" spans="1:54" ht="87.75" customHeight="1">
      <c r="A171" s="347" t="s">
        <v>616</v>
      </c>
      <c r="B171" s="449" t="s">
        <v>876</v>
      </c>
      <c r="C171" s="1519">
        <v>6</v>
      </c>
      <c r="D171" s="401">
        <v>12</v>
      </c>
      <c r="E171" s="401">
        <v>12</v>
      </c>
      <c r="F171" s="213">
        <v>0</v>
      </c>
      <c r="G171" s="147">
        <v>3</v>
      </c>
      <c r="H171" s="147">
        <v>6</v>
      </c>
      <c r="I171" s="859">
        <v>3</v>
      </c>
      <c r="J171" s="859"/>
      <c r="K171" s="859"/>
      <c r="L171" s="180">
        <f t="shared" si="178"/>
        <v>0.5</v>
      </c>
      <c r="M171" s="1090">
        <f>IF((G171+J171)/D171&gt;=100%,100%,(G171+J171)/D171)</f>
        <v>0.25</v>
      </c>
      <c r="N171" s="821">
        <f t="shared" si="174"/>
        <v>0.5</v>
      </c>
      <c r="O171" s="2165" t="s">
        <v>2354</v>
      </c>
      <c r="P171" s="1525"/>
      <c r="Q171" s="2037" t="s">
        <v>2170</v>
      </c>
      <c r="R171" s="2043" t="s">
        <v>2197</v>
      </c>
      <c r="S171" s="2044"/>
      <c r="T171" s="2043"/>
      <c r="U171" s="1526"/>
      <c r="V171" s="1526"/>
      <c r="W171" s="1017"/>
      <c r="X171" s="1526"/>
      <c r="Y171" s="1527">
        <v>12</v>
      </c>
      <c r="Z171" s="1008">
        <f t="shared" si="134"/>
        <v>12</v>
      </c>
      <c r="AA171" s="1438">
        <f t="shared" si="175"/>
        <v>1</v>
      </c>
      <c r="AB171" s="1523">
        <v>0.05</v>
      </c>
      <c r="AC171" s="881">
        <v>0.08</v>
      </c>
      <c r="AD171" s="2025">
        <v>0.08</v>
      </c>
      <c r="AE171" s="538">
        <v>25000000</v>
      </c>
      <c r="AF171" s="371">
        <v>18610750</v>
      </c>
      <c r="AG171" s="2087">
        <v>14689393</v>
      </c>
      <c r="AH171" s="2138">
        <v>2387079</v>
      </c>
      <c r="AI171" s="1993">
        <f t="shared" si="130"/>
        <v>9.5483159999999997E-2</v>
      </c>
      <c r="AJ171" s="371">
        <v>18610750</v>
      </c>
      <c r="AK171" s="538">
        <v>1001842</v>
      </c>
      <c r="AL171" s="1479">
        <v>1720148</v>
      </c>
      <c r="AM171" s="1139">
        <f t="shared" si="131"/>
        <v>6.8805920000000007E-2</v>
      </c>
      <c r="AN171" s="997">
        <f t="shared" si="176"/>
        <v>666931</v>
      </c>
      <c r="AO171" s="1524" t="s">
        <v>887</v>
      </c>
      <c r="AP171" s="1515">
        <v>0</v>
      </c>
      <c r="AQ171" s="1968">
        <v>13687551</v>
      </c>
      <c r="AR171" s="1968">
        <v>658504</v>
      </c>
      <c r="AS171" s="1089">
        <f t="shared" si="132"/>
        <v>4.8109702020471011E-2</v>
      </c>
      <c r="AT171" s="1118">
        <v>100000000</v>
      </c>
      <c r="AU171" s="993">
        <f t="shared" si="177"/>
        <v>21991244</v>
      </c>
      <c r="AV171" s="1139">
        <f t="shared" si="145"/>
        <v>0.21991243999999999</v>
      </c>
      <c r="AW171" s="1140"/>
      <c r="AX171" s="1119"/>
      <c r="AY171" s="152" t="s">
        <v>29</v>
      </c>
      <c r="AZ171" s="2289"/>
      <c r="BA171" s="93"/>
      <c r="BB171" s="93"/>
    </row>
    <row r="172" spans="1:54" ht="90.75" customHeight="1">
      <c r="A172" s="347" t="s">
        <v>617</v>
      </c>
      <c r="B172" s="452" t="s">
        <v>797</v>
      </c>
      <c r="C172" s="1519">
        <v>0</v>
      </c>
      <c r="D172" s="401">
        <v>1</v>
      </c>
      <c r="E172" s="401">
        <v>1</v>
      </c>
      <c r="F172" s="213">
        <v>0</v>
      </c>
      <c r="G172" s="147">
        <v>0</v>
      </c>
      <c r="H172" s="147">
        <v>0</v>
      </c>
      <c r="I172" s="147"/>
      <c r="J172" s="147"/>
      <c r="K172" s="147"/>
      <c r="L172" s="180" t="e">
        <f t="shared" si="178"/>
        <v>#DIV/0!</v>
      </c>
      <c r="M172" s="1090">
        <f>IF((G172+J172)/D172&gt;=100%,100%,(G172+J172)/D172)</f>
        <v>0</v>
      </c>
      <c r="N172" s="821">
        <f t="shared" si="174"/>
        <v>0</v>
      </c>
      <c r="O172" s="2165" t="s">
        <v>2355</v>
      </c>
      <c r="P172" s="1525"/>
      <c r="Q172" s="1014"/>
      <c r="R172" s="1015"/>
      <c r="S172" s="1013"/>
      <c r="T172" s="1526"/>
      <c r="U172" s="1526"/>
      <c r="V172" s="1526"/>
      <c r="W172" s="1017"/>
      <c r="X172" s="1526"/>
      <c r="Y172" s="1527">
        <v>2</v>
      </c>
      <c r="Z172" s="1008">
        <f t="shared" si="134"/>
        <v>0</v>
      </c>
      <c r="AA172" s="1438">
        <f t="shared" si="175"/>
        <v>0</v>
      </c>
      <c r="AB172" s="1528">
        <v>0.05</v>
      </c>
      <c r="AC172" s="881">
        <v>0.08</v>
      </c>
      <c r="AD172" s="2025">
        <v>0.08</v>
      </c>
      <c r="AE172" s="542">
        <v>12500000</v>
      </c>
      <c r="AF172" s="375" t="s">
        <v>887</v>
      </c>
      <c r="AG172" s="2087">
        <v>41975169</v>
      </c>
      <c r="AH172" s="2138">
        <v>12452085</v>
      </c>
      <c r="AI172" s="1993">
        <f t="shared" si="130"/>
        <v>0.99616680000000002</v>
      </c>
      <c r="AJ172" s="375" t="s">
        <v>887</v>
      </c>
      <c r="AK172" s="538">
        <v>16120695</v>
      </c>
      <c r="AL172" s="1479">
        <v>10295874</v>
      </c>
      <c r="AM172" s="1139">
        <f t="shared" si="131"/>
        <v>0.82366992000000006</v>
      </c>
      <c r="AN172" s="997">
        <f t="shared" si="176"/>
        <v>2156211</v>
      </c>
      <c r="AO172" s="1524" t="s">
        <v>887</v>
      </c>
      <c r="AP172" s="1515">
        <v>0</v>
      </c>
      <c r="AQ172" s="1968">
        <v>25854474</v>
      </c>
      <c r="AR172" s="1968">
        <v>23595202</v>
      </c>
      <c r="AS172" s="1089">
        <f t="shared" si="132"/>
        <v>0.91261582037986921</v>
      </c>
      <c r="AT172" s="1118">
        <v>185000000</v>
      </c>
      <c r="AU172" s="993">
        <f t="shared" si="177"/>
        <v>50011771</v>
      </c>
      <c r="AV172" s="1139">
        <f t="shared" si="145"/>
        <v>0.27033389729729729</v>
      </c>
      <c r="AW172" s="1140"/>
      <c r="AX172" s="1119"/>
      <c r="AY172" s="152" t="s">
        <v>302</v>
      </c>
      <c r="AZ172" s="2290"/>
      <c r="BA172" s="93"/>
      <c r="BB172" s="93"/>
    </row>
    <row r="173" spans="1:54" ht="50.25" customHeight="1">
      <c r="A173" s="347" t="s">
        <v>618</v>
      </c>
      <c r="B173" s="448" t="s">
        <v>798</v>
      </c>
      <c r="C173" s="1529">
        <v>1</v>
      </c>
      <c r="D173" s="402">
        <v>1</v>
      </c>
      <c r="E173" s="402">
        <v>1</v>
      </c>
      <c r="F173" s="1530">
        <v>1</v>
      </c>
      <c r="G173" s="182">
        <v>0.68</v>
      </c>
      <c r="H173" s="681">
        <v>0.9</v>
      </c>
      <c r="I173" s="147"/>
      <c r="J173" s="147"/>
      <c r="K173" s="147"/>
      <c r="L173" s="180">
        <f t="shared" si="178"/>
        <v>1</v>
      </c>
      <c r="M173" s="1090">
        <f>IF((G173+J173)/D173&gt;=100%,100%,(G173+J173)/D173)</f>
        <v>0.68</v>
      </c>
      <c r="N173" s="821">
        <f t="shared" si="174"/>
        <v>0.9</v>
      </c>
      <c r="O173" s="2165" t="s">
        <v>2356</v>
      </c>
      <c r="P173" s="1525"/>
      <c r="Q173" s="2041" t="s">
        <v>2183</v>
      </c>
      <c r="R173" s="1015"/>
      <c r="S173" s="1013" t="s">
        <v>2182</v>
      </c>
      <c r="T173" s="2038" t="s">
        <v>2198</v>
      </c>
      <c r="U173" s="1526"/>
      <c r="V173" s="1526"/>
      <c r="W173" s="1017"/>
      <c r="X173" s="1526"/>
      <c r="Y173" s="874">
        <v>1</v>
      </c>
      <c r="Z173" s="1008">
        <f t="shared" si="134"/>
        <v>2.58</v>
      </c>
      <c r="AA173" s="1438">
        <f t="shared" si="175"/>
        <v>1</v>
      </c>
      <c r="AB173" s="1531">
        <v>0.3</v>
      </c>
      <c r="AC173" s="881">
        <v>0.33</v>
      </c>
      <c r="AD173" s="2025">
        <v>0.33</v>
      </c>
      <c r="AE173" s="538">
        <v>395600000</v>
      </c>
      <c r="AF173" s="371">
        <v>99050000</v>
      </c>
      <c r="AG173" s="2087">
        <v>249214635</v>
      </c>
      <c r="AH173" s="2138">
        <v>372265401</v>
      </c>
      <c r="AI173" s="1993">
        <f t="shared" si="130"/>
        <v>0.94101466380181997</v>
      </c>
      <c r="AJ173" s="371">
        <v>47700000</v>
      </c>
      <c r="AK173" s="538">
        <v>239684150</v>
      </c>
      <c r="AL173" s="1479">
        <v>356128692</v>
      </c>
      <c r="AM173" s="1134">
        <f t="shared" si="131"/>
        <v>0.90022419615773508</v>
      </c>
      <c r="AN173" s="997">
        <f t="shared" si="176"/>
        <v>16136709</v>
      </c>
      <c r="AO173" s="1532">
        <v>51350000</v>
      </c>
      <c r="AP173" s="371">
        <v>47850000</v>
      </c>
      <c r="AQ173" s="2010">
        <v>9530485</v>
      </c>
      <c r="AR173" s="2010">
        <v>9323735</v>
      </c>
      <c r="AS173" s="1089">
        <f t="shared" si="132"/>
        <v>0.97830645554764528</v>
      </c>
      <c r="AT173" s="1118">
        <v>1000000000</v>
      </c>
      <c r="AU173" s="993">
        <f t="shared" si="177"/>
        <v>700686577</v>
      </c>
      <c r="AV173" s="1139">
        <f t="shared" si="145"/>
        <v>0.70068657700000003</v>
      </c>
      <c r="AW173" s="1140"/>
      <c r="AX173" s="1119"/>
      <c r="AY173" s="152" t="s">
        <v>302</v>
      </c>
      <c r="AZ173" s="1533" t="s">
        <v>916</v>
      </c>
      <c r="BA173" s="93"/>
      <c r="BB173" s="93"/>
    </row>
    <row r="174" spans="1:54" ht="48" customHeight="1">
      <c r="A174" s="347" t="s">
        <v>619</v>
      </c>
      <c r="B174" s="453" t="s">
        <v>799</v>
      </c>
      <c r="C174" s="1519">
        <v>0</v>
      </c>
      <c r="D174" s="401">
        <v>0</v>
      </c>
      <c r="E174" s="401">
        <v>0</v>
      </c>
      <c r="F174" s="213">
        <v>0</v>
      </c>
      <c r="G174" s="147">
        <v>0</v>
      </c>
      <c r="H174" s="147">
        <v>0</v>
      </c>
      <c r="I174" s="147"/>
      <c r="J174" s="147"/>
      <c r="K174" s="147"/>
      <c r="L174" s="180" t="e">
        <f t="shared" si="178"/>
        <v>#DIV/0!</v>
      </c>
      <c r="M174" s="1204" t="s">
        <v>2163</v>
      </c>
      <c r="N174" s="821" t="s">
        <v>2163</v>
      </c>
      <c r="O174" s="2165"/>
      <c r="P174" s="1525"/>
      <c r="Q174" s="1014"/>
      <c r="R174" s="1015"/>
      <c r="S174" s="1013"/>
      <c r="T174" s="1526"/>
      <c r="U174" s="1526"/>
      <c r="V174" s="1526"/>
      <c r="W174" s="1017"/>
      <c r="X174" s="1526"/>
      <c r="Y174" s="1527">
        <v>1</v>
      </c>
      <c r="Z174" s="1008">
        <f t="shared" si="134"/>
        <v>0</v>
      </c>
      <c r="AA174" s="1438">
        <f t="shared" si="175"/>
        <v>0</v>
      </c>
      <c r="AB174" s="1531">
        <v>0.1</v>
      </c>
      <c r="AC174" s="881">
        <v>0</v>
      </c>
      <c r="AD174" s="472">
        <v>0</v>
      </c>
      <c r="AE174" s="541" t="s">
        <v>887</v>
      </c>
      <c r="AF174" s="375" t="s">
        <v>887</v>
      </c>
      <c r="AG174" s="2088" t="s">
        <v>887</v>
      </c>
      <c r="AH174" s="2143"/>
      <c r="AI174" s="1993" t="e">
        <f t="shared" si="130"/>
        <v>#VALUE!</v>
      </c>
      <c r="AJ174" s="375" t="s">
        <v>887</v>
      </c>
      <c r="AK174" s="538">
        <v>0</v>
      </c>
      <c r="AL174" s="1479"/>
      <c r="AM174" s="1130" t="e">
        <f t="shared" si="131"/>
        <v>#VALUE!</v>
      </c>
      <c r="AN174" s="997">
        <f t="shared" si="176"/>
        <v>0</v>
      </c>
      <c r="AO174" s="1524" t="s">
        <v>887</v>
      </c>
      <c r="AP174" s="1515">
        <v>0</v>
      </c>
      <c r="AQ174" s="1968"/>
      <c r="AR174" s="1968"/>
      <c r="AS174" s="1089" t="e">
        <f t="shared" si="132"/>
        <v>#DIV/0!</v>
      </c>
      <c r="AT174" s="1118">
        <v>400000000</v>
      </c>
      <c r="AU174" s="993">
        <f t="shared" si="177"/>
        <v>0</v>
      </c>
      <c r="AV174" s="1139">
        <f t="shared" si="145"/>
        <v>0</v>
      </c>
      <c r="AW174" s="1140"/>
      <c r="AX174" s="1119"/>
      <c r="AY174" s="152" t="s">
        <v>302</v>
      </c>
      <c r="AZ174" s="1533" t="s">
        <v>917</v>
      </c>
      <c r="BA174" s="93"/>
      <c r="BB174" s="93"/>
    </row>
    <row r="175" spans="1:54" ht="70.5" customHeight="1" thickBot="1">
      <c r="A175" s="1476" t="s">
        <v>620</v>
      </c>
      <c r="B175" s="299" t="s">
        <v>800</v>
      </c>
      <c r="C175" s="1534">
        <v>0</v>
      </c>
      <c r="D175" s="847">
        <v>1</v>
      </c>
      <c r="E175" s="401">
        <v>0</v>
      </c>
      <c r="F175" s="870">
        <v>0</v>
      </c>
      <c r="G175" s="860">
        <v>0</v>
      </c>
      <c r="H175" s="147">
        <v>0</v>
      </c>
      <c r="I175" s="860"/>
      <c r="J175" s="860">
        <v>1</v>
      </c>
      <c r="K175" s="860"/>
      <c r="L175" s="1021" t="e">
        <f t="shared" si="178"/>
        <v>#DIV/0!</v>
      </c>
      <c r="M175" s="1090">
        <f>IF((G175+J175)/D175&gt;=100%,100%,(G175+J175)/D175)</f>
        <v>1</v>
      </c>
      <c r="N175" s="821" t="s">
        <v>2163</v>
      </c>
      <c r="O175" s="2165"/>
      <c r="P175" s="1525"/>
      <c r="Q175" s="1220"/>
      <c r="R175" s="1221"/>
      <c r="S175" s="1219"/>
      <c r="T175" s="1526"/>
      <c r="U175" s="1526"/>
      <c r="V175" s="1526"/>
      <c r="W175" s="1223"/>
      <c r="X175" s="1526"/>
      <c r="Y175" s="1527">
        <v>1</v>
      </c>
      <c r="Z175" s="1130">
        <f t="shared" si="134"/>
        <v>1</v>
      </c>
      <c r="AA175" s="1430">
        <f t="shared" si="175"/>
        <v>1</v>
      </c>
      <c r="AB175" s="1531">
        <v>0.05</v>
      </c>
      <c r="AC175" s="885">
        <v>0.08</v>
      </c>
      <c r="AD175" s="472">
        <v>0</v>
      </c>
      <c r="AE175" s="1535">
        <v>0</v>
      </c>
      <c r="AF175" s="1536" t="s">
        <v>887</v>
      </c>
      <c r="AG175" s="2010">
        <v>119999999.56</v>
      </c>
      <c r="AH175" s="2138">
        <v>0</v>
      </c>
      <c r="AI175" s="1997" t="e">
        <f t="shared" si="130"/>
        <v>#DIV/0!</v>
      </c>
      <c r="AJ175" s="1536" t="s">
        <v>887</v>
      </c>
      <c r="AK175" s="1479">
        <v>13368034.560000001</v>
      </c>
      <c r="AL175" s="1479"/>
      <c r="AM175" s="1139" t="e">
        <f t="shared" si="131"/>
        <v>#DIV/0!</v>
      </c>
      <c r="AN175" s="997">
        <f t="shared" si="176"/>
        <v>0</v>
      </c>
      <c r="AO175" s="1537" t="s">
        <v>887</v>
      </c>
      <c r="AP175" s="1515">
        <v>0</v>
      </c>
      <c r="AQ175" s="1968">
        <v>106631965</v>
      </c>
      <c r="AR175" s="1968">
        <v>106436859</v>
      </c>
      <c r="AS175" s="1136">
        <f t="shared" si="132"/>
        <v>0.99817028599257263</v>
      </c>
      <c r="AT175" s="1138">
        <v>120000000</v>
      </c>
      <c r="AU175" s="993">
        <f t="shared" si="177"/>
        <v>119804893.56</v>
      </c>
      <c r="AV175" s="1134">
        <f t="shared" si="133"/>
        <v>0.99837411300000001</v>
      </c>
      <c r="AW175" s="1140"/>
      <c r="AX175" s="1140"/>
      <c r="AY175" s="189" t="s">
        <v>302</v>
      </c>
      <c r="AZ175" s="1538" t="s">
        <v>916</v>
      </c>
      <c r="BA175" s="1037"/>
      <c r="BB175" s="1037"/>
    </row>
    <row r="176" spans="1:54" ht="36" customHeight="1" thickBot="1">
      <c r="A176" s="961" t="s">
        <v>482</v>
      </c>
      <c r="B176" s="962"/>
      <c r="C176" s="861"/>
      <c r="D176" s="826"/>
      <c r="E176" s="223"/>
      <c r="F176" s="963"/>
      <c r="G176" s="861"/>
      <c r="H176" s="139"/>
      <c r="I176" s="861"/>
      <c r="J176" s="861"/>
      <c r="K176" s="861"/>
      <c r="L176" s="964">
        <f>+SUMPRODUCT(L177:L177,AB177:AB177)</f>
        <v>1</v>
      </c>
      <c r="M176" s="973">
        <f>+SUMPRODUCT(M177:M177,AC177:AC177)</f>
        <v>1</v>
      </c>
      <c r="N176" s="973">
        <f>+SUMPRODUCT(N177:N177,AD177:AD177)</f>
        <v>1</v>
      </c>
      <c r="O176" s="965"/>
      <c r="P176" s="284"/>
      <c r="Q176" s="966"/>
      <c r="R176" s="965"/>
      <c r="S176" s="965"/>
      <c r="T176" s="1466"/>
      <c r="U176" s="1466"/>
      <c r="V176" s="1466"/>
      <c r="W176" s="1099"/>
      <c r="X176" s="1466"/>
      <c r="Y176" s="1467"/>
      <c r="Z176" s="969">
        <f t="shared" si="134"/>
        <v>0</v>
      </c>
      <c r="AA176" s="1199">
        <f>+SUMPRODUCT(AA177:AA177,AB177:AB177)</f>
        <v>0.7142857142857143</v>
      </c>
      <c r="AB176" s="964">
        <v>0.05</v>
      </c>
      <c r="AC176" s="879">
        <v>0.05</v>
      </c>
      <c r="AD176" s="471">
        <v>0.05</v>
      </c>
      <c r="AE176" s="971">
        <v>40000000</v>
      </c>
      <c r="AF176" s="971">
        <f>SUM(AF177)</f>
        <v>10500000</v>
      </c>
      <c r="AG176" s="962">
        <f>SUM(AG177)</f>
        <v>36578787</v>
      </c>
      <c r="AH176" s="2115">
        <f>SUM(AH177)</f>
        <v>39979542</v>
      </c>
      <c r="AI176" s="1984">
        <f t="shared" si="130"/>
        <v>0.99948855000000003</v>
      </c>
      <c r="AJ176" s="971">
        <f>SUM(AJ177)</f>
        <v>4200000</v>
      </c>
      <c r="AK176" s="971">
        <f>SUM(AK177)</f>
        <v>29603684</v>
      </c>
      <c r="AL176" s="971">
        <f>SUM(AL177)</f>
        <v>38483834</v>
      </c>
      <c r="AM176" s="973">
        <f t="shared" si="131"/>
        <v>0.96209584999999997</v>
      </c>
      <c r="AN176" s="974">
        <f>SUM(AN177)</f>
        <v>1495708</v>
      </c>
      <c r="AO176" s="965">
        <f>SUM(AO177)</f>
        <v>6300000</v>
      </c>
      <c r="AP176" s="971">
        <f>SUM(AP177)</f>
        <v>6300000</v>
      </c>
      <c r="AQ176" s="971">
        <f>SUM(AQ177)</f>
        <v>6975103</v>
      </c>
      <c r="AR176" s="971">
        <f>SUM(AR177)</f>
        <v>6919494</v>
      </c>
      <c r="AS176" s="967">
        <f t="shared" si="132"/>
        <v>0.99202750124263395</v>
      </c>
      <c r="AT176" s="971">
        <f t="shared" ref="AT176:AU176" si="179">SUM(AT177)</f>
        <v>140000000</v>
      </c>
      <c r="AU176" s="971">
        <f t="shared" si="179"/>
        <v>85507012</v>
      </c>
      <c r="AV176" s="964">
        <f t="shared" si="133"/>
        <v>0.61076437142857143</v>
      </c>
      <c r="AW176" s="975"/>
      <c r="AX176" s="975"/>
      <c r="AY176" s="283"/>
      <c r="AZ176" s="974"/>
      <c r="BA176" s="286"/>
      <c r="BB176" s="286"/>
    </row>
    <row r="177" spans="1:54" ht="68.25" customHeight="1" thickBot="1">
      <c r="A177" s="348" t="s">
        <v>621</v>
      </c>
      <c r="B177" s="1539" t="s">
        <v>801</v>
      </c>
      <c r="C177" s="1469">
        <v>1</v>
      </c>
      <c r="D177" s="842">
        <v>2</v>
      </c>
      <c r="E177" s="218">
        <v>2</v>
      </c>
      <c r="F177" s="1269">
        <v>1</v>
      </c>
      <c r="G177" s="867">
        <v>2</v>
      </c>
      <c r="H177" s="147">
        <v>2</v>
      </c>
      <c r="I177" s="867"/>
      <c r="J177" s="867"/>
      <c r="K177" s="867"/>
      <c r="L177" s="1270">
        <f>IF((F177+I177)/C177&gt;=100%,100%,(F177+I177)/C177)</f>
        <v>1</v>
      </c>
      <c r="M177" s="1090">
        <f>IF((G177+J177)/D177&gt;=100%,100%,(G177+J177)/D177)</f>
        <v>1</v>
      </c>
      <c r="N177" s="821">
        <f t="shared" si="174"/>
        <v>1</v>
      </c>
      <c r="O177" s="2165" t="s">
        <v>2357</v>
      </c>
      <c r="Q177" s="2041" t="s">
        <v>2183</v>
      </c>
      <c r="R177" s="1015"/>
      <c r="S177" s="1013" t="s">
        <v>2182</v>
      </c>
      <c r="T177" s="2037" t="s">
        <v>2199</v>
      </c>
      <c r="U177" s="1470"/>
      <c r="V177" s="1470"/>
      <c r="W177" s="1277"/>
      <c r="X177" s="1470"/>
      <c r="Y177" s="1471">
        <v>7</v>
      </c>
      <c r="Z177" s="1278">
        <f t="shared" si="134"/>
        <v>5</v>
      </c>
      <c r="AA177" s="1027">
        <f t="shared" ref="AA177" si="180">IF(Z177/Y177&gt;=100%,100%,Z177/Y177)</f>
        <v>0.7142857142857143</v>
      </c>
      <c r="AB177" s="1279">
        <v>1</v>
      </c>
      <c r="AC177" s="888">
        <v>1</v>
      </c>
      <c r="AD177" s="472">
        <v>1</v>
      </c>
      <c r="AE177" s="1483">
        <v>40000000</v>
      </c>
      <c r="AF177" s="1480">
        <v>10500000</v>
      </c>
      <c r="AG177" s="2008">
        <v>36578787</v>
      </c>
      <c r="AH177" s="2139">
        <v>39979542</v>
      </c>
      <c r="AI177" s="1985">
        <f t="shared" si="130"/>
        <v>0.99948855000000003</v>
      </c>
      <c r="AJ177" s="1480">
        <v>4200000</v>
      </c>
      <c r="AK177" s="1483">
        <v>29603684</v>
      </c>
      <c r="AL177" s="1483">
        <v>38483834</v>
      </c>
      <c r="AM177" s="1331">
        <f t="shared" si="131"/>
        <v>0.96209584999999997</v>
      </c>
      <c r="AN177" s="997">
        <f>+AH177-AL177</f>
        <v>1495708</v>
      </c>
      <c r="AO177" s="1481">
        <v>6300000</v>
      </c>
      <c r="AP177" s="1480">
        <v>6300000</v>
      </c>
      <c r="AQ177" s="2008">
        <v>6975103</v>
      </c>
      <c r="AR177" s="2008">
        <v>6919494</v>
      </c>
      <c r="AS177" s="1053">
        <f t="shared" si="132"/>
        <v>0.99202750124263395</v>
      </c>
      <c r="AT177" s="1285">
        <v>140000000</v>
      </c>
      <c r="AU177" s="993">
        <f t="shared" si="177"/>
        <v>85507012</v>
      </c>
      <c r="AV177" s="1257">
        <f t="shared" si="133"/>
        <v>0.61076437142857143</v>
      </c>
      <c r="AW177" s="1286"/>
      <c r="AX177" s="1286"/>
      <c r="AY177" s="1272" t="s">
        <v>302</v>
      </c>
      <c r="AZ177" s="1484" t="s">
        <v>916</v>
      </c>
      <c r="BA177" s="1175"/>
      <c r="BB177" s="1175"/>
    </row>
    <row r="178" spans="1:54" ht="45.75" customHeight="1" thickBot="1">
      <c r="A178" s="961" t="s">
        <v>483</v>
      </c>
      <c r="B178" s="962"/>
      <c r="C178" s="861"/>
      <c r="D178" s="826"/>
      <c r="E178" s="223"/>
      <c r="F178" s="963"/>
      <c r="G178" s="861"/>
      <c r="H178" s="139"/>
      <c r="I178" s="861"/>
      <c r="J178" s="861"/>
      <c r="K178" s="861"/>
      <c r="L178" s="964">
        <f>+(L180*54%)+(L182*46%)</f>
        <v>0.54</v>
      </c>
      <c r="M178" s="973">
        <f>+SUMPRODUCT(M179:M182,AC179:AC182)</f>
        <v>0.96</v>
      </c>
      <c r="N178" s="973">
        <f>+SUMPRODUCT(N179:N182,AD179:AD182)</f>
        <v>0.95120000000000005</v>
      </c>
      <c r="O178" s="965"/>
      <c r="P178" s="284"/>
      <c r="Q178" s="966"/>
      <c r="R178" s="965"/>
      <c r="S178" s="965"/>
      <c r="T178" s="1466"/>
      <c r="U178" s="1466"/>
      <c r="V178" s="1466"/>
      <c r="W178" s="1099"/>
      <c r="X178" s="1466"/>
      <c r="Y178" s="1467"/>
      <c r="Z178" s="969">
        <f t="shared" si="134"/>
        <v>0</v>
      </c>
      <c r="AA178" s="1199">
        <f>+SUMPRODUCT(AA179:AA182,AB179:AB182)</f>
        <v>0.68391666666666673</v>
      </c>
      <c r="AB178" s="964">
        <v>0.2</v>
      </c>
      <c r="AC178" s="879">
        <v>0.2</v>
      </c>
      <c r="AD178" s="471">
        <v>0.2</v>
      </c>
      <c r="AE178" s="971">
        <v>409747465</v>
      </c>
      <c r="AF178" s="971">
        <f>SUM(AF179:AF182)</f>
        <v>4000000</v>
      </c>
      <c r="AG178" s="962">
        <f>SUM(AG179:AG182)</f>
        <v>453696326</v>
      </c>
      <c r="AH178" s="2115">
        <f>SUM(AH179:AH182)</f>
        <v>406996428</v>
      </c>
      <c r="AI178" s="1984">
        <f t="shared" si="130"/>
        <v>0.99328601825517093</v>
      </c>
      <c r="AJ178" s="971">
        <f>SUM(AJ179:AJ182)</f>
        <v>0</v>
      </c>
      <c r="AK178" s="976">
        <f>SUM(AK179:AK182)</f>
        <v>93361949</v>
      </c>
      <c r="AL178" s="976">
        <f>SUM(AL179:AL182)</f>
        <v>159945156</v>
      </c>
      <c r="AM178" s="964">
        <f t="shared" si="131"/>
        <v>0.39035056873384194</v>
      </c>
      <c r="AN178" s="974">
        <f>SUM(AN179:AN182)</f>
        <v>247051272</v>
      </c>
      <c r="AO178" s="965">
        <f>SUM(AO179:AO182)</f>
        <v>4000000</v>
      </c>
      <c r="AP178" s="971">
        <f>SUM(AP179:AP182)</f>
        <v>4000000</v>
      </c>
      <c r="AQ178" s="971">
        <f>SUM(AQ179:AQ182)</f>
        <v>360334377</v>
      </c>
      <c r="AR178" s="971">
        <f>SUM(AR179:AR182)</f>
        <v>359442703</v>
      </c>
      <c r="AS178" s="967">
        <f t="shared" si="132"/>
        <v>0.9975254262237655</v>
      </c>
      <c r="AT178" s="971">
        <f t="shared" ref="AT178:AU178" si="181">SUM(AT179:AT182)</f>
        <v>1445000000</v>
      </c>
      <c r="AU178" s="971">
        <f t="shared" si="181"/>
        <v>616749808</v>
      </c>
      <c r="AV178" s="964">
        <f t="shared" si="133"/>
        <v>0.42681647612456747</v>
      </c>
      <c r="AW178" s="975"/>
      <c r="AX178" s="975"/>
      <c r="AY178" s="283"/>
      <c r="AZ178" s="974"/>
      <c r="BA178" s="286"/>
      <c r="BB178" s="286"/>
    </row>
    <row r="179" spans="1:54" ht="54.75" customHeight="1">
      <c r="A179" s="347" t="s">
        <v>622</v>
      </c>
      <c r="B179" s="1500" t="s">
        <v>878</v>
      </c>
      <c r="C179" s="1519">
        <v>0</v>
      </c>
      <c r="D179" s="401">
        <v>1</v>
      </c>
      <c r="E179" s="401">
        <v>1</v>
      </c>
      <c r="F179" s="978">
        <v>0</v>
      </c>
      <c r="G179" s="858">
        <v>0</v>
      </c>
      <c r="H179" s="147">
        <v>1</v>
      </c>
      <c r="I179" s="858"/>
      <c r="J179" s="858">
        <v>1</v>
      </c>
      <c r="K179" s="858"/>
      <c r="L179" s="821" t="e">
        <f t="shared" ref="L179:M182" si="182">IF((F179+I179)/C179&gt;=100%,100%,(F179+I179)/C179)</f>
        <v>#DIV/0!</v>
      </c>
      <c r="M179" s="1090">
        <f t="shared" si="182"/>
        <v>1</v>
      </c>
      <c r="N179" s="821">
        <f t="shared" si="174"/>
        <v>1</v>
      </c>
      <c r="O179" s="2165" t="s">
        <v>2358</v>
      </c>
      <c r="Q179" s="2041" t="s">
        <v>2183</v>
      </c>
      <c r="R179" s="1015"/>
      <c r="S179" s="1013" t="s">
        <v>2182</v>
      </c>
      <c r="T179" s="2038" t="s">
        <v>2352</v>
      </c>
      <c r="U179" s="1470"/>
      <c r="V179" s="1470"/>
      <c r="W179" s="985"/>
      <c r="X179" s="1470"/>
      <c r="Y179" s="1471">
        <v>3</v>
      </c>
      <c r="Z179" s="1059">
        <f t="shared" si="134"/>
        <v>2</v>
      </c>
      <c r="AA179" s="1438">
        <f t="shared" ref="AA179:AA182" si="183">IF(Z179/Y179&gt;=100%,100%,Z179/Y179)</f>
        <v>0.66666666666666663</v>
      </c>
      <c r="AB179" s="1528">
        <v>0.7</v>
      </c>
      <c r="AC179" s="494">
        <v>0.7</v>
      </c>
      <c r="AD179" s="2032">
        <v>0.73</v>
      </c>
      <c r="AE179" s="1540">
        <v>300000000</v>
      </c>
      <c r="AF179" s="375" t="s">
        <v>887</v>
      </c>
      <c r="AG179" s="2089">
        <v>374032317</v>
      </c>
      <c r="AH179" s="2144">
        <v>299984495</v>
      </c>
      <c r="AI179" s="2112">
        <f t="shared" si="130"/>
        <v>0.99994831666666661</v>
      </c>
      <c r="AJ179" s="375" t="s">
        <v>887</v>
      </c>
      <c r="AK179" s="1540">
        <v>18822483</v>
      </c>
      <c r="AL179" s="1969">
        <v>55530944</v>
      </c>
      <c r="AM179" s="1257">
        <f t="shared" si="131"/>
        <v>0.18510314666666666</v>
      </c>
      <c r="AN179" s="997">
        <f t="shared" ref="AN179:AN182" si="184">+AH179-AL179</f>
        <v>244453551</v>
      </c>
      <c r="AO179" s="1524" t="s">
        <v>887</v>
      </c>
      <c r="AP179" s="1515">
        <v>0</v>
      </c>
      <c r="AQ179" s="1968">
        <v>355209834</v>
      </c>
      <c r="AR179" s="1968">
        <v>354555261</v>
      </c>
      <c r="AS179" s="1089">
        <f t="shared" si="132"/>
        <v>0.99815722162692155</v>
      </c>
      <c r="AT179" s="1110">
        <v>1120000000</v>
      </c>
      <c r="AU179" s="993">
        <f t="shared" si="177"/>
        <v>428908688</v>
      </c>
      <c r="AV179" s="1257">
        <f t="shared" si="133"/>
        <v>0.38295418571428569</v>
      </c>
      <c r="AW179" s="1328"/>
      <c r="AX179" s="1111"/>
      <c r="AY179" s="190" t="s">
        <v>22</v>
      </c>
      <c r="AZ179" s="1487" t="s">
        <v>890</v>
      </c>
      <c r="BA179" s="1047"/>
      <c r="BB179" s="1047"/>
    </row>
    <row r="180" spans="1:54" ht="50.25" customHeight="1">
      <c r="A180" s="347" t="s">
        <v>623</v>
      </c>
      <c r="B180" s="299" t="s">
        <v>802</v>
      </c>
      <c r="C180" s="1529">
        <v>1</v>
      </c>
      <c r="D180" s="402">
        <v>1</v>
      </c>
      <c r="E180" s="402">
        <v>1</v>
      </c>
      <c r="F180" s="1530">
        <v>1</v>
      </c>
      <c r="G180" s="182">
        <v>1</v>
      </c>
      <c r="H180" s="182">
        <v>0.86</v>
      </c>
      <c r="I180" s="147"/>
      <c r="J180" s="147"/>
      <c r="K180" s="147"/>
      <c r="L180" s="180">
        <f t="shared" si="182"/>
        <v>1</v>
      </c>
      <c r="M180" s="1090">
        <f t="shared" si="182"/>
        <v>1</v>
      </c>
      <c r="N180" s="821">
        <f t="shared" si="174"/>
        <v>0.86</v>
      </c>
      <c r="O180" s="2165" t="s">
        <v>2359</v>
      </c>
      <c r="P180" s="1507"/>
      <c r="Q180" s="2041" t="s">
        <v>2183</v>
      </c>
      <c r="R180" s="1015"/>
      <c r="S180" s="1013" t="s">
        <v>2182</v>
      </c>
      <c r="T180" s="2037" t="s">
        <v>2200</v>
      </c>
      <c r="U180" s="195"/>
      <c r="V180" s="195"/>
      <c r="W180" s="150"/>
      <c r="X180" s="195"/>
      <c r="Y180" s="208">
        <v>4</v>
      </c>
      <c r="Z180" s="1010">
        <f t="shared" si="134"/>
        <v>2.86</v>
      </c>
      <c r="AA180" s="1438">
        <f t="shared" si="183"/>
        <v>0.71499999999999997</v>
      </c>
      <c r="AB180" s="1531">
        <v>0.15</v>
      </c>
      <c r="AC180" s="495">
        <v>0.15</v>
      </c>
      <c r="AD180" s="2033">
        <v>0.17</v>
      </c>
      <c r="AE180" s="538">
        <v>40000000</v>
      </c>
      <c r="AF180" s="371">
        <v>4000000</v>
      </c>
      <c r="AG180" s="2090">
        <v>39378784</v>
      </c>
      <c r="AH180" s="2144">
        <v>39979542</v>
      </c>
      <c r="AI180" s="1993">
        <f t="shared" si="130"/>
        <v>0.99948855000000003</v>
      </c>
      <c r="AJ180" s="371">
        <v>0</v>
      </c>
      <c r="AK180" s="542">
        <v>37991373</v>
      </c>
      <c r="AL180" s="1969">
        <v>38483885</v>
      </c>
      <c r="AM180" s="1134">
        <f t="shared" si="131"/>
        <v>0.962097125</v>
      </c>
      <c r="AN180" s="997">
        <f t="shared" si="184"/>
        <v>1495657</v>
      </c>
      <c r="AO180" s="1532">
        <v>4000000</v>
      </c>
      <c r="AP180" s="371">
        <v>4000000</v>
      </c>
      <c r="AQ180" s="2010">
        <v>1387411</v>
      </c>
      <c r="AR180" s="2010">
        <v>1331802</v>
      </c>
      <c r="AS180" s="1089">
        <f t="shared" si="132"/>
        <v>0.95991887047169155</v>
      </c>
      <c r="AT180" s="1118">
        <v>140000000</v>
      </c>
      <c r="AU180" s="993">
        <f t="shared" si="177"/>
        <v>81807060</v>
      </c>
      <c r="AV180" s="1139">
        <f t="shared" si="133"/>
        <v>0.58433614285714286</v>
      </c>
      <c r="AW180" s="1140"/>
      <c r="AX180" s="1119"/>
      <c r="AY180" s="152" t="s">
        <v>302</v>
      </c>
      <c r="AZ180" s="1533" t="s">
        <v>890</v>
      </c>
      <c r="BA180" s="93"/>
      <c r="BB180" s="93"/>
    </row>
    <row r="181" spans="1:54" ht="47.25" customHeight="1">
      <c r="A181" s="351" t="s">
        <v>624</v>
      </c>
      <c r="B181" s="448" t="s">
        <v>803</v>
      </c>
      <c r="C181" s="1519">
        <v>0</v>
      </c>
      <c r="D181" s="401">
        <v>2</v>
      </c>
      <c r="E181" s="401">
        <v>0</v>
      </c>
      <c r="F181" s="213">
        <v>0</v>
      </c>
      <c r="G181" s="147">
        <v>0</v>
      </c>
      <c r="H181" s="147">
        <v>0</v>
      </c>
      <c r="I181" s="147"/>
      <c r="J181" s="147">
        <v>1</v>
      </c>
      <c r="K181" s="147"/>
      <c r="L181" s="180" t="e">
        <f t="shared" si="182"/>
        <v>#DIV/0!</v>
      </c>
      <c r="M181" s="1090">
        <f t="shared" si="182"/>
        <v>0.5</v>
      </c>
      <c r="N181" s="821" t="s">
        <v>2163</v>
      </c>
      <c r="O181" s="2165"/>
      <c r="P181" s="1507"/>
      <c r="Q181" s="101"/>
      <c r="R181" s="104"/>
      <c r="S181" s="146"/>
      <c r="T181" s="2038"/>
      <c r="U181" s="195"/>
      <c r="V181" s="195"/>
      <c r="W181" s="150"/>
      <c r="X181" s="195"/>
      <c r="Y181" s="241">
        <v>2</v>
      </c>
      <c r="Z181" s="1008">
        <f t="shared" si="134"/>
        <v>1</v>
      </c>
      <c r="AA181" s="1438">
        <f t="shared" si="183"/>
        <v>0.5</v>
      </c>
      <c r="AB181" s="1541">
        <v>0.08</v>
      </c>
      <c r="AC181" s="496">
        <v>0.08</v>
      </c>
      <c r="AD181" s="496">
        <v>0</v>
      </c>
      <c r="AE181" s="538">
        <v>0</v>
      </c>
      <c r="AF181" s="375" t="s">
        <v>887</v>
      </c>
      <c r="AG181" s="2090">
        <f>40285225*0.81</f>
        <v>32631032.250000004</v>
      </c>
      <c r="AH181" s="2144">
        <v>0</v>
      </c>
      <c r="AI181" s="1993" t="e">
        <f t="shared" si="130"/>
        <v>#DIV/0!</v>
      </c>
      <c r="AJ181" s="375" t="s">
        <v>887</v>
      </c>
      <c r="AK181" s="542">
        <f>36548093*0.81</f>
        <v>29603955.330000002</v>
      </c>
      <c r="AL181" s="1969">
        <v>0</v>
      </c>
      <c r="AM181" s="1139" t="e">
        <f t="shared" si="131"/>
        <v>#DIV/0!</v>
      </c>
      <c r="AN181" s="997">
        <f t="shared" si="184"/>
        <v>0</v>
      </c>
      <c r="AO181" s="1524" t="s">
        <v>887</v>
      </c>
      <c r="AP181" s="1515">
        <v>0</v>
      </c>
      <c r="AQ181" s="1968"/>
      <c r="AR181" s="1968"/>
      <c r="AS181" s="1089" t="e">
        <f t="shared" si="132"/>
        <v>#DIV/0!</v>
      </c>
      <c r="AT181" s="1118">
        <v>85000000</v>
      </c>
      <c r="AU181" s="993">
        <f t="shared" si="177"/>
        <v>29603955.330000002</v>
      </c>
      <c r="AV181" s="1139">
        <f t="shared" si="133"/>
        <v>0.34828182741176472</v>
      </c>
      <c r="AW181" s="1140"/>
      <c r="AX181" s="1119"/>
      <c r="AY181" s="152" t="s">
        <v>302</v>
      </c>
      <c r="AZ181" s="2298" t="s">
        <v>890</v>
      </c>
      <c r="BA181" s="93"/>
      <c r="BB181" s="93"/>
    </row>
    <row r="182" spans="1:54" ht="47.25" customHeight="1" thickBot="1">
      <c r="A182" s="1542" t="s">
        <v>625</v>
      </c>
      <c r="B182" s="299" t="s">
        <v>804</v>
      </c>
      <c r="C182" s="1534">
        <v>2</v>
      </c>
      <c r="D182" s="847">
        <v>2</v>
      </c>
      <c r="E182" s="401">
        <v>4</v>
      </c>
      <c r="F182" s="870">
        <v>0</v>
      </c>
      <c r="G182" s="860">
        <v>0</v>
      </c>
      <c r="H182" s="147">
        <v>3</v>
      </c>
      <c r="I182" s="860">
        <v>0</v>
      </c>
      <c r="J182" s="860">
        <v>2</v>
      </c>
      <c r="K182" s="860"/>
      <c r="L182" s="1021">
        <f t="shared" si="182"/>
        <v>0</v>
      </c>
      <c r="M182" s="1090">
        <f t="shared" si="182"/>
        <v>1</v>
      </c>
      <c r="N182" s="821">
        <f t="shared" si="174"/>
        <v>0.75</v>
      </c>
      <c r="O182" s="2165" t="s">
        <v>2360</v>
      </c>
      <c r="P182" s="1507"/>
      <c r="Q182" s="2041" t="s">
        <v>2183</v>
      </c>
      <c r="R182" s="1015"/>
      <c r="S182" s="1013" t="s">
        <v>2182</v>
      </c>
      <c r="T182" s="2038" t="s">
        <v>2201</v>
      </c>
      <c r="U182" s="195"/>
      <c r="V182" s="195"/>
      <c r="W182" s="1024"/>
      <c r="X182" s="195"/>
      <c r="Y182" s="241">
        <v>4</v>
      </c>
      <c r="Z182" s="1130">
        <f t="shared" si="134"/>
        <v>5</v>
      </c>
      <c r="AA182" s="1430">
        <f t="shared" si="183"/>
        <v>1</v>
      </c>
      <c r="AB182" s="1531">
        <v>7.0000000000000007E-2</v>
      </c>
      <c r="AC182" s="495">
        <v>7.0000000000000007E-2</v>
      </c>
      <c r="AD182" s="496">
        <v>0.1</v>
      </c>
      <c r="AE182" s="1543">
        <v>69747465</v>
      </c>
      <c r="AF182" s="1536" t="s">
        <v>887</v>
      </c>
      <c r="AG182" s="2091">
        <f>40285225*0.19</f>
        <v>7654192.75</v>
      </c>
      <c r="AH182" s="2144">
        <v>67032391</v>
      </c>
      <c r="AI182" s="1997">
        <f t="shared" si="130"/>
        <v>0.96107279311154892</v>
      </c>
      <c r="AJ182" s="1536" t="s">
        <v>887</v>
      </c>
      <c r="AK182" s="1535">
        <f>36548093*0.19</f>
        <v>6944137.6699999999</v>
      </c>
      <c r="AL182" s="1969">
        <v>65930327</v>
      </c>
      <c r="AM182" s="1139">
        <f t="shared" si="131"/>
        <v>0.94527201812997796</v>
      </c>
      <c r="AN182" s="997">
        <f t="shared" si="184"/>
        <v>1102064</v>
      </c>
      <c r="AO182" s="1537" t="s">
        <v>887</v>
      </c>
      <c r="AP182" s="1515">
        <v>0</v>
      </c>
      <c r="AQ182" s="1968">
        <v>3737132</v>
      </c>
      <c r="AR182" s="1968">
        <v>3555640</v>
      </c>
      <c r="AS182" s="1136">
        <f t="shared" si="132"/>
        <v>0.95143548582174775</v>
      </c>
      <c r="AT182" s="1138">
        <v>100000000</v>
      </c>
      <c r="AU182" s="993">
        <f t="shared" si="177"/>
        <v>76430104.670000002</v>
      </c>
      <c r="AV182" s="1139">
        <f t="shared" si="133"/>
        <v>0.76430104669999999</v>
      </c>
      <c r="AW182" s="1140"/>
      <c r="AX182" s="1140"/>
      <c r="AY182" s="189" t="s">
        <v>302</v>
      </c>
      <c r="AZ182" s="2289"/>
      <c r="BA182" s="1037"/>
      <c r="BB182" s="1037"/>
    </row>
    <row r="183" spans="1:54" ht="39.75" customHeight="1" thickBot="1">
      <c r="A183" s="961" t="s">
        <v>484</v>
      </c>
      <c r="B183" s="962"/>
      <c r="C183" s="861"/>
      <c r="D183" s="826"/>
      <c r="E183" s="223"/>
      <c r="F183" s="963"/>
      <c r="G183" s="861"/>
      <c r="H183" s="139"/>
      <c r="I183" s="861"/>
      <c r="J183" s="861"/>
      <c r="K183" s="861"/>
      <c r="L183" s="964">
        <f>+(L185*34%)+(L186*33%)+(L187*33%)</f>
        <v>1</v>
      </c>
      <c r="M183" s="973">
        <f>+SUMPRODUCT(M184:M189,AC184:AC189)</f>
        <v>0.69565217391304346</v>
      </c>
      <c r="N183" s="973">
        <f>+SUMPRODUCT(N184:N189,AD184:AD189)</f>
        <v>1</v>
      </c>
      <c r="O183" s="965"/>
      <c r="P183" s="284"/>
      <c r="Q183" s="966"/>
      <c r="R183" s="965"/>
      <c r="S183" s="965"/>
      <c r="T183" s="1466"/>
      <c r="U183" s="1466"/>
      <c r="V183" s="1466"/>
      <c r="W183" s="1099"/>
      <c r="X183" s="1466"/>
      <c r="Y183" s="1467"/>
      <c r="Z183" s="969">
        <f t="shared" si="134"/>
        <v>0</v>
      </c>
      <c r="AA183" s="1199">
        <f>+SUMPRODUCT(AA184:AA189,AB184:AB189)</f>
        <v>0.7</v>
      </c>
      <c r="AB183" s="964">
        <v>0.3</v>
      </c>
      <c r="AC183" s="879">
        <v>0.3</v>
      </c>
      <c r="AD183" s="471">
        <v>0.3</v>
      </c>
      <c r="AE183" s="971">
        <v>507100000</v>
      </c>
      <c r="AF183" s="971">
        <f>SUM(AF184:AF189)</f>
        <v>112250000</v>
      </c>
      <c r="AG183" s="962">
        <f>SUM(AG184:AG189)</f>
        <v>985882952</v>
      </c>
      <c r="AH183" s="2115">
        <f>SUM(AH184:AH189)</f>
        <v>503140707</v>
      </c>
      <c r="AI183" s="1984">
        <f t="shared" si="130"/>
        <v>0.99219228357325973</v>
      </c>
      <c r="AJ183" s="971">
        <f>SUM(AJ184:AJ189)</f>
        <v>76400000</v>
      </c>
      <c r="AK183" s="971">
        <f>SUM(AK184:AK189)</f>
        <v>608304230</v>
      </c>
      <c r="AL183" s="971">
        <f>SUM(AL184:AL189)</f>
        <v>414078182</v>
      </c>
      <c r="AM183" s="973">
        <f t="shared" si="131"/>
        <v>0.81656119503056601</v>
      </c>
      <c r="AN183" s="974">
        <f>SUM(AN184:AN189)</f>
        <v>89062525</v>
      </c>
      <c r="AO183" s="965">
        <f>SUM(AO184:AO189)</f>
        <v>35850000</v>
      </c>
      <c r="AP183" s="971">
        <f>SUM(AP184:AP189)</f>
        <v>28850000</v>
      </c>
      <c r="AQ183" s="971">
        <f>SUM(AQ184:AQ189)</f>
        <v>377578722</v>
      </c>
      <c r="AR183" s="971">
        <f>SUM(AR184:AR189)</f>
        <v>376012435</v>
      </c>
      <c r="AS183" s="967">
        <f t="shared" si="132"/>
        <v>0.99585176041779178</v>
      </c>
      <c r="AT183" s="971">
        <f t="shared" ref="AT183:AU183" si="185">SUM(AT184:AT189)</f>
        <v>2260000000</v>
      </c>
      <c r="AU183" s="971">
        <f t="shared" si="185"/>
        <v>1503644847</v>
      </c>
      <c r="AV183" s="964">
        <f t="shared" si="133"/>
        <v>0.66532957831858408</v>
      </c>
      <c r="AW183" s="975"/>
      <c r="AX183" s="975"/>
      <c r="AY183" s="283"/>
      <c r="AZ183" s="974"/>
      <c r="BA183" s="286"/>
      <c r="BB183" s="286"/>
    </row>
    <row r="184" spans="1:54" ht="50.25" customHeight="1">
      <c r="A184" s="350" t="s">
        <v>626</v>
      </c>
      <c r="B184" s="454" t="s">
        <v>776</v>
      </c>
      <c r="C184" s="1544">
        <v>0</v>
      </c>
      <c r="D184" s="403">
        <v>2</v>
      </c>
      <c r="E184" s="403">
        <v>0</v>
      </c>
      <c r="F184" s="978">
        <v>0</v>
      </c>
      <c r="G184" s="858">
        <v>0</v>
      </c>
      <c r="H184" s="147">
        <v>0</v>
      </c>
      <c r="I184" s="858"/>
      <c r="J184" s="858"/>
      <c r="K184" s="858"/>
      <c r="L184" s="821" t="e">
        <f t="shared" ref="L184:M189" si="186">IF((F184+I184)/C184&gt;=100%,100%,(F184+I184)/C184)</f>
        <v>#DIV/0!</v>
      </c>
      <c r="M184" s="1090">
        <f t="shared" si="186"/>
        <v>0</v>
      </c>
      <c r="N184" s="821" t="s">
        <v>2163</v>
      </c>
      <c r="O184" s="2165"/>
      <c r="Q184" s="983"/>
      <c r="R184" s="984"/>
      <c r="S184" s="982"/>
      <c r="T184" s="1470"/>
      <c r="U184" s="1470"/>
      <c r="V184" s="1470"/>
      <c r="W184" s="985"/>
      <c r="X184" s="1470"/>
      <c r="Y184" s="1471">
        <v>4</v>
      </c>
      <c r="Z184" s="986">
        <f t="shared" si="134"/>
        <v>0</v>
      </c>
      <c r="AA184" s="1438">
        <f t="shared" ref="AA184:AA189" si="187">IF(Z184/Y184&gt;=100%,100%,Z184/Y184)</f>
        <v>0</v>
      </c>
      <c r="AB184" s="1545">
        <v>0.3</v>
      </c>
      <c r="AC184" s="497">
        <v>0.3</v>
      </c>
      <c r="AD184" s="497">
        <v>0</v>
      </c>
      <c r="AE184" s="539">
        <v>0</v>
      </c>
      <c r="AF184" s="539" t="s">
        <v>887</v>
      </c>
      <c r="AG184" s="2085">
        <v>374099447</v>
      </c>
      <c r="AH184" s="2139">
        <v>0</v>
      </c>
      <c r="AI184" s="2112" t="e">
        <f t="shared" si="130"/>
        <v>#DIV/0!</v>
      </c>
      <c r="AJ184" s="539" t="s">
        <v>887</v>
      </c>
      <c r="AK184" s="539">
        <v>360589843</v>
      </c>
      <c r="AL184" s="1483">
        <v>0</v>
      </c>
      <c r="AM184" s="1425" t="e">
        <f t="shared" si="131"/>
        <v>#DIV/0!</v>
      </c>
      <c r="AN184" s="997">
        <f t="shared" ref="AN184:AN189" si="188">+AH184-AL184</f>
        <v>0</v>
      </c>
      <c r="AO184" s="1486" t="s">
        <v>887</v>
      </c>
      <c r="AP184" s="1515">
        <v>0</v>
      </c>
      <c r="AQ184" s="1483">
        <v>13509604</v>
      </c>
      <c r="AR184" s="1483">
        <v>12862284</v>
      </c>
      <c r="AS184" s="1089">
        <f t="shared" si="132"/>
        <v>0.95208445784199147</v>
      </c>
      <c r="AT184" s="1110">
        <v>800000000</v>
      </c>
      <c r="AU184" s="993">
        <f t="shared" si="177"/>
        <v>373452127</v>
      </c>
      <c r="AV184" s="1257">
        <f t="shared" si="133"/>
        <v>0.46681515875000001</v>
      </c>
      <c r="AW184" s="1328"/>
      <c r="AX184" s="1111"/>
      <c r="AY184" s="981" t="s">
        <v>302</v>
      </c>
      <c r="AZ184" s="454" t="s">
        <v>918</v>
      </c>
      <c r="BA184" s="1047"/>
      <c r="BB184" s="1047"/>
    </row>
    <row r="185" spans="1:54" ht="89.25" customHeight="1">
      <c r="A185" s="350" t="s">
        <v>627</v>
      </c>
      <c r="B185" s="454" t="s">
        <v>879</v>
      </c>
      <c r="C185" s="1544">
        <v>23</v>
      </c>
      <c r="D185" s="403">
        <v>23</v>
      </c>
      <c r="E185" s="403">
        <v>22</v>
      </c>
      <c r="F185" s="213">
        <v>23</v>
      </c>
      <c r="G185" s="147">
        <v>22</v>
      </c>
      <c r="H185" s="147">
        <v>22</v>
      </c>
      <c r="I185" s="147"/>
      <c r="J185" s="147"/>
      <c r="K185" s="147"/>
      <c r="L185" s="180">
        <f t="shared" si="186"/>
        <v>1</v>
      </c>
      <c r="M185" s="1090">
        <f t="shared" si="186"/>
        <v>0.95652173913043481</v>
      </c>
      <c r="N185" s="821">
        <f t="shared" si="174"/>
        <v>1</v>
      </c>
      <c r="O185" s="2165" t="s">
        <v>2361</v>
      </c>
      <c r="P185" s="1507"/>
      <c r="Q185" s="2041" t="s">
        <v>2183</v>
      </c>
      <c r="R185" s="1015"/>
      <c r="S185" s="1013" t="s">
        <v>2182</v>
      </c>
      <c r="T185" s="2038" t="s">
        <v>2202</v>
      </c>
      <c r="U185" s="195"/>
      <c r="V185" s="195"/>
      <c r="W185" s="150"/>
      <c r="X185" s="195"/>
      <c r="Y185" s="241">
        <v>22</v>
      </c>
      <c r="Z185" s="242">
        <f t="shared" si="134"/>
        <v>67</v>
      </c>
      <c r="AA185" s="1438">
        <f t="shared" si="187"/>
        <v>1</v>
      </c>
      <c r="AB185" s="1546">
        <v>0.1</v>
      </c>
      <c r="AC185" s="498">
        <v>0.1</v>
      </c>
      <c r="AD185" s="498">
        <v>0.2</v>
      </c>
      <c r="AE185" s="605">
        <v>60800000</v>
      </c>
      <c r="AF185" s="539">
        <v>40000000</v>
      </c>
      <c r="AG185" s="2085">
        <v>49223482</v>
      </c>
      <c r="AH185" s="2139">
        <v>60592560</v>
      </c>
      <c r="AI185" s="1993">
        <f t="shared" si="130"/>
        <v>0.99658815789473687</v>
      </c>
      <c r="AJ185" s="539">
        <v>29400000</v>
      </c>
      <c r="AK185" s="539">
        <v>47478795</v>
      </c>
      <c r="AL185" s="1483">
        <v>57729805</v>
      </c>
      <c r="AM185" s="1134">
        <f t="shared" si="131"/>
        <v>0.94950337171052634</v>
      </c>
      <c r="AN185" s="997">
        <f t="shared" si="188"/>
        <v>2862755</v>
      </c>
      <c r="AO185" s="1486">
        <v>10600000</v>
      </c>
      <c r="AP185" s="539">
        <v>3600000</v>
      </c>
      <c r="AQ185" s="1483">
        <v>1744687</v>
      </c>
      <c r="AR185" s="1483">
        <v>1675176</v>
      </c>
      <c r="AS185" s="1089">
        <f t="shared" si="132"/>
        <v>0.96015846968539342</v>
      </c>
      <c r="AT185" s="1117">
        <v>560000000</v>
      </c>
      <c r="AU185" s="993">
        <f t="shared" si="177"/>
        <v>139883776</v>
      </c>
      <c r="AV185" s="1139">
        <f t="shared" si="133"/>
        <v>0.24979245714285714</v>
      </c>
      <c r="AW185" s="1140"/>
      <c r="AX185" s="1119"/>
      <c r="AY185" s="1012" t="s">
        <v>20</v>
      </c>
      <c r="AZ185" s="455" t="s">
        <v>919</v>
      </c>
      <c r="BA185" s="93"/>
      <c r="BB185" s="93"/>
    </row>
    <row r="186" spans="1:54" ht="57" customHeight="1">
      <c r="A186" s="350" t="s">
        <v>628</v>
      </c>
      <c r="B186" s="454" t="s">
        <v>805</v>
      </c>
      <c r="C186" s="1547">
        <v>1</v>
      </c>
      <c r="D186" s="404">
        <v>1</v>
      </c>
      <c r="E186" s="404">
        <v>1</v>
      </c>
      <c r="F186" s="1548">
        <v>1</v>
      </c>
      <c r="G186" s="182">
        <v>1</v>
      </c>
      <c r="H186" s="182">
        <v>1</v>
      </c>
      <c r="I186" s="147"/>
      <c r="J186" s="147"/>
      <c r="K186" s="147"/>
      <c r="L186" s="180">
        <f t="shared" si="186"/>
        <v>1</v>
      </c>
      <c r="M186" s="1090">
        <f t="shared" si="186"/>
        <v>1</v>
      </c>
      <c r="N186" s="821">
        <f t="shared" si="174"/>
        <v>1</v>
      </c>
      <c r="O186" s="2165" t="s">
        <v>2362</v>
      </c>
      <c r="P186" s="1507"/>
      <c r="Q186" s="2041" t="s">
        <v>2183</v>
      </c>
      <c r="R186" s="1015"/>
      <c r="S186" s="1013" t="s">
        <v>2182</v>
      </c>
      <c r="T186" s="2038" t="s">
        <v>2203</v>
      </c>
      <c r="U186" s="195"/>
      <c r="V186" s="195"/>
      <c r="W186" s="150"/>
      <c r="X186" s="195"/>
      <c r="Y186" s="208">
        <v>1</v>
      </c>
      <c r="Z186" s="242">
        <f t="shared" si="134"/>
        <v>3</v>
      </c>
      <c r="AA186" s="1438">
        <f t="shared" si="187"/>
        <v>1</v>
      </c>
      <c r="AB186" s="1549">
        <v>0.1</v>
      </c>
      <c r="AC186" s="499">
        <v>0.1</v>
      </c>
      <c r="AD186" s="499">
        <v>0.2</v>
      </c>
      <c r="AE186" s="605">
        <v>56300000</v>
      </c>
      <c r="AF186" s="539">
        <v>37050000</v>
      </c>
      <c r="AG186" s="2085">
        <v>49223482</v>
      </c>
      <c r="AH186" s="2139">
        <v>53149498</v>
      </c>
      <c r="AI186" s="1993">
        <f t="shared" si="130"/>
        <v>0.94404081705150977</v>
      </c>
      <c r="AJ186" s="539">
        <v>24800000</v>
      </c>
      <c r="AK186" s="539">
        <v>47478795</v>
      </c>
      <c r="AL186" s="1483">
        <v>50628865</v>
      </c>
      <c r="AM186" s="1134">
        <f t="shared" si="131"/>
        <v>0.89926936056838369</v>
      </c>
      <c r="AN186" s="997">
        <f t="shared" si="188"/>
        <v>2520633</v>
      </c>
      <c r="AO186" s="1486">
        <v>12250000</v>
      </c>
      <c r="AP186" s="539">
        <v>12250000</v>
      </c>
      <c r="AQ186" s="1483">
        <v>1744687</v>
      </c>
      <c r="AR186" s="1483">
        <v>1675176</v>
      </c>
      <c r="AS186" s="1089">
        <f t="shared" si="132"/>
        <v>0.96015846968539342</v>
      </c>
      <c r="AT186" s="1117">
        <v>0</v>
      </c>
      <c r="AU186" s="993">
        <f t="shared" si="177"/>
        <v>136832836</v>
      </c>
      <c r="AV186" s="1139" t="e">
        <f t="shared" si="133"/>
        <v>#DIV/0!</v>
      </c>
      <c r="AW186" s="1140"/>
      <c r="AX186" s="1119"/>
      <c r="AY186" s="1012" t="s">
        <v>302</v>
      </c>
      <c r="AZ186" s="455" t="s">
        <v>909</v>
      </c>
      <c r="BA186" s="93"/>
      <c r="BB186" s="93"/>
    </row>
    <row r="187" spans="1:54" ht="68.25" customHeight="1">
      <c r="A187" s="350" t="s">
        <v>629</v>
      </c>
      <c r="B187" s="455" t="s">
        <v>880</v>
      </c>
      <c r="C187" s="1547">
        <v>1</v>
      </c>
      <c r="D187" s="404">
        <v>1</v>
      </c>
      <c r="E187" s="404">
        <v>1</v>
      </c>
      <c r="F187" s="1548">
        <v>1</v>
      </c>
      <c r="G187" s="182">
        <v>1</v>
      </c>
      <c r="H187" s="681">
        <v>1</v>
      </c>
      <c r="I187" s="147"/>
      <c r="J187" s="147"/>
      <c r="K187" s="147"/>
      <c r="L187" s="180">
        <f t="shared" si="186"/>
        <v>1</v>
      </c>
      <c r="M187" s="1090">
        <f t="shared" si="186"/>
        <v>1</v>
      </c>
      <c r="N187" s="821">
        <f t="shared" si="174"/>
        <v>1</v>
      </c>
      <c r="O187" s="2165" t="s">
        <v>2363</v>
      </c>
      <c r="P187" s="1507"/>
      <c r="Q187" s="2041" t="s">
        <v>2183</v>
      </c>
      <c r="R187" s="1015"/>
      <c r="S187" s="1013" t="s">
        <v>2182</v>
      </c>
      <c r="T187" s="2037" t="s">
        <v>2204</v>
      </c>
      <c r="U187" s="195"/>
      <c r="V187" s="195"/>
      <c r="W187" s="150"/>
      <c r="X187" s="195"/>
      <c r="Y187" s="208">
        <v>1</v>
      </c>
      <c r="Z187" s="242">
        <f t="shared" si="134"/>
        <v>3</v>
      </c>
      <c r="AA187" s="1438">
        <f t="shared" si="187"/>
        <v>1</v>
      </c>
      <c r="AB187" s="1550">
        <v>0.1</v>
      </c>
      <c r="AC187" s="500">
        <v>0.1</v>
      </c>
      <c r="AD187" s="500">
        <v>0.2</v>
      </c>
      <c r="AE187" s="605">
        <v>40000000</v>
      </c>
      <c r="AF187" s="539">
        <v>35200000</v>
      </c>
      <c r="AG187" s="2085">
        <v>39466418</v>
      </c>
      <c r="AH187" s="2139">
        <v>39979542</v>
      </c>
      <c r="AI187" s="1993">
        <f t="shared" si="130"/>
        <v>0.99948855000000003</v>
      </c>
      <c r="AJ187" s="539">
        <v>22200000</v>
      </c>
      <c r="AK187" s="539">
        <v>37943187</v>
      </c>
      <c r="AL187" s="1483">
        <v>38483885</v>
      </c>
      <c r="AM187" s="1134">
        <f t="shared" si="131"/>
        <v>0.962097125</v>
      </c>
      <c r="AN187" s="997">
        <f t="shared" si="188"/>
        <v>1495657</v>
      </c>
      <c r="AO187" s="1486">
        <v>13000000</v>
      </c>
      <c r="AP187" s="539">
        <v>13000000</v>
      </c>
      <c r="AQ187" s="1483">
        <v>1523231</v>
      </c>
      <c r="AR187" s="1483">
        <v>1472867</v>
      </c>
      <c r="AS187" s="1089">
        <f t="shared" si="132"/>
        <v>0.96693607207311305</v>
      </c>
      <c r="AT187" s="1117">
        <v>0</v>
      </c>
      <c r="AU187" s="993">
        <f t="shared" si="177"/>
        <v>113099939</v>
      </c>
      <c r="AV187" s="1130" t="e">
        <f t="shared" si="133"/>
        <v>#DIV/0!</v>
      </c>
      <c r="AW187" s="1140"/>
      <c r="AX187" s="1119"/>
      <c r="AY187" s="1012" t="s">
        <v>29</v>
      </c>
      <c r="AZ187" s="455" t="s">
        <v>901</v>
      </c>
      <c r="BA187" s="93"/>
      <c r="BB187" s="93"/>
    </row>
    <row r="188" spans="1:54" ht="106.5" customHeight="1">
      <c r="A188" s="350" t="s">
        <v>630</v>
      </c>
      <c r="B188" s="454" t="s">
        <v>806</v>
      </c>
      <c r="C188" s="1544">
        <v>0</v>
      </c>
      <c r="D188" s="403">
        <v>1</v>
      </c>
      <c r="E188" s="403">
        <v>0</v>
      </c>
      <c r="F188" s="1551">
        <v>0</v>
      </c>
      <c r="G188" s="147">
        <v>0</v>
      </c>
      <c r="H188" s="147">
        <v>0</v>
      </c>
      <c r="I188" s="147"/>
      <c r="J188" s="147">
        <v>1</v>
      </c>
      <c r="K188" s="147"/>
      <c r="L188" s="180" t="e">
        <f t="shared" si="186"/>
        <v>#DIV/0!</v>
      </c>
      <c r="M188" s="1090">
        <f t="shared" si="186"/>
        <v>1</v>
      </c>
      <c r="N188" s="821" t="s">
        <v>2163</v>
      </c>
      <c r="O188" s="2165"/>
      <c r="P188" s="1507"/>
      <c r="Q188" s="101"/>
      <c r="R188" s="104"/>
      <c r="S188" s="146"/>
      <c r="T188" s="195"/>
      <c r="U188" s="195"/>
      <c r="V188" s="195"/>
      <c r="W188" s="150"/>
      <c r="X188" s="195"/>
      <c r="Y188" s="241">
        <v>1</v>
      </c>
      <c r="Z188" s="242">
        <f t="shared" si="134"/>
        <v>1</v>
      </c>
      <c r="AA188" s="1438">
        <f t="shared" si="187"/>
        <v>1</v>
      </c>
      <c r="AB188" s="1550">
        <v>0.1</v>
      </c>
      <c r="AC188" s="500">
        <v>0.1</v>
      </c>
      <c r="AD188" s="500">
        <v>0</v>
      </c>
      <c r="AE188" s="539">
        <v>0</v>
      </c>
      <c r="AF188" s="539" t="s">
        <v>887</v>
      </c>
      <c r="AG188" s="2085">
        <v>98446960</v>
      </c>
      <c r="AH188" s="2139">
        <v>0</v>
      </c>
      <c r="AI188" s="1993" t="e">
        <f t="shared" si="130"/>
        <v>#DIV/0!</v>
      </c>
      <c r="AJ188" s="539" t="s">
        <v>887</v>
      </c>
      <c r="AK188" s="539">
        <v>51582590</v>
      </c>
      <c r="AL188" s="1483">
        <v>0</v>
      </c>
      <c r="AM188" s="1134" t="e">
        <f t="shared" si="131"/>
        <v>#DIV/0!</v>
      </c>
      <c r="AN188" s="997">
        <f t="shared" si="188"/>
        <v>0</v>
      </c>
      <c r="AO188" s="1486" t="s">
        <v>887</v>
      </c>
      <c r="AP188" s="1515">
        <v>0</v>
      </c>
      <c r="AQ188" s="1483">
        <v>46864370</v>
      </c>
      <c r="AR188" s="1483">
        <v>46676104</v>
      </c>
      <c r="AS188" s="1089">
        <f t="shared" si="132"/>
        <v>0.99598274766096295</v>
      </c>
      <c r="AT188" s="1118">
        <v>100000000</v>
      </c>
      <c r="AU188" s="993">
        <f t="shared" si="177"/>
        <v>98258694</v>
      </c>
      <c r="AV188" s="1134">
        <f t="shared" si="133"/>
        <v>0.98258694000000002</v>
      </c>
      <c r="AW188" s="1140"/>
      <c r="AX188" s="1119"/>
      <c r="AY188" s="1012" t="s">
        <v>302</v>
      </c>
      <c r="AZ188" s="455" t="s">
        <v>919</v>
      </c>
      <c r="BA188" s="93"/>
      <c r="BB188" s="93"/>
    </row>
    <row r="189" spans="1:54" ht="94.5" customHeight="1">
      <c r="A189" s="350" t="s">
        <v>631</v>
      </c>
      <c r="B189" s="454" t="s">
        <v>807</v>
      </c>
      <c r="C189" s="1544">
        <v>0</v>
      </c>
      <c r="D189" s="403">
        <v>2</v>
      </c>
      <c r="E189" s="403">
        <v>2</v>
      </c>
      <c r="F189" s="1551">
        <v>0</v>
      </c>
      <c r="G189" s="147">
        <v>0</v>
      </c>
      <c r="H189" s="147">
        <v>2</v>
      </c>
      <c r="I189" s="147"/>
      <c r="J189" s="147">
        <v>2</v>
      </c>
      <c r="K189" s="147"/>
      <c r="L189" s="180" t="e">
        <f t="shared" si="186"/>
        <v>#DIV/0!</v>
      </c>
      <c r="M189" s="1090">
        <f t="shared" si="186"/>
        <v>1</v>
      </c>
      <c r="N189" s="821">
        <f t="shared" si="174"/>
        <v>1</v>
      </c>
      <c r="O189" s="2165" t="s">
        <v>2364</v>
      </c>
      <c r="P189" s="1507"/>
      <c r="Q189" s="2041" t="s">
        <v>2183</v>
      </c>
      <c r="R189" s="1015"/>
      <c r="S189" s="1013" t="s">
        <v>2182</v>
      </c>
      <c r="T189" s="2037" t="s">
        <v>2365</v>
      </c>
      <c r="U189" s="195"/>
      <c r="V189" s="195"/>
      <c r="W189" s="150"/>
      <c r="X189" s="195"/>
      <c r="Y189" s="241">
        <v>4</v>
      </c>
      <c r="Z189" s="242">
        <f t="shared" si="134"/>
        <v>4</v>
      </c>
      <c r="AA189" s="1438">
        <f t="shared" si="187"/>
        <v>1</v>
      </c>
      <c r="AB189" s="1550">
        <v>0.3</v>
      </c>
      <c r="AC189" s="500">
        <v>0.3</v>
      </c>
      <c r="AD189" s="500">
        <v>0.4</v>
      </c>
      <c r="AE189" s="539">
        <v>350000000</v>
      </c>
      <c r="AF189" s="539" t="s">
        <v>887</v>
      </c>
      <c r="AG189" s="2085">
        <v>375423163</v>
      </c>
      <c r="AH189" s="2139">
        <v>349419107</v>
      </c>
      <c r="AI189" s="1993">
        <f t="shared" si="130"/>
        <v>0.99834030571428567</v>
      </c>
      <c r="AJ189" s="539" t="s">
        <v>887</v>
      </c>
      <c r="AK189" s="539">
        <v>63231020</v>
      </c>
      <c r="AL189" s="1483">
        <v>267235627</v>
      </c>
      <c r="AM189" s="1139">
        <f t="shared" si="131"/>
        <v>0.76353036285714282</v>
      </c>
      <c r="AN189" s="997">
        <f t="shared" si="188"/>
        <v>82183480</v>
      </c>
      <c r="AO189" s="1486" t="s">
        <v>887</v>
      </c>
      <c r="AP189" s="1515">
        <v>0</v>
      </c>
      <c r="AQ189" s="1483">
        <v>312192143</v>
      </c>
      <c r="AR189" s="1483">
        <v>311650828</v>
      </c>
      <c r="AS189" s="1089">
        <f t="shared" si="132"/>
        <v>0.99826608384567839</v>
      </c>
      <c r="AT189" s="1118">
        <v>800000000</v>
      </c>
      <c r="AU189" s="993">
        <f t="shared" si="177"/>
        <v>642117475</v>
      </c>
      <c r="AV189" s="1139">
        <f t="shared" si="133"/>
        <v>0.80264684374999995</v>
      </c>
      <c r="AW189" s="1140"/>
      <c r="AX189" s="1119"/>
      <c r="AY189" s="1012" t="s">
        <v>302</v>
      </c>
      <c r="AZ189" s="455" t="s">
        <v>919</v>
      </c>
      <c r="BA189" s="93"/>
      <c r="BB189" s="93"/>
    </row>
    <row r="190" spans="1:54" s="617" customFormat="1" ht="42.75" customHeight="1" thickBot="1">
      <c r="A190" s="1490" t="s">
        <v>434</v>
      </c>
      <c r="B190" s="171"/>
      <c r="C190" s="871"/>
      <c r="D190" s="844"/>
      <c r="E190" s="222"/>
      <c r="F190" s="1491"/>
      <c r="G190" s="871"/>
      <c r="H190" s="129"/>
      <c r="I190" s="871"/>
      <c r="J190" s="871"/>
      <c r="K190" s="871"/>
      <c r="L190" s="915">
        <f>+(L191*100%)</f>
        <v>0.93160000000000009</v>
      </c>
      <c r="M190" s="1492">
        <f>+(M191*AC191)+(M200*AC200)</f>
        <v>0.75187539999999997</v>
      </c>
      <c r="N190" s="1492">
        <f>+(N191*AD191)+(N200*AD200)</f>
        <v>0.72863999999999995</v>
      </c>
      <c r="O190" s="948"/>
      <c r="P190" s="1494"/>
      <c r="Q190" s="172"/>
      <c r="R190" s="1495"/>
      <c r="S190" s="1495"/>
      <c r="T190" s="288"/>
      <c r="U190" s="288"/>
      <c r="V190" s="288"/>
      <c r="W190" s="1496"/>
      <c r="X190" s="288"/>
      <c r="Y190" s="289"/>
      <c r="Z190" s="280">
        <f t="shared" si="134"/>
        <v>0</v>
      </c>
      <c r="AA190" s="1552">
        <f>+(AA191*AB191)+(AA200*AB200)</f>
        <v>0.67882231818181815</v>
      </c>
      <c r="AB190" s="915">
        <v>0.25</v>
      </c>
      <c r="AC190" s="897">
        <v>0.28999999999999998</v>
      </c>
      <c r="AD190" s="470">
        <v>0.25</v>
      </c>
      <c r="AE190" s="1498">
        <v>1760000000</v>
      </c>
      <c r="AF190" s="1498">
        <f>+AF191+AF200</f>
        <v>1771156569</v>
      </c>
      <c r="AG190" s="171">
        <f>+AG191+AG200</f>
        <v>2156403564</v>
      </c>
      <c r="AH190" s="2114">
        <f>+AH191+AH200</f>
        <v>1754989156</v>
      </c>
      <c r="AI190" s="1991">
        <f t="shared" si="130"/>
        <v>0.99715292954545454</v>
      </c>
      <c r="AJ190" s="1498">
        <f>+AJ191+AJ200</f>
        <v>1408480736</v>
      </c>
      <c r="AK190" s="1498">
        <f>+AK191+AK200</f>
        <v>1910274275</v>
      </c>
      <c r="AL190" s="1498">
        <f>+AL191+AL200</f>
        <v>1716641085</v>
      </c>
      <c r="AM190" s="1492">
        <f t="shared" si="131"/>
        <v>0.97536425284090911</v>
      </c>
      <c r="AN190" s="171">
        <f>+AN191+AN200</f>
        <v>38348071</v>
      </c>
      <c r="AO190" s="1495">
        <f>+AO191+AO200</f>
        <v>362675833</v>
      </c>
      <c r="AP190" s="1498">
        <f>+AP191+AP200</f>
        <v>344200542</v>
      </c>
      <c r="AQ190" s="954">
        <f>+AQ191+AQ200</f>
        <v>246129289</v>
      </c>
      <c r="AR190" s="954">
        <f>+AR191+AR200</f>
        <v>207989706</v>
      </c>
      <c r="AS190" s="958">
        <f t="shared" si="132"/>
        <v>0.84504248496813394</v>
      </c>
      <c r="AT190" s="1498">
        <f t="shared" ref="AT190:AU190" si="189">+AT191+AT200</f>
        <v>7110000000</v>
      </c>
      <c r="AU190" s="1498">
        <f t="shared" si="189"/>
        <v>5587586344</v>
      </c>
      <c r="AV190" s="1492">
        <f t="shared" si="133"/>
        <v>0.78587712292545708</v>
      </c>
      <c r="AW190" s="172"/>
      <c r="AX190" s="172" t="s">
        <v>293</v>
      </c>
      <c r="AY190" s="1495"/>
      <c r="AZ190" s="171"/>
      <c r="BA190" s="1493"/>
      <c r="BB190" s="1493"/>
    </row>
    <row r="191" spans="1:54" ht="54" customHeight="1" thickBot="1">
      <c r="A191" s="961" t="s">
        <v>485</v>
      </c>
      <c r="B191" s="962"/>
      <c r="C191" s="861"/>
      <c r="D191" s="826"/>
      <c r="E191" s="223"/>
      <c r="F191" s="963"/>
      <c r="G191" s="861"/>
      <c r="H191" s="139"/>
      <c r="I191" s="861"/>
      <c r="J191" s="861"/>
      <c r="K191" s="861"/>
      <c r="L191" s="964">
        <f>+(L192*36%)+(L193*16%)+(L194*14%)+(L197*18%)+(L198*16%)</f>
        <v>0.93160000000000009</v>
      </c>
      <c r="M191" s="973">
        <f>+SUMPRODUCT(M192:M199,AC192:AC199)</f>
        <v>0.72430600000000001</v>
      </c>
      <c r="N191" s="973">
        <f>+SUMPRODUCT(N192:N199,AD192:AD199)</f>
        <v>0.80959999999999999</v>
      </c>
      <c r="O191" s="965"/>
      <c r="P191" s="284"/>
      <c r="Q191" s="966"/>
      <c r="R191" s="965"/>
      <c r="S191" s="965"/>
      <c r="T191" s="1466"/>
      <c r="U191" s="1466"/>
      <c r="V191" s="1466"/>
      <c r="W191" s="1099"/>
      <c r="X191" s="1466"/>
      <c r="Y191" s="1467"/>
      <c r="Z191" s="969">
        <f t="shared" si="134"/>
        <v>0</v>
      </c>
      <c r="AA191" s="1199">
        <f>+SUMPRODUCT(AA192:AA199,AB192:AB199)</f>
        <v>0.64313590909090901</v>
      </c>
      <c r="AB191" s="964">
        <v>0.9</v>
      </c>
      <c r="AC191" s="879">
        <v>0.9</v>
      </c>
      <c r="AD191" s="471">
        <v>0.9</v>
      </c>
      <c r="AE191" s="971">
        <v>1760000000</v>
      </c>
      <c r="AF191" s="971">
        <f>SUM(AF192:AF199)</f>
        <v>1771156569</v>
      </c>
      <c r="AG191" s="962">
        <f>SUM(AG192:AG199)</f>
        <v>1912286166</v>
      </c>
      <c r="AH191" s="2115">
        <f>SUM(AH192:AH199)</f>
        <v>1754989156</v>
      </c>
      <c r="AI191" s="1984">
        <f t="shared" si="130"/>
        <v>0.99715292954545454</v>
      </c>
      <c r="AJ191" s="971">
        <f>SUM(AJ192:AJ199)</f>
        <v>1408480736</v>
      </c>
      <c r="AK191" s="976">
        <f>SUM(AK192:AK199)</f>
        <v>1688979721</v>
      </c>
      <c r="AL191" s="976">
        <f>SUM(AL192:AL199)</f>
        <v>1716641085</v>
      </c>
      <c r="AM191" s="973">
        <f t="shared" si="131"/>
        <v>0.97536425284090911</v>
      </c>
      <c r="AN191" s="974">
        <f>SUM(AN192:AN199)</f>
        <v>38348071</v>
      </c>
      <c r="AO191" s="965">
        <f>SUM(AO192:AO199)</f>
        <v>362675833</v>
      </c>
      <c r="AP191" s="971">
        <f>SUM(AP192:AP199)</f>
        <v>344200542</v>
      </c>
      <c r="AQ191" s="971">
        <f>SUM(AQ192:AQ199)</f>
        <v>223306445</v>
      </c>
      <c r="AR191" s="971">
        <f>SUM(AR192:AR199)</f>
        <v>191552733</v>
      </c>
      <c r="AS191" s="967">
        <f t="shared" si="132"/>
        <v>0.85780208000713998</v>
      </c>
      <c r="AT191" s="971">
        <f t="shared" ref="AT191:AU191" si="190">SUM(AT192:AT199)</f>
        <v>6860000000</v>
      </c>
      <c r="AU191" s="971">
        <f t="shared" si="190"/>
        <v>5349854817</v>
      </c>
      <c r="AV191" s="973">
        <f t="shared" si="133"/>
        <v>0.77986221822157431</v>
      </c>
      <c r="AW191" s="975"/>
      <c r="AX191" s="975"/>
      <c r="AY191" s="283"/>
      <c r="AZ191" s="974"/>
      <c r="BA191" s="286"/>
      <c r="BB191" s="286"/>
    </row>
    <row r="192" spans="1:54" ht="140.25" customHeight="1">
      <c r="A192" s="346" t="s">
        <v>632</v>
      </c>
      <c r="B192" s="450" t="s">
        <v>808</v>
      </c>
      <c r="C192" s="1553">
        <v>1</v>
      </c>
      <c r="D192" s="405">
        <v>1</v>
      </c>
      <c r="E192" s="405">
        <v>1</v>
      </c>
      <c r="F192" s="1554">
        <v>0.93500000000000005</v>
      </c>
      <c r="G192" s="863">
        <v>0.82</v>
      </c>
      <c r="H192" s="182">
        <v>0.88500000000000001</v>
      </c>
      <c r="I192" s="863">
        <v>2.5000000000000001E-2</v>
      </c>
      <c r="J192" s="863"/>
      <c r="K192" s="863"/>
      <c r="L192" s="1090">
        <f>IF((F192+I192)/C192&gt;=100%,100%,(F192+I192)/C192)</f>
        <v>0.96000000000000008</v>
      </c>
      <c r="M192" s="1090">
        <f t="shared" ref="M192:M199" si="191">IF((G192+J192)/D192&gt;=100%,100%,(G192+J192)/D192)</f>
        <v>0.82</v>
      </c>
      <c r="N192" s="821">
        <f t="shared" ref="N192:N199" si="192">IF((H192/E192)&gt;=100%,100%,(H192/E192))</f>
        <v>0.88500000000000001</v>
      </c>
      <c r="O192" s="2165" t="s">
        <v>2366</v>
      </c>
      <c r="P192" s="1520"/>
      <c r="Q192" s="2041" t="s">
        <v>2183</v>
      </c>
      <c r="R192" s="1015"/>
      <c r="S192" s="1013" t="s">
        <v>2182</v>
      </c>
      <c r="T192" s="2038" t="s">
        <v>2205</v>
      </c>
      <c r="U192" s="1521"/>
      <c r="V192" s="1521"/>
      <c r="W192" s="1088"/>
      <c r="X192" s="1521"/>
      <c r="Y192" s="300">
        <v>4</v>
      </c>
      <c r="Z192" s="1090">
        <f t="shared" si="134"/>
        <v>2.6649999999999996</v>
      </c>
      <c r="AA192" s="1438">
        <f t="shared" ref="AA192:AA199" si="193">IF(Z192/Y192&gt;=100%,100%,Z192/Y192)</f>
        <v>0.6662499999999999</v>
      </c>
      <c r="AB192" s="1555">
        <v>0.3</v>
      </c>
      <c r="AC192" s="884">
        <v>0.31</v>
      </c>
      <c r="AD192" s="2025">
        <v>0.31</v>
      </c>
      <c r="AE192" s="1556">
        <v>600000000</v>
      </c>
      <c r="AF192" s="373">
        <f>299700000+367923631+632082938</f>
        <v>1299706569</v>
      </c>
      <c r="AG192" s="2086">
        <v>591956476</v>
      </c>
      <c r="AH192" s="2140">
        <v>599128503</v>
      </c>
      <c r="AI192" s="2112">
        <f t="shared" si="130"/>
        <v>0.998547505</v>
      </c>
      <c r="AJ192" s="373">
        <v>1110980736</v>
      </c>
      <c r="AK192" s="373">
        <v>533085672</v>
      </c>
      <c r="AL192" s="1970">
        <v>592162763</v>
      </c>
      <c r="AM192" s="1425">
        <f t="shared" si="131"/>
        <v>0.98693793833333332</v>
      </c>
      <c r="AN192" s="997">
        <f t="shared" ref="AN192:AN199" si="194">+AH192-AL192</f>
        <v>6965740</v>
      </c>
      <c r="AO192" s="1503">
        <f>43164523+100161310+45400000</f>
        <v>188725833</v>
      </c>
      <c r="AP192" s="373">
        <f>35671583+89178959+45400000</f>
        <v>170250542</v>
      </c>
      <c r="AQ192" s="1970">
        <v>58870804</v>
      </c>
      <c r="AR192" s="1970">
        <v>38190552</v>
      </c>
      <c r="AS192" s="1089">
        <f t="shared" si="132"/>
        <v>0.64871803007820306</v>
      </c>
      <c r="AT192" s="1110">
        <f>4900000000/2</f>
        <v>2450000000</v>
      </c>
      <c r="AU192" s="993">
        <f t="shared" ref="AU192:AU201" si="195">SUM(AJ192:AL192)+AR192+AP192</f>
        <v>2444670265</v>
      </c>
      <c r="AV192" s="1425">
        <f t="shared" si="133"/>
        <v>0.99782459795918366</v>
      </c>
      <c r="AW192" s="1328"/>
      <c r="AX192" s="1111"/>
      <c r="AY192" s="190" t="s">
        <v>25</v>
      </c>
      <c r="AZ192" s="1504" t="s">
        <v>890</v>
      </c>
      <c r="BA192" s="1047"/>
      <c r="BB192" s="1047"/>
    </row>
    <row r="193" spans="1:54" ht="98.25" customHeight="1">
      <c r="A193" s="346" t="s">
        <v>633</v>
      </c>
      <c r="B193" s="450" t="s">
        <v>809</v>
      </c>
      <c r="C193" s="1553">
        <v>1</v>
      </c>
      <c r="D193" s="405">
        <v>1</v>
      </c>
      <c r="E193" s="405">
        <v>1</v>
      </c>
      <c r="F193" s="301">
        <v>0.85</v>
      </c>
      <c r="G193" s="872">
        <v>0.43</v>
      </c>
      <c r="H193" s="182">
        <v>0.33500000000000002</v>
      </c>
      <c r="I193" s="872">
        <v>0.11</v>
      </c>
      <c r="J193" s="872"/>
      <c r="K193" s="872"/>
      <c r="L193" s="1010">
        <f t="shared" ref="L193:L197" si="196">IF((F193+I193)/C193&gt;=100%,100%,(F193+I193)/C193)</f>
        <v>0.96</v>
      </c>
      <c r="M193" s="1090">
        <f t="shared" si="191"/>
        <v>0.43</v>
      </c>
      <c r="N193" s="821">
        <f t="shared" si="192"/>
        <v>0.33500000000000002</v>
      </c>
      <c r="O193" s="2165" t="s">
        <v>2367</v>
      </c>
      <c r="P193" s="1525"/>
      <c r="Q193" s="2041" t="s">
        <v>2183</v>
      </c>
      <c r="R193" s="1015"/>
      <c r="S193" s="1013" t="s">
        <v>2182</v>
      </c>
      <c r="T193" s="2038" t="s">
        <v>2206</v>
      </c>
      <c r="U193" s="1526"/>
      <c r="V193" s="1526"/>
      <c r="W193" s="1017"/>
      <c r="X193" s="1526"/>
      <c r="Y193" s="300">
        <v>4</v>
      </c>
      <c r="Z193" s="1010">
        <f t="shared" si="134"/>
        <v>1.7250000000000001</v>
      </c>
      <c r="AA193" s="1438">
        <f t="shared" si="193"/>
        <v>0.43125000000000002</v>
      </c>
      <c r="AB193" s="1555">
        <v>0.1</v>
      </c>
      <c r="AC193" s="881">
        <v>0.11</v>
      </c>
      <c r="AD193" s="2025">
        <v>0.11</v>
      </c>
      <c r="AE193" s="606">
        <v>600000000</v>
      </c>
      <c r="AF193" s="373">
        <v>299800000</v>
      </c>
      <c r="AG193" s="2086">
        <v>591956476</v>
      </c>
      <c r="AH193" s="2140">
        <v>598749760</v>
      </c>
      <c r="AI193" s="1993">
        <f t="shared" si="130"/>
        <v>0.99791626666666666</v>
      </c>
      <c r="AJ193" s="373">
        <v>176800000</v>
      </c>
      <c r="AK193" s="373">
        <v>522105349</v>
      </c>
      <c r="AL193" s="1970">
        <v>582148055</v>
      </c>
      <c r="AM193" s="1134">
        <f t="shared" si="131"/>
        <v>0.97024675833333329</v>
      </c>
      <c r="AN193" s="997">
        <f t="shared" si="194"/>
        <v>16601705</v>
      </c>
      <c r="AO193" s="1503">
        <v>123000000</v>
      </c>
      <c r="AP193" s="373">
        <v>123000000</v>
      </c>
      <c r="AQ193" s="1970">
        <v>69851127</v>
      </c>
      <c r="AR193" s="1970">
        <v>69018893</v>
      </c>
      <c r="AS193" s="1089">
        <f t="shared" si="132"/>
        <v>0.98808560382998545</v>
      </c>
      <c r="AT193" s="1118">
        <f>4900000000/2</f>
        <v>2450000000</v>
      </c>
      <c r="AU193" s="993">
        <f t="shared" si="195"/>
        <v>1473072297</v>
      </c>
      <c r="AV193" s="1139">
        <f t="shared" si="133"/>
        <v>0.60125399877551022</v>
      </c>
      <c r="AW193" s="1140"/>
      <c r="AX193" s="1119"/>
      <c r="AY193" s="152" t="s">
        <v>26</v>
      </c>
      <c r="AZ193" s="1557" t="s">
        <v>890</v>
      </c>
      <c r="BA193" s="93"/>
      <c r="BB193" s="93"/>
    </row>
    <row r="194" spans="1:54" ht="93" customHeight="1">
      <c r="A194" s="346" t="s">
        <v>634</v>
      </c>
      <c r="B194" s="456" t="s">
        <v>882</v>
      </c>
      <c r="C194" s="1553">
        <v>1</v>
      </c>
      <c r="D194" s="405">
        <v>1</v>
      </c>
      <c r="E194" s="405">
        <v>1</v>
      </c>
      <c r="F194" s="301">
        <v>0.66</v>
      </c>
      <c r="G194" s="872">
        <v>0.81</v>
      </c>
      <c r="H194" s="681">
        <v>0.83</v>
      </c>
      <c r="I194" s="859"/>
      <c r="J194" s="859"/>
      <c r="K194" s="859"/>
      <c r="L194" s="1010">
        <f t="shared" si="196"/>
        <v>0.66</v>
      </c>
      <c r="M194" s="1090">
        <f t="shared" si="191"/>
        <v>0.81</v>
      </c>
      <c r="N194" s="821">
        <f t="shared" si="192"/>
        <v>0.83</v>
      </c>
      <c r="O194" s="2165" t="s">
        <v>2368</v>
      </c>
      <c r="P194" s="1525"/>
      <c r="Q194" s="2041" t="s">
        <v>2183</v>
      </c>
      <c r="R194" s="1015"/>
      <c r="S194" s="1013" t="s">
        <v>2182</v>
      </c>
      <c r="T194" s="2038" t="s">
        <v>2207</v>
      </c>
      <c r="U194" s="1526"/>
      <c r="V194" s="1526"/>
      <c r="W194" s="1017"/>
      <c r="X194" s="1526"/>
      <c r="Y194" s="300">
        <v>4</v>
      </c>
      <c r="Z194" s="1010">
        <f t="shared" si="134"/>
        <v>2.3000000000000003</v>
      </c>
      <c r="AA194" s="1438">
        <f t="shared" si="193"/>
        <v>0.57500000000000007</v>
      </c>
      <c r="AB194" s="1555">
        <v>0.08</v>
      </c>
      <c r="AC194" s="881">
        <v>0.1</v>
      </c>
      <c r="AD194" s="2025">
        <v>0.11</v>
      </c>
      <c r="AE194" s="540">
        <v>60000000</v>
      </c>
      <c r="AF194" s="373">
        <v>55450000</v>
      </c>
      <c r="AG194" s="2086">
        <v>58918176</v>
      </c>
      <c r="AH194" s="2140">
        <v>59969313</v>
      </c>
      <c r="AI194" s="1993">
        <f t="shared" si="130"/>
        <v>0.99948855000000003</v>
      </c>
      <c r="AJ194" s="373">
        <v>22600000</v>
      </c>
      <c r="AK194" s="373">
        <v>37870506</v>
      </c>
      <c r="AL194" s="1970">
        <v>58380176</v>
      </c>
      <c r="AM194" s="1134">
        <f t="shared" si="131"/>
        <v>0.97300293333333332</v>
      </c>
      <c r="AN194" s="997">
        <f t="shared" si="194"/>
        <v>1589137</v>
      </c>
      <c r="AO194" s="1503">
        <v>32850000</v>
      </c>
      <c r="AP194" s="373">
        <v>32850000</v>
      </c>
      <c r="AQ194" s="1970">
        <v>21047670</v>
      </c>
      <c r="AR194" s="1970">
        <v>16010209</v>
      </c>
      <c r="AS194" s="1089">
        <f t="shared" si="132"/>
        <v>0.76066419703463617</v>
      </c>
      <c r="AT194" s="1118">
        <v>240000000</v>
      </c>
      <c r="AU194" s="993">
        <f t="shared" si="195"/>
        <v>167710891</v>
      </c>
      <c r="AV194" s="1139">
        <f t="shared" si="133"/>
        <v>0.69879537916666667</v>
      </c>
      <c r="AW194" s="1140"/>
      <c r="AX194" s="1119"/>
      <c r="AY194" s="152" t="s">
        <v>302</v>
      </c>
      <c r="AZ194" s="1557" t="s">
        <v>1523</v>
      </c>
      <c r="BA194" s="93"/>
      <c r="BB194" s="93"/>
    </row>
    <row r="195" spans="1:54" ht="90" customHeight="1">
      <c r="A195" s="346" t="s">
        <v>635</v>
      </c>
      <c r="B195" s="450" t="s">
        <v>760</v>
      </c>
      <c r="C195" s="1558">
        <v>0</v>
      </c>
      <c r="D195" s="406">
        <v>1</v>
      </c>
      <c r="E195" s="406">
        <v>0</v>
      </c>
      <c r="F195" s="1559">
        <v>0</v>
      </c>
      <c r="G195" s="859">
        <v>1</v>
      </c>
      <c r="H195" s="147">
        <v>0</v>
      </c>
      <c r="I195" s="859"/>
      <c r="J195" s="859"/>
      <c r="K195" s="859"/>
      <c r="L195" s="1010" t="e">
        <f t="shared" si="196"/>
        <v>#DIV/0!</v>
      </c>
      <c r="M195" s="1090">
        <f t="shared" si="191"/>
        <v>1</v>
      </c>
      <c r="N195" s="821" t="s">
        <v>2163</v>
      </c>
      <c r="O195" s="2165"/>
      <c r="P195" s="1525"/>
      <c r="Q195" s="1014"/>
      <c r="R195" s="1015"/>
      <c r="S195" s="1013"/>
      <c r="T195" s="2037"/>
      <c r="U195" s="1526"/>
      <c r="V195" s="1526"/>
      <c r="W195" s="1017"/>
      <c r="X195" s="1526"/>
      <c r="Y195" s="302">
        <v>1</v>
      </c>
      <c r="Z195" s="1008">
        <f t="shared" si="134"/>
        <v>1</v>
      </c>
      <c r="AA195" s="1438">
        <f t="shared" si="193"/>
        <v>1</v>
      </c>
      <c r="AB195" s="1555">
        <v>0.1</v>
      </c>
      <c r="AC195" s="881">
        <v>0.12</v>
      </c>
      <c r="AD195" s="472">
        <v>0</v>
      </c>
      <c r="AE195" s="540">
        <v>0</v>
      </c>
      <c r="AF195" s="373" t="s">
        <v>887</v>
      </c>
      <c r="AG195" s="2086">
        <v>244443805</v>
      </c>
      <c r="AH195" s="2140">
        <v>0</v>
      </c>
      <c r="AI195" s="1993" t="e">
        <f t="shared" si="130"/>
        <v>#DIV/0!</v>
      </c>
      <c r="AJ195" s="373" t="s">
        <v>887</v>
      </c>
      <c r="AK195" s="373">
        <v>231001294</v>
      </c>
      <c r="AL195" s="1970">
        <v>0</v>
      </c>
      <c r="AM195" s="1134" t="e">
        <f t="shared" si="131"/>
        <v>#DIV/0!</v>
      </c>
      <c r="AN195" s="997">
        <f t="shared" si="194"/>
        <v>0</v>
      </c>
      <c r="AO195" s="1503" t="s">
        <v>887</v>
      </c>
      <c r="AP195" s="1515">
        <v>0</v>
      </c>
      <c r="AQ195" s="1970">
        <v>13442511</v>
      </c>
      <c r="AR195" s="1970">
        <v>11538257</v>
      </c>
      <c r="AS195" s="1089">
        <f t="shared" si="132"/>
        <v>0.85834090074391611</v>
      </c>
      <c r="AT195" s="1118">
        <v>250000000</v>
      </c>
      <c r="AU195" s="993">
        <f t="shared" si="195"/>
        <v>242539551</v>
      </c>
      <c r="AV195" s="1134">
        <f t="shared" si="133"/>
        <v>0.97015820399999997</v>
      </c>
      <c r="AW195" s="1140"/>
      <c r="AX195" s="1119"/>
      <c r="AY195" s="152" t="s">
        <v>302</v>
      </c>
      <c r="AZ195" s="1557" t="s">
        <v>890</v>
      </c>
      <c r="BA195" s="93"/>
      <c r="BB195" s="93"/>
    </row>
    <row r="196" spans="1:54" ht="51.75" customHeight="1">
      <c r="A196" s="346" t="s">
        <v>636</v>
      </c>
      <c r="B196" s="450" t="s">
        <v>810</v>
      </c>
      <c r="C196" s="1553">
        <v>0</v>
      </c>
      <c r="D196" s="405">
        <v>0</v>
      </c>
      <c r="E196" s="405">
        <v>1</v>
      </c>
      <c r="F196" s="301">
        <v>0</v>
      </c>
      <c r="G196" s="301">
        <v>0</v>
      </c>
      <c r="H196" s="182">
        <v>1</v>
      </c>
      <c r="I196" s="859"/>
      <c r="J196" s="859"/>
      <c r="K196" s="859"/>
      <c r="L196" s="1010" t="e">
        <f t="shared" si="196"/>
        <v>#DIV/0!</v>
      </c>
      <c r="M196" s="1204" t="s">
        <v>2163</v>
      </c>
      <c r="N196" s="821">
        <f t="shared" si="192"/>
        <v>1</v>
      </c>
      <c r="O196" s="2165" t="s">
        <v>2369</v>
      </c>
      <c r="P196" s="1525"/>
      <c r="Q196" s="2041" t="s">
        <v>2183</v>
      </c>
      <c r="R196" s="1015"/>
      <c r="S196" s="1013" t="s">
        <v>2182</v>
      </c>
      <c r="T196" s="2037" t="s">
        <v>2208</v>
      </c>
      <c r="U196" s="1526"/>
      <c r="V196" s="1526"/>
      <c r="W196" s="1017"/>
      <c r="X196" s="1526"/>
      <c r="Y196" s="300">
        <v>1</v>
      </c>
      <c r="Z196" s="1010">
        <f t="shared" si="134"/>
        <v>1</v>
      </c>
      <c r="AA196" s="1438">
        <f t="shared" si="193"/>
        <v>1</v>
      </c>
      <c r="AB196" s="1555">
        <v>0.1</v>
      </c>
      <c r="AC196" s="881">
        <v>0</v>
      </c>
      <c r="AD196" s="2025">
        <v>0.11</v>
      </c>
      <c r="AE196" s="1560">
        <v>200000000</v>
      </c>
      <c r="AF196" s="373" t="s">
        <v>887</v>
      </c>
      <c r="AG196" s="2086" t="s">
        <v>887</v>
      </c>
      <c r="AH196" s="2140">
        <v>197296632</v>
      </c>
      <c r="AI196" s="1993">
        <f t="shared" si="130"/>
        <v>0.98648316000000003</v>
      </c>
      <c r="AJ196" s="373" t="s">
        <v>887</v>
      </c>
      <c r="AK196" s="373">
        <v>0</v>
      </c>
      <c r="AL196" s="1970">
        <v>192231990</v>
      </c>
      <c r="AM196" s="1130">
        <f t="shared" si="131"/>
        <v>0.96115994999999999</v>
      </c>
      <c r="AN196" s="997">
        <f t="shared" si="194"/>
        <v>5064642</v>
      </c>
      <c r="AO196" s="1503" t="s">
        <v>887</v>
      </c>
      <c r="AP196" s="1515">
        <v>0</v>
      </c>
      <c r="AQ196" s="1970"/>
      <c r="AR196" s="1970"/>
      <c r="AS196" s="1089" t="e">
        <f t="shared" si="132"/>
        <v>#DIV/0!</v>
      </c>
      <c r="AT196" s="1118">
        <v>200000000</v>
      </c>
      <c r="AU196" s="993">
        <f t="shared" si="195"/>
        <v>192231990</v>
      </c>
      <c r="AV196" s="1139">
        <f t="shared" si="133"/>
        <v>0.96115994999999999</v>
      </c>
      <c r="AW196" s="1140"/>
      <c r="AX196" s="1119"/>
      <c r="AY196" s="152" t="s">
        <v>302</v>
      </c>
      <c r="AZ196" s="1557" t="s">
        <v>890</v>
      </c>
      <c r="BA196" s="93"/>
      <c r="BB196" s="93"/>
    </row>
    <row r="197" spans="1:54" ht="171.75" customHeight="1">
      <c r="A197" s="346" t="s">
        <v>637</v>
      </c>
      <c r="B197" s="450" t="s">
        <v>811</v>
      </c>
      <c r="C197" s="1553">
        <v>1</v>
      </c>
      <c r="D197" s="405">
        <v>1</v>
      </c>
      <c r="E197" s="405">
        <v>1</v>
      </c>
      <c r="F197" s="301">
        <v>1</v>
      </c>
      <c r="G197" s="872">
        <v>0.83499999999999996</v>
      </c>
      <c r="H197" s="182">
        <v>0.83</v>
      </c>
      <c r="I197" s="859"/>
      <c r="J197" s="859"/>
      <c r="K197" s="859"/>
      <c r="L197" s="1010">
        <f t="shared" si="196"/>
        <v>1</v>
      </c>
      <c r="M197" s="1090">
        <f t="shared" si="191"/>
        <v>0.83499999999999996</v>
      </c>
      <c r="N197" s="821">
        <f t="shared" si="192"/>
        <v>0.83</v>
      </c>
      <c r="O197" s="2165" t="s">
        <v>2370</v>
      </c>
      <c r="P197" s="1525"/>
      <c r="Q197" s="2041" t="s">
        <v>2183</v>
      </c>
      <c r="R197" s="1015"/>
      <c r="S197" s="1013" t="s">
        <v>2182</v>
      </c>
      <c r="T197" s="2037" t="s">
        <v>2209</v>
      </c>
      <c r="U197" s="1526"/>
      <c r="V197" s="1526"/>
      <c r="W197" s="1017"/>
      <c r="X197" s="1526"/>
      <c r="Y197" s="300">
        <v>4</v>
      </c>
      <c r="Z197" s="1010">
        <f t="shared" si="134"/>
        <v>2.665</v>
      </c>
      <c r="AA197" s="1438">
        <f t="shared" si="193"/>
        <v>0.66625000000000001</v>
      </c>
      <c r="AB197" s="1555">
        <v>0.12</v>
      </c>
      <c r="AC197" s="881">
        <v>0.13</v>
      </c>
      <c r="AD197" s="2025">
        <v>0.13</v>
      </c>
      <c r="AE197" s="543">
        <v>100000000</v>
      </c>
      <c r="AF197" s="373">
        <v>60000000</v>
      </c>
      <c r="AG197" s="2086">
        <v>127981050</v>
      </c>
      <c r="AH197" s="2140">
        <v>99948316</v>
      </c>
      <c r="AI197" s="1993">
        <f t="shared" si="130"/>
        <v>0.99948316000000004</v>
      </c>
      <c r="AJ197" s="373">
        <v>55700000</v>
      </c>
      <c r="AK197" s="373">
        <v>119177761</v>
      </c>
      <c r="AL197" s="1970">
        <v>98111509</v>
      </c>
      <c r="AM197" s="1134">
        <f t="shared" si="131"/>
        <v>0.98111508999999997</v>
      </c>
      <c r="AN197" s="997">
        <f t="shared" si="194"/>
        <v>1836807</v>
      </c>
      <c r="AO197" s="1503">
        <v>4300000</v>
      </c>
      <c r="AP197" s="373">
        <v>4300000</v>
      </c>
      <c r="AQ197" s="1970">
        <v>8803289</v>
      </c>
      <c r="AR197" s="1970">
        <v>7899554</v>
      </c>
      <c r="AS197" s="1089">
        <f t="shared" si="132"/>
        <v>0.89734120963199093</v>
      </c>
      <c r="AT197" s="1118">
        <v>435000000</v>
      </c>
      <c r="AU197" s="993">
        <f t="shared" si="195"/>
        <v>285188824</v>
      </c>
      <c r="AV197" s="1139">
        <f t="shared" si="133"/>
        <v>0.65560649195402299</v>
      </c>
      <c r="AW197" s="1140"/>
      <c r="AX197" s="1119"/>
      <c r="AY197" s="152" t="s">
        <v>302</v>
      </c>
      <c r="AZ197" s="1557" t="s">
        <v>890</v>
      </c>
      <c r="BA197" s="93"/>
      <c r="BB197" s="93"/>
    </row>
    <row r="198" spans="1:54" ht="105" customHeight="1">
      <c r="A198" s="346" t="s">
        <v>638</v>
      </c>
      <c r="B198" s="456" t="s">
        <v>881</v>
      </c>
      <c r="C198" s="1553">
        <v>1</v>
      </c>
      <c r="D198" s="405">
        <v>1</v>
      </c>
      <c r="E198" s="405">
        <v>1</v>
      </c>
      <c r="F198" s="301">
        <v>1</v>
      </c>
      <c r="G198" s="872">
        <v>0.94379999999999997</v>
      </c>
      <c r="H198" s="681">
        <v>0.66</v>
      </c>
      <c r="I198" s="859"/>
      <c r="J198" s="859"/>
      <c r="K198" s="859"/>
      <c r="L198" s="1010">
        <f>IF((F198+I198)/C198&gt;=100%,100%,(F198+I198)/C198)</f>
        <v>1</v>
      </c>
      <c r="M198" s="1090">
        <f t="shared" si="191"/>
        <v>0.94379999999999997</v>
      </c>
      <c r="N198" s="821">
        <f t="shared" si="192"/>
        <v>0.66</v>
      </c>
      <c r="O198" s="2165" t="s">
        <v>2371</v>
      </c>
      <c r="P198" s="1525"/>
      <c r="Q198" s="2041" t="s">
        <v>2183</v>
      </c>
      <c r="R198" s="1015"/>
      <c r="S198" s="1013" t="s">
        <v>2182</v>
      </c>
      <c r="T198" s="2037" t="s">
        <v>2209</v>
      </c>
      <c r="U198" s="1526"/>
      <c r="V198" s="1526"/>
      <c r="W198" s="1017"/>
      <c r="X198" s="1526"/>
      <c r="Y198" s="300">
        <v>4</v>
      </c>
      <c r="Z198" s="1010">
        <f t="shared" si="134"/>
        <v>2.6038000000000001</v>
      </c>
      <c r="AA198" s="1438">
        <f t="shared" si="193"/>
        <v>0.65095000000000003</v>
      </c>
      <c r="AB198" s="1555">
        <v>0.1</v>
      </c>
      <c r="AC198" s="881">
        <v>0.12</v>
      </c>
      <c r="AD198" s="2025">
        <v>0.12</v>
      </c>
      <c r="AE198" s="543">
        <v>100000000</v>
      </c>
      <c r="AF198" s="373">
        <v>56200000</v>
      </c>
      <c r="AG198" s="2086">
        <v>118136352</v>
      </c>
      <c r="AH198" s="2140">
        <v>99948316</v>
      </c>
      <c r="AI198" s="1993">
        <f t="shared" si="130"/>
        <v>0.99948316000000004</v>
      </c>
      <c r="AJ198" s="373">
        <v>42400000</v>
      </c>
      <c r="AK198" s="373">
        <v>112404117</v>
      </c>
      <c r="AL198" s="1970">
        <v>98189367</v>
      </c>
      <c r="AM198" s="1134">
        <f t="shared" si="131"/>
        <v>0.98189367000000005</v>
      </c>
      <c r="AN198" s="997">
        <f t="shared" si="194"/>
        <v>1758949</v>
      </c>
      <c r="AO198" s="1503">
        <v>13800000</v>
      </c>
      <c r="AP198" s="373">
        <v>13800000</v>
      </c>
      <c r="AQ198" s="1970">
        <v>5732235</v>
      </c>
      <c r="AR198" s="1970">
        <v>4857313</v>
      </c>
      <c r="AS198" s="1089">
        <f t="shared" si="132"/>
        <v>0.84736808592111101</v>
      </c>
      <c r="AT198" s="1118">
        <v>435000000</v>
      </c>
      <c r="AU198" s="993">
        <f t="shared" si="195"/>
        <v>271650797</v>
      </c>
      <c r="AV198" s="1139">
        <f t="shared" si="133"/>
        <v>0.62448459080459773</v>
      </c>
      <c r="AW198" s="1140"/>
      <c r="AX198" s="1119"/>
      <c r="AY198" s="152" t="s">
        <v>302</v>
      </c>
      <c r="AZ198" s="1557" t="s">
        <v>920</v>
      </c>
      <c r="BA198" s="93"/>
      <c r="BB198" s="93"/>
    </row>
    <row r="199" spans="1:54" ht="96" customHeight="1" thickBot="1">
      <c r="A199" s="1468" t="s">
        <v>639</v>
      </c>
      <c r="B199" s="1475" t="s">
        <v>812</v>
      </c>
      <c r="C199" s="1561">
        <v>0</v>
      </c>
      <c r="D199" s="2378">
        <v>1</v>
      </c>
      <c r="E199" s="2379">
        <v>0.1</v>
      </c>
      <c r="F199" s="2380">
        <v>0</v>
      </c>
      <c r="G199" s="2381">
        <v>0</v>
      </c>
      <c r="H199" s="2382">
        <v>0.1</v>
      </c>
      <c r="I199" s="2381"/>
      <c r="J199" s="866"/>
      <c r="K199" s="866"/>
      <c r="L199" s="1139" t="e">
        <f t="shared" ref="L199" si="197">IF((F199+I199)/C199&gt;=100%,100%,(F199+I199)/C199)</f>
        <v>#DIV/0!</v>
      </c>
      <c r="M199" s="1090">
        <f t="shared" si="191"/>
        <v>0</v>
      </c>
      <c r="N199" s="821">
        <f t="shared" si="192"/>
        <v>1</v>
      </c>
      <c r="O199" s="2165"/>
      <c r="P199" s="1525"/>
      <c r="Q199" s="1220"/>
      <c r="R199" s="1221"/>
      <c r="S199" s="1219"/>
      <c r="T199" s="1526"/>
      <c r="U199" s="1526"/>
      <c r="V199" s="1526"/>
      <c r="W199" s="1223"/>
      <c r="X199" s="1526"/>
      <c r="Y199" s="1563">
        <v>1.1000000000000001</v>
      </c>
      <c r="Z199" s="1130">
        <f t="shared" si="134"/>
        <v>0.1</v>
      </c>
      <c r="AA199" s="1430">
        <f t="shared" si="193"/>
        <v>9.0909090909090912E-2</v>
      </c>
      <c r="AB199" s="1564">
        <v>0.1</v>
      </c>
      <c r="AC199" s="885">
        <v>0.11</v>
      </c>
      <c r="AD199" s="2025">
        <v>0.11</v>
      </c>
      <c r="AE199" s="1510">
        <v>100000000</v>
      </c>
      <c r="AF199" s="1565" t="s">
        <v>887</v>
      </c>
      <c r="AG199" s="1970">
        <v>178893831</v>
      </c>
      <c r="AH199" s="2140">
        <v>99948316</v>
      </c>
      <c r="AI199" s="1997">
        <f t="shared" si="130"/>
        <v>0.99948316000000004</v>
      </c>
      <c r="AJ199" s="1565" t="s">
        <v>887</v>
      </c>
      <c r="AK199" s="1565">
        <v>133335022</v>
      </c>
      <c r="AL199" s="1970">
        <v>95417225</v>
      </c>
      <c r="AM199" s="1134">
        <f t="shared" si="131"/>
        <v>0.95417225000000006</v>
      </c>
      <c r="AN199" s="997">
        <f t="shared" si="194"/>
        <v>4531091</v>
      </c>
      <c r="AO199" s="1566" t="s">
        <v>887</v>
      </c>
      <c r="AP199" s="1515">
        <v>0</v>
      </c>
      <c r="AQ199" s="1970">
        <v>45558809</v>
      </c>
      <c r="AR199" s="1970">
        <v>44037955</v>
      </c>
      <c r="AS199" s="1136">
        <f t="shared" si="132"/>
        <v>0.96661778406015841</v>
      </c>
      <c r="AT199" s="1138">
        <v>400000000</v>
      </c>
      <c r="AU199" s="993">
        <f t="shared" si="195"/>
        <v>272790202</v>
      </c>
      <c r="AV199" s="1139">
        <f t="shared" si="133"/>
        <v>0.68197550500000004</v>
      </c>
      <c r="AW199" s="1140"/>
      <c r="AX199" s="1140"/>
      <c r="AY199" s="189" t="s">
        <v>302</v>
      </c>
      <c r="AZ199" s="1512" t="s">
        <v>920</v>
      </c>
      <c r="BA199" s="1037"/>
      <c r="BB199" s="1037"/>
    </row>
    <row r="200" spans="1:54" ht="54" customHeight="1" thickBot="1">
      <c r="A200" s="961" t="s">
        <v>486</v>
      </c>
      <c r="B200" s="962"/>
      <c r="C200" s="861"/>
      <c r="D200" s="826"/>
      <c r="E200" s="223"/>
      <c r="F200" s="963"/>
      <c r="G200" s="861"/>
      <c r="H200" s="139"/>
      <c r="I200" s="861"/>
      <c r="J200" s="861"/>
      <c r="K200" s="861"/>
      <c r="L200" s="964">
        <v>0</v>
      </c>
      <c r="M200" s="973">
        <f>+SUMPRODUCT(M201:M201,AC201:AC201)</f>
        <v>1</v>
      </c>
      <c r="N200" s="973">
        <f>+SUMPRODUCT(N201:N201,AD201:AD201)</f>
        <v>0</v>
      </c>
      <c r="O200" s="965"/>
      <c r="P200" s="284"/>
      <c r="Q200" s="966"/>
      <c r="R200" s="965"/>
      <c r="S200" s="965"/>
      <c r="T200" s="1466"/>
      <c r="U200" s="1466"/>
      <c r="V200" s="1466"/>
      <c r="W200" s="1099"/>
      <c r="X200" s="1466"/>
      <c r="Y200" s="1289"/>
      <c r="Z200" s="969">
        <f t="shared" si="134"/>
        <v>0</v>
      </c>
      <c r="AA200" s="1199">
        <f>+SUMPRODUCT(AA201:AA201,AB201:AB201)</f>
        <v>1</v>
      </c>
      <c r="AB200" s="964">
        <v>0.1</v>
      </c>
      <c r="AC200" s="879">
        <v>0.1</v>
      </c>
      <c r="AD200" s="471">
        <v>0.1</v>
      </c>
      <c r="AE200" s="971">
        <v>0</v>
      </c>
      <c r="AF200" s="971">
        <f>SUM(AF201)</f>
        <v>0</v>
      </c>
      <c r="AG200" s="962">
        <f>SUM(AG201)</f>
        <v>244117398</v>
      </c>
      <c r="AH200" s="2115">
        <f>SUM(AH201)</f>
        <v>0</v>
      </c>
      <c r="AI200" s="1984" t="e">
        <f t="shared" si="130"/>
        <v>#DIV/0!</v>
      </c>
      <c r="AJ200" s="971">
        <f>SUM(AJ201)</f>
        <v>0</v>
      </c>
      <c r="AK200" s="971">
        <f>SUM(AK201)</f>
        <v>221294554</v>
      </c>
      <c r="AL200" s="971">
        <f>SUM(AL201)</f>
        <v>0</v>
      </c>
      <c r="AM200" s="973" t="e">
        <f t="shared" si="131"/>
        <v>#DIV/0!</v>
      </c>
      <c r="AN200" s="974">
        <f>SUM(AN201)</f>
        <v>0</v>
      </c>
      <c r="AO200" s="965">
        <f>SUM(AO201)</f>
        <v>0</v>
      </c>
      <c r="AP200" s="971">
        <f>SUM(AP201)</f>
        <v>0</v>
      </c>
      <c r="AQ200" s="971">
        <f>SUM(AQ201)</f>
        <v>22822844</v>
      </c>
      <c r="AR200" s="971">
        <f>SUM(AR201)</f>
        <v>16436973</v>
      </c>
      <c r="AS200" s="967">
        <f t="shared" si="132"/>
        <v>0.72019828028443778</v>
      </c>
      <c r="AT200" s="971">
        <f t="shared" ref="AT200:AU200" si="198">SUM(AT201)</f>
        <v>250000000</v>
      </c>
      <c r="AU200" s="971">
        <f t="shared" si="198"/>
        <v>237731527</v>
      </c>
      <c r="AV200" s="973">
        <f t="shared" si="133"/>
        <v>0.95092610799999999</v>
      </c>
      <c r="AW200" s="975"/>
      <c r="AX200" s="975"/>
      <c r="AY200" s="283"/>
      <c r="AZ200" s="974"/>
      <c r="BA200" s="286"/>
      <c r="BB200" s="286"/>
    </row>
    <row r="201" spans="1:54" ht="108.75" customHeight="1" thickBot="1">
      <c r="A201" s="348" t="s">
        <v>640</v>
      </c>
      <c r="B201" s="1513" t="s">
        <v>813</v>
      </c>
      <c r="C201" s="1469">
        <v>0</v>
      </c>
      <c r="D201" s="842">
        <v>1</v>
      </c>
      <c r="E201" s="218">
        <v>0</v>
      </c>
      <c r="F201" s="1269">
        <v>0</v>
      </c>
      <c r="G201" s="867">
        <v>1</v>
      </c>
      <c r="H201" s="147">
        <v>0</v>
      </c>
      <c r="I201" s="867"/>
      <c r="J201" s="867"/>
      <c r="K201" s="867"/>
      <c r="L201" s="1270" t="e">
        <f>IF((F201+I201)/C201&gt;=100%,100%,(F201+I201)/C201)</f>
        <v>#DIV/0!</v>
      </c>
      <c r="M201" s="1090">
        <f>IF((G201+J201)/D201&gt;=100%,100%,(G201+J201)/D201)</f>
        <v>1</v>
      </c>
      <c r="N201" s="821" t="s">
        <v>2163</v>
      </c>
      <c r="O201" s="2165"/>
      <c r="Q201" s="1274"/>
      <c r="R201" s="1275"/>
      <c r="S201" s="1273"/>
      <c r="T201" s="1470"/>
      <c r="U201" s="1470"/>
      <c r="V201" s="1470"/>
      <c r="W201" s="1277"/>
      <c r="X201" s="1470"/>
      <c r="Y201" s="1563">
        <v>1</v>
      </c>
      <c r="Z201" s="1278">
        <f t="shared" si="134"/>
        <v>1</v>
      </c>
      <c r="AA201" s="1387">
        <f t="shared" ref="AA201" si="199">IF(Z201/Y201&gt;=100%,100%,Z201/Y201)</f>
        <v>1</v>
      </c>
      <c r="AB201" s="1567">
        <v>1</v>
      </c>
      <c r="AC201" s="898">
        <v>1</v>
      </c>
      <c r="AD201" s="501">
        <v>0</v>
      </c>
      <c r="AE201" s="1483">
        <v>0</v>
      </c>
      <c r="AF201" s="1565" t="s">
        <v>887</v>
      </c>
      <c r="AG201" s="2008">
        <v>244117398</v>
      </c>
      <c r="AH201" s="2139">
        <v>0</v>
      </c>
      <c r="AI201" s="1985" t="e">
        <f t="shared" ref="AI201:AI264" si="200">+AH201/AE201</f>
        <v>#DIV/0!</v>
      </c>
      <c r="AJ201" s="1565" t="s">
        <v>887</v>
      </c>
      <c r="AK201" s="1483">
        <v>221294554</v>
      </c>
      <c r="AL201" s="1483">
        <v>0</v>
      </c>
      <c r="AM201" s="1331" t="e">
        <f t="shared" ref="AM201:AM264" si="201">+AL201/AE201</f>
        <v>#DIV/0!</v>
      </c>
      <c r="AN201" s="997">
        <f>+AH201-AL201</f>
        <v>0</v>
      </c>
      <c r="AO201" s="1566" t="s">
        <v>887</v>
      </c>
      <c r="AP201" s="1515">
        <v>0</v>
      </c>
      <c r="AQ201" s="1970">
        <v>22822844</v>
      </c>
      <c r="AR201" s="1970">
        <v>16436973</v>
      </c>
      <c r="AS201" s="1053">
        <f t="shared" ref="AS201:AS264" si="202">+AR201/AQ201</f>
        <v>0.72019828028443778</v>
      </c>
      <c r="AT201" s="1285">
        <v>250000000</v>
      </c>
      <c r="AU201" s="993">
        <f t="shared" si="195"/>
        <v>237731527</v>
      </c>
      <c r="AV201" s="1331">
        <f t="shared" si="133"/>
        <v>0.95092610799999999</v>
      </c>
      <c r="AW201" s="1286"/>
      <c r="AX201" s="1286"/>
      <c r="AY201" s="1272" t="s">
        <v>302</v>
      </c>
      <c r="AZ201" s="1484" t="s">
        <v>890</v>
      </c>
      <c r="BA201" s="1175"/>
      <c r="BB201" s="1175"/>
    </row>
    <row r="202" spans="1:54" s="617" customFormat="1" ht="54" customHeight="1" thickBot="1">
      <c r="A202" s="1065" t="s">
        <v>435</v>
      </c>
      <c r="B202" s="1066"/>
      <c r="C202" s="862"/>
      <c r="D202" s="835"/>
      <c r="E202" s="222"/>
      <c r="F202" s="1067"/>
      <c r="G202" s="862"/>
      <c r="H202" s="129"/>
      <c r="I202" s="862"/>
      <c r="J202" s="862"/>
      <c r="K202" s="862"/>
      <c r="L202" s="1077">
        <f>+(L203*AB203)</f>
        <v>1</v>
      </c>
      <c r="M202" s="1068">
        <f>+(M203*AC203)</f>
        <v>1</v>
      </c>
      <c r="N202" s="1068">
        <f>+(N203*AD203)</f>
        <v>0.6</v>
      </c>
      <c r="O202" s="948"/>
      <c r="P202" s="1463"/>
      <c r="Q202" s="1071"/>
      <c r="R202" s="1069"/>
      <c r="S202" s="1069"/>
      <c r="T202" s="1464"/>
      <c r="U202" s="1464"/>
      <c r="V202" s="1464"/>
      <c r="W202" s="1072"/>
      <c r="X202" s="1464"/>
      <c r="Y202" s="1465"/>
      <c r="Z202" s="1075">
        <f t="shared" si="134"/>
        <v>0</v>
      </c>
      <c r="AA202" s="1246">
        <f>+(AA203*AB203)</f>
        <v>0.4</v>
      </c>
      <c r="AB202" s="1077">
        <v>0.15</v>
      </c>
      <c r="AC202" s="883">
        <v>0.18</v>
      </c>
      <c r="AD202" s="470">
        <v>0.15</v>
      </c>
      <c r="AE202" s="1078">
        <v>500000000</v>
      </c>
      <c r="AF202" s="1078">
        <f>+AF203</f>
        <v>176700000</v>
      </c>
      <c r="AG202" s="1066">
        <f>+AG203</f>
        <v>181800319</v>
      </c>
      <c r="AH202" s="2114">
        <f>+AH203</f>
        <v>488140412</v>
      </c>
      <c r="AI202" s="1986">
        <f t="shared" si="200"/>
        <v>0.97628082400000005</v>
      </c>
      <c r="AJ202" s="1078">
        <f>+AJ203</f>
        <v>97200000</v>
      </c>
      <c r="AK202" s="1078">
        <f>+AK203</f>
        <v>153323642</v>
      </c>
      <c r="AL202" s="1078">
        <f>+AL203</f>
        <v>248222958</v>
      </c>
      <c r="AM202" s="1068">
        <f t="shared" si="201"/>
        <v>0.49644591599999999</v>
      </c>
      <c r="AN202" s="1066">
        <f>+AN203</f>
        <v>239917454</v>
      </c>
      <c r="AO202" s="1069">
        <f>+AO203</f>
        <v>79500000</v>
      </c>
      <c r="AP202" s="1078">
        <f>+AP203</f>
        <v>79500000</v>
      </c>
      <c r="AQ202" s="1078">
        <f>+AQ203</f>
        <v>28476677</v>
      </c>
      <c r="AR202" s="1078">
        <f>+AR203</f>
        <v>25021150</v>
      </c>
      <c r="AS202" s="1080">
        <f t="shared" si="202"/>
        <v>0.8786541351015078</v>
      </c>
      <c r="AT202" s="1078">
        <f t="shared" ref="AT202:AU202" si="203">+AT203</f>
        <v>2500000000</v>
      </c>
      <c r="AU202" s="1078">
        <f t="shared" si="203"/>
        <v>603267750</v>
      </c>
      <c r="AV202" s="1077">
        <f t="shared" si="133"/>
        <v>0.2413071</v>
      </c>
      <c r="AW202" s="1071"/>
      <c r="AX202" s="1071" t="s">
        <v>297</v>
      </c>
      <c r="AY202" s="1069"/>
      <c r="AZ202" s="1066"/>
      <c r="BA202" s="1082"/>
      <c r="BB202" s="1082"/>
    </row>
    <row r="203" spans="1:54" ht="48.75" customHeight="1" thickBot="1">
      <c r="A203" s="961" t="s">
        <v>487</v>
      </c>
      <c r="B203" s="962"/>
      <c r="C203" s="861"/>
      <c r="D203" s="826"/>
      <c r="E203" s="223"/>
      <c r="F203" s="963"/>
      <c r="G203" s="861"/>
      <c r="H203" s="139"/>
      <c r="I203" s="861"/>
      <c r="J203" s="861"/>
      <c r="K203" s="861"/>
      <c r="L203" s="964">
        <f>+(L206*50%)+(L207*50%)</f>
        <v>1</v>
      </c>
      <c r="M203" s="973">
        <f>+SUMPRODUCT(M204:M207,AC204:AC207)</f>
        <v>1</v>
      </c>
      <c r="N203" s="973">
        <f>+SUMPRODUCT(N204:N207,AD204:AD207)</f>
        <v>0.6</v>
      </c>
      <c r="O203" s="965"/>
      <c r="P203" s="284"/>
      <c r="Q203" s="966"/>
      <c r="R203" s="965"/>
      <c r="S203" s="965"/>
      <c r="T203" s="1466"/>
      <c r="U203" s="1466"/>
      <c r="V203" s="1466"/>
      <c r="W203" s="1099"/>
      <c r="X203" s="1466"/>
      <c r="Y203" s="1467"/>
      <c r="Z203" s="969">
        <f t="shared" si="134"/>
        <v>0</v>
      </c>
      <c r="AA203" s="1199">
        <f>+SUMPRODUCT(AA204:AA207,AB204:AB207)</f>
        <v>0.4</v>
      </c>
      <c r="AB203" s="964">
        <v>1</v>
      </c>
      <c r="AC203" s="879">
        <v>1</v>
      </c>
      <c r="AD203" s="471">
        <v>1</v>
      </c>
      <c r="AE203" s="971">
        <v>500000000</v>
      </c>
      <c r="AF203" s="971">
        <f>SUM(AF204:AF207)</f>
        <v>176700000</v>
      </c>
      <c r="AG203" s="962">
        <f>SUM(AG204:AG207)</f>
        <v>181800319</v>
      </c>
      <c r="AH203" s="2115">
        <f>SUM(AH204:AH207)</f>
        <v>488140412</v>
      </c>
      <c r="AI203" s="1984">
        <f t="shared" si="200"/>
        <v>0.97628082400000005</v>
      </c>
      <c r="AJ203" s="971">
        <f>SUM(AJ204:AJ207)</f>
        <v>97200000</v>
      </c>
      <c r="AK203" s="971">
        <f>SUM(AK204:AK207)</f>
        <v>153323642</v>
      </c>
      <c r="AL203" s="971">
        <f>SUM(AL204:AL207)</f>
        <v>248222958</v>
      </c>
      <c r="AM203" s="973">
        <f t="shared" si="201"/>
        <v>0.49644591599999999</v>
      </c>
      <c r="AN203" s="974">
        <f>SUM(AN204:AN207)</f>
        <v>239917454</v>
      </c>
      <c r="AO203" s="965">
        <f>SUM(AO204:AO207)</f>
        <v>79500000</v>
      </c>
      <c r="AP203" s="971">
        <f>SUM(AP204:AP207)</f>
        <v>79500000</v>
      </c>
      <c r="AQ203" s="971">
        <f>SUM(AQ204:AQ207)</f>
        <v>28476677</v>
      </c>
      <c r="AR203" s="971">
        <f>SUM(AR204:AR207)</f>
        <v>25021150</v>
      </c>
      <c r="AS203" s="967">
        <f t="shared" si="202"/>
        <v>0.8786541351015078</v>
      </c>
      <c r="AT203" s="971">
        <f t="shared" ref="AT203:AU203" si="204">SUM(AT204:AT207)</f>
        <v>2500000000</v>
      </c>
      <c r="AU203" s="971">
        <f t="shared" si="204"/>
        <v>603267750</v>
      </c>
      <c r="AV203" s="964">
        <f t="shared" si="133"/>
        <v>0.2413071</v>
      </c>
      <c r="AW203" s="975"/>
      <c r="AX203" s="975"/>
      <c r="AY203" s="283"/>
      <c r="AZ203" s="974"/>
      <c r="BA203" s="286"/>
      <c r="BB203" s="286"/>
    </row>
    <row r="204" spans="1:54" ht="50.25" customHeight="1">
      <c r="A204" s="347" t="s">
        <v>641</v>
      </c>
      <c r="B204" s="453" t="s">
        <v>814</v>
      </c>
      <c r="C204" s="1519">
        <v>0</v>
      </c>
      <c r="D204" s="401">
        <v>0</v>
      </c>
      <c r="E204" s="401">
        <v>0</v>
      </c>
      <c r="F204" s="978">
        <v>0</v>
      </c>
      <c r="G204" s="858">
        <v>0</v>
      </c>
      <c r="H204" s="147"/>
      <c r="I204" s="858"/>
      <c r="J204" s="858"/>
      <c r="K204" s="858"/>
      <c r="L204" s="821" t="e">
        <f>IF((F204+I204)/C204&gt;=100%,100%,(F204+I204)/C204)</f>
        <v>#DIV/0!</v>
      </c>
      <c r="M204" s="1204" t="s">
        <v>2163</v>
      </c>
      <c r="N204" s="821" t="s">
        <v>2163</v>
      </c>
      <c r="O204" s="2165"/>
      <c r="Q204" s="983"/>
      <c r="R204" s="984"/>
      <c r="S204" s="982"/>
      <c r="T204" s="1470"/>
      <c r="U204" s="1470"/>
      <c r="V204" s="1470"/>
      <c r="W204" s="985"/>
      <c r="X204" s="1470"/>
      <c r="Y204" s="1471">
        <v>4</v>
      </c>
      <c r="Z204" s="986">
        <f t="shared" ref="Z204:Z267" si="205">SUM(F204:J204)</f>
        <v>0</v>
      </c>
      <c r="AA204" s="186">
        <f t="shared" ref="AA204:AA207" si="206">IF(Z204/Y204&gt;=100%,100%,Z204/Y204)</f>
        <v>0</v>
      </c>
      <c r="AB204" s="1523">
        <v>0.3</v>
      </c>
      <c r="AC204" s="880">
        <v>0</v>
      </c>
      <c r="AD204" s="472">
        <v>0</v>
      </c>
      <c r="AE204" s="541" t="s">
        <v>887</v>
      </c>
      <c r="AF204" s="375" t="s">
        <v>887</v>
      </c>
      <c r="AG204" s="2088" t="s">
        <v>887</v>
      </c>
      <c r="AH204" s="2143"/>
      <c r="AI204" s="2110" t="e">
        <f t="shared" si="200"/>
        <v>#VALUE!</v>
      </c>
      <c r="AJ204" s="375" t="s">
        <v>887</v>
      </c>
      <c r="AK204" s="541" t="s">
        <v>887</v>
      </c>
      <c r="AL204" s="1570"/>
      <c r="AM204" s="1278" t="e">
        <f t="shared" si="201"/>
        <v>#VALUE!</v>
      </c>
      <c r="AN204" s="997">
        <f t="shared" ref="AN204:AN207" si="207">+AH204-AL204</f>
        <v>0</v>
      </c>
      <c r="AO204" s="1524" t="s">
        <v>887</v>
      </c>
      <c r="AP204" s="1515">
        <v>0</v>
      </c>
      <c r="AQ204" s="1968"/>
      <c r="AR204" s="1968"/>
      <c r="AS204" s="614" t="e">
        <f t="shared" si="202"/>
        <v>#DIV/0!</v>
      </c>
      <c r="AT204" s="1046">
        <v>650000000</v>
      </c>
      <c r="AU204" s="993">
        <f t="shared" ref="AU204:AU207" si="208">SUM(AJ204:AL204)+AR204+AP204</f>
        <v>0</v>
      </c>
      <c r="AV204" s="1257">
        <f t="shared" ref="AV204:AV267" si="209">+AU204/AT204</f>
        <v>0</v>
      </c>
      <c r="AW204" s="1328"/>
      <c r="AX204" s="1111"/>
      <c r="AY204" s="190" t="s">
        <v>302</v>
      </c>
      <c r="AZ204" s="2297" t="s">
        <v>905</v>
      </c>
      <c r="BA204" s="1047"/>
      <c r="BB204" s="1047"/>
    </row>
    <row r="205" spans="1:54" ht="46.5" customHeight="1">
      <c r="A205" s="347" t="s">
        <v>642</v>
      </c>
      <c r="B205" s="453" t="s">
        <v>815</v>
      </c>
      <c r="C205" s="1519">
        <v>0</v>
      </c>
      <c r="D205" s="401">
        <v>0</v>
      </c>
      <c r="E205" s="401">
        <v>8</v>
      </c>
      <c r="F205" s="213">
        <v>0</v>
      </c>
      <c r="G205" s="147">
        <v>0</v>
      </c>
      <c r="H205" s="147">
        <v>0</v>
      </c>
      <c r="I205" s="147"/>
      <c r="J205" s="147"/>
      <c r="K205" s="147"/>
      <c r="L205" s="180" t="e">
        <f>IF((F205+I205)/C205&gt;=100%,100%,(F205+I205)/C205)</f>
        <v>#DIV/0!</v>
      </c>
      <c r="M205" s="1204" t="s">
        <v>2163</v>
      </c>
      <c r="N205" s="821">
        <f t="shared" ref="N205:N207" si="210">IF((H205/E205)&gt;=100%,100%,(H205/E205))</f>
        <v>0</v>
      </c>
      <c r="O205" s="2165" t="s">
        <v>2372</v>
      </c>
      <c r="P205" s="1507"/>
      <c r="Q205" s="101"/>
      <c r="R205" s="104"/>
      <c r="S205" s="146"/>
      <c r="T205" s="195"/>
      <c r="U205" s="195"/>
      <c r="V205" s="195"/>
      <c r="W205" s="150"/>
      <c r="X205" s="195"/>
      <c r="Y205" s="241">
        <v>23</v>
      </c>
      <c r="Z205" s="242">
        <f t="shared" si="205"/>
        <v>0</v>
      </c>
      <c r="AA205" s="186">
        <f t="shared" si="206"/>
        <v>0</v>
      </c>
      <c r="AB205" s="1523">
        <v>0.3</v>
      </c>
      <c r="AC205" s="472">
        <v>0</v>
      </c>
      <c r="AD205" s="472">
        <v>0.4</v>
      </c>
      <c r="AE205" s="541">
        <v>240300000</v>
      </c>
      <c r="AF205" s="375" t="s">
        <v>887</v>
      </c>
      <c r="AG205" s="2088" t="s">
        <v>887</v>
      </c>
      <c r="AH205" s="2143">
        <v>239671155</v>
      </c>
      <c r="AI205" s="1996">
        <f t="shared" si="200"/>
        <v>0.99738308364544315</v>
      </c>
      <c r="AJ205" s="375" t="s">
        <v>887</v>
      </c>
      <c r="AK205" s="541" t="s">
        <v>887</v>
      </c>
      <c r="AL205" s="1570">
        <v>18648707</v>
      </c>
      <c r="AM205" s="1026">
        <f t="shared" si="201"/>
        <v>7.760593841032043E-2</v>
      </c>
      <c r="AN205" s="997">
        <f t="shared" si="207"/>
        <v>221022448</v>
      </c>
      <c r="AO205" s="1524" t="s">
        <v>887</v>
      </c>
      <c r="AP205" s="1515">
        <v>0</v>
      </c>
      <c r="AQ205" s="1968"/>
      <c r="AR205" s="1968"/>
      <c r="AS205" s="614" t="e">
        <f t="shared" si="202"/>
        <v>#DIV/0!</v>
      </c>
      <c r="AT205" s="250">
        <v>950000000</v>
      </c>
      <c r="AU205" s="993">
        <f t="shared" si="208"/>
        <v>18648707</v>
      </c>
      <c r="AV205" s="1139">
        <f t="shared" si="209"/>
        <v>1.9630217894736842E-2</v>
      </c>
      <c r="AW205" s="1140"/>
      <c r="AX205" s="1119"/>
      <c r="AY205" s="152" t="s">
        <v>302</v>
      </c>
      <c r="AZ205" s="2290"/>
      <c r="BA205" s="93"/>
      <c r="BB205" s="93"/>
    </row>
    <row r="206" spans="1:54" ht="59.25" customHeight="1">
      <c r="A206" s="347" t="s">
        <v>643</v>
      </c>
      <c r="B206" s="453" t="s">
        <v>816</v>
      </c>
      <c r="C206" s="1529">
        <v>1</v>
      </c>
      <c r="D206" s="402">
        <v>1</v>
      </c>
      <c r="E206" s="668">
        <v>1</v>
      </c>
      <c r="F206" s="1530">
        <v>1</v>
      </c>
      <c r="G206" s="182">
        <v>1</v>
      </c>
      <c r="H206" s="681">
        <v>1</v>
      </c>
      <c r="I206" s="147"/>
      <c r="J206" s="147"/>
      <c r="K206" s="147"/>
      <c r="L206" s="180">
        <f>IF((F206+I206)/C206&gt;=100%,100%,(F206+I206)/C206)</f>
        <v>1</v>
      </c>
      <c r="M206" s="1090">
        <f>IF((G206+J206)/D206&gt;=100%,100%,(G206+J206)/D206)</f>
        <v>1</v>
      </c>
      <c r="N206" s="821">
        <f t="shared" si="210"/>
        <v>1</v>
      </c>
      <c r="O206" s="2165" t="s">
        <v>2373</v>
      </c>
      <c r="P206" s="1507"/>
      <c r="Q206" s="2041" t="s">
        <v>2183</v>
      </c>
      <c r="R206" s="1015"/>
      <c r="S206" s="1013" t="s">
        <v>2182</v>
      </c>
      <c r="T206" s="195" t="s">
        <v>2210</v>
      </c>
      <c r="U206" s="195"/>
      <c r="V206" s="195"/>
      <c r="W206" s="150"/>
      <c r="X206" s="195"/>
      <c r="Y206" s="2047">
        <v>1</v>
      </c>
      <c r="Z206" s="2048">
        <f t="shared" si="205"/>
        <v>3</v>
      </c>
      <c r="AA206" s="186">
        <f t="shared" si="206"/>
        <v>1</v>
      </c>
      <c r="AB206" s="1523">
        <v>0.2</v>
      </c>
      <c r="AC206" s="472">
        <v>0.5</v>
      </c>
      <c r="AD206" s="472">
        <v>0.3</v>
      </c>
      <c r="AE206" s="538">
        <v>150700000</v>
      </c>
      <c r="AF206" s="371">
        <v>79700000</v>
      </c>
      <c r="AG206" s="2088">
        <v>83453359</v>
      </c>
      <c r="AH206" s="2143">
        <v>139685550</v>
      </c>
      <c r="AI206" s="1996">
        <f t="shared" si="200"/>
        <v>0.92691141340411409</v>
      </c>
      <c r="AJ206" s="371">
        <v>50800000</v>
      </c>
      <c r="AK206" s="541">
        <v>62161821</v>
      </c>
      <c r="AL206" s="1570">
        <v>126721637</v>
      </c>
      <c r="AM206" s="1030">
        <f t="shared" si="201"/>
        <v>0.84088677504976772</v>
      </c>
      <c r="AN206" s="997">
        <f t="shared" si="207"/>
        <v>12963913</v>
      </c>
      <c r="AO206" s="1532">
        <v>28900000</v>
      </c>
      <c r="AP206" s="371">
        <v>28900000</v>
      </c>
      <c r="AQ206" s="2010">
        <v>21291538</v>
      </c>
      <c r="AR206" s="2010">
        <v>20565112</v>
      </c>
      <c r="AS206" s="614">
        <f t="shared" si="202"/>
        <v>0.96588193863684246</v>
      </c>
      <c r="AT206" s="250">
        <v>400000000</v>
      </c>
      <c r="AU206" s="993">
        <f t="shared" si="208"/>
        <v>289148570</v>
      </c>
      <c r="AV206" s="1139">
        <f t="shared" si="209"/>
        <v>0.72287142500000001</v>
      </c>
      <c r="AW206" s="1140"/>
      <c r="AX206" s="1119"/>
      <c r="AY206" s="152" t="s">
        <v>9</v>
      </c>
      <c r="AZ206" s="1533" t="s">
        <v>905</v>
      </c>
      <c r="BA206" s="93"/>
      <c r="BB206" s="93"/>
    </row>
    <row r="207" spans="1:54" ht="84" customHeight="1" thickBot="1">
      <c r="A207" s="1476" t="s">
        <v>644</v>
      </c>
      <c r="B207" s="299" t="s">
        <v>817</v>
      </c>
      <c r="C207" s="1534">
        <v>23</v>
      </c>
      <c r="D207" s="847">
        <v>23</v>
      </c>
      <c r="E207" s="401">
        <v>23</v>
      </c>
      <c r="F207" s="1568">
        <v>23</v>
      </c>
      <c r="G207" s="860">
        <v>23</v>
      </c>
      <c r="H207" s="147">
        <v>23</v>
      </c>
      <c r="I207" s="860"/>
      <c r="J207" s="860"/>
      <c r="K207" s="860"/>
      <c r="L207" s="1021">
        <f>IF((F207+I207)/C207&gt;=100%,100%,(F207+I207)/C207)</f>
        <v>1</v>
      </c>
      <c r="M207" s="1090">
        <f>IF((G207+J207)/D207&gt;=100%,100%,(G207+J207)/D207)</f>
        <v>1</v>
      </c>
      <c r="N207" s="821">
        <f t="shared" si="210"/>
        <v>1</v>
      </c>
      <c r="O207" s="2165" t="s">
        <v>2374</v>
      </c>
      <c r="P207" s="1507"/>
      <c r="Q207" s="2041" t="s">
        <v>2183</v>
      </c>
      <c r="R207" s="1015"/>
      <c r="S207" s="1013" t="s">
        <v>2182</v>
      </c>
      <c r="T207" s="195" t="s">
        <v>2211</v>
      </c>
      <c r="U207" s="195"/>
      <c r="V207" s="195"/>
      <c r="W207" s="1024"/>
      <c r="X207" s="195"/>
      <c r="Y207" s="241">
        <v>23</v>
      </c>
      <c r="Z207" s="1026">
        <f t="shared" si="205"/>
        <v>69</v>
      </c>
      <c r="AA207" s="1387">
        <f t="shared" si="206"/>
        <v>1</v>
      </c>
      <c r="AB207" s="1528">
        <v>0.2</v>
      </c>
      <c r="AC207" s="477">
        <v>0.5</v>
      </c>
      <c r="AD207" s="472">
        <v>0.3</v>
      </c>
      <c r="AE207" s="1479">
        <v>109000000</v>
      </c>
      <c r="AF207" s="1569">
        <v>97000000</v>
      </c>
      <c r="AG207" s="1968">
        <v>98346960</v>
      </c>
      <c r="AH207" s="2143">
        <v>108783707</v>
      </c>
      <c r="AI207" s="1995">
        <f t="shared" si="200"/>
        <v>0.99801566055045876</v>
      </c>
      <c r="AJ207" s="1569">
        <v>46400000</v>
      </c>
      <c r="AK207" s="1570">
        <v>91161821</v>
      </c>
      <c r="AL207" s="1570">
        <v>102852614</v>
      </c>
      <c r="AM207" s="1030">
        <f t="shared" si="201"/>
        <v>0.94360196330275226</v>
      </c>
      <c r="AN207" s="997">
        <f t="shared" si="207"/>
        <v>5931093</v>
      </c>
      <c r="AO207" s="1571">
        <v>50600000</v>
      </c>
      <c r="AP207" s="1569">
        <v>50600000</v>
      </c>
      <c r="AQ207" s="2010">
        <v>7185139</v>
      </c>
      <c r="AR207" s="2010">
        <v>4456038</v>
      </c>
      <c r="AS207" s="1053">
        <f t="shared" si="202"/>
        <v>0.62017422349101392</v>
      </c>
      <c r="AT207" s="1054">
        <v>500000000</v>
      </c>
      <c r="AU207" s="993">
        <f t="shared" si="208"/>
        <v>295470473</v>
      </c>
      <c r="AV207" s="1139">
        <f t="shared" si="209"/>
        <v>0.59094094600000002</v>
      </c>
      <c r="AW207" s="1140"/>
      <c r="AX207" s="1140"/>
      <c r="AY207" s="189" t="s">
        <v>302</v>
      </c>
      <c r="AZ207" s="1538" t="s">
        <v>905</v>
      </c>
      <c r="BA207" s="1037"/>
      <c r="BB207" s="1037"/>
    </row>
    <row r="208" spans="1:54" s="617" customFormat="1" ht="42.75" customHeight="1" thickBot="1">
      <c r="A208" s="1065" t="s">
        <v>436</v>
      </c>
      <c r="B208" s="1066"/>
      <c r="C208" s="862"/>
      <c r="D208" s="835"/>
      <c r="E208" s="222"/>
      <c r="F208" s="1067"/>
      <c r="G208" s="862"/>
      <c r="H208" s="129"/>
      <c r="I208" s="862"/>
      <c r="J208" s="862"/>
      <c r="K208" s="862"/>
      <c r="L208" s="1077">
        <f>+(L209*0%)</f>
        <v>0</v>
      </c>
      <c r="M208" s="1068">
        <f>+(M209*AC209)</f>
        <v>0</v>
      </c>
      <c r="N208" s="1068">
        <f>+(N209*AD209)</f>
        <v>1</v>
      </c>
      <c r="O208" s="948"/>
      <c r="P208" s="1463"/>
      <c r="Q208" s="1071"/>
      <c r="R208" s="1069"/>
      <c r="S208" s="1069"/>
      <c r="T208" s="1464"/>
      <c r="U208" s="1464"/>
      <c r="V208" s="1464"/>
      <c r="W208" s="1072"/>
      <c r="X208" s="1464"/>
      <c r="Y208" s="1465"/>
      <c r="Z208" s="1075">
        <f t="shared" si="205"/>
        <v>0</v>
      </c>
      <c r="AA208" s="1246">
        <f>+(AA209*AB209)</f>
        <v>0.5</v>
      </c>
      <c r="AB208" s="1077">
        <v>0.15</v>
      </c>
      <c r="AC208" s="883">
        <v>0</v>
      </c>
      <c r="AD208" s="470">
        <v>0.15</v>
      </c>
      <c r="AE208" s="1078">
        <v>4683573979</v>
      </c>
      <c r="AF208" s="1078">
        <f>+AF209</f>
        <v>0</v>
      </c>
      <c r="AG208" s="1066">
        <f>+AG209</f>
        <v>0</v>
      </c>
      <c r="AH208" s="2114">
        <f>+AH209</f>
        <v>4664621367.4099998</v>
      </c>
      <c r="AI208" s="1986">
        <f t="shared" si="200"/>
        <v>0.99595338694873214</v>
      </c>
      <c r="AJ208" s="1078">
        <f>+AJ209</f>
        <v>0</v>
      </c>
      <c r="AK208" s="1078">
        <f>+AK209</f>
        <v>0</v>
      </c>
      <c r="AL208" s="1078">
        <f>+AL209</f>
        <v>1238760297.3699999</v>
      </c>
      <c r="AM208" s="1075">
        <f t="shared" si="201"/>
        <v>0.26449038766640559</v>
      </c>
      <c r="AN208" s="1066">
        <f>+AN209</f>
        <v>3425861070.04</v>
      </c>
      <c r="AO208" s="1069">
        <f>+AO209</f>
        <v>0</v>
      </c>
      <c r="AP208" s="1078">
        <f>+AP209</f>
        <v>0</v>
      </c>
      <c r="AQ208" s="1078">
        <f>+AQ209</f>
        <v>0</v>
      </c>
      <c r="AR208" s="1078">
        <f>+AR209</f>
        <v>0</v>
      </c>
      <c r="AS208" s="1080" t="e">
        <f t="shared" si="202"/>
        <v>#DIV/0!</v>
      </c>
      <c r="AT208" s="1078">
        <f t="shared" ref="AT208:AU208" si="211">+AT209</f>
        <v>3500000000</v>
      </c>
      <c r="AU208" s="1078">
        <f t="shared" si="211"/>
        <v>1238760297.3699999</v>
      </c>
      <c r="AV208" s="1077">
        <f t="shared" si="209"/>
        <v>0.3539315135342857</v>
      </c>
      <c r="AW208" s="1071"/>
      <c r="AX208" s="1071" t="s">
        <v>298</v>
      </c>
      <c r="AY208" s="1069"/>
      <c r="AZ208" s="1066"/>
      <c r="BA208" s="1082"/>
      <c r="BB208" s="1082"/>
    </row>
    <row r="209" spans="1:54" ht="46.5" customHeight="1" thickBot="1">
      <c r="A209" s="331" t="s">
        <v>488</v>
      </c>
      <c r="B209" s="437"/>
      <c r="C209" s="873"/>
      <c r="D209" s="849"/>
      <c r="E209" s="223"/>
      <c r="F209" s="1572"/>
      <c r="G209" s="873"/>
      <c r="H209" s="139"/>
      <c r="I209" s="873"/>
      <c r="J209" s="873"/>
      <c r="K209" s="873"/>
      <c r="L209" s="294">
        <v>0</v>
      </c>
      <c r="M209" s="1573">
        <f>+SUMPRODUCT(M210:M210,AC210:AC210)</f>
        <v>0</v>
      </c>
      <c r="N209" s="1573">
        <f>+SUMPRODUCT(N210:N210,AD210:AD210)</f>
        <v>1</v>
      </c>
      <c r="O209" s="965"/>
      <c r="P209" s="1575"/>
      <c r="Q209" s="243"/>
      <c r="R209" s="1576"/>
      <c r="S209" s="1576"/>
      <c r="T209" s="1577"/>
      <c r="U209" s="1577"/>
      <c r="V209" s="1577"/>
      <c r="W209" s="1578"/>
      <c r="X209" s="1577"/>
      <c r="Y209" s="1579"/>
      <c r="Z209" s="261">
        <f t="shared" si="205"/>
        <v>0</v>
      </c>
      <c r="AA209" s="1580">
        <f>+SUMPRODUCT(AA210:AA210,AB210:AB210)</f>
        <v>0.5</v>
      </c>
      <c r="AB209" s="294">
        <v>1</v>
      </c>
      <c r="AC209" s="899">
        <v>0</v>
      </c>
      <c r="AD209" s="471">
        <v>1</v>
      </c>
      <c r="AE209" s="1581">
        <v>4683573979</v>
      </c>
      <c r="AF209" s="1581">
        <f>SUM(AF210)</f>
        <v>0</v>
      </c>
      <c r="AG209" s="437">
        <f>SUM(AG210)</f>
        <v>0</v>
      </c>
      <c r="AH209" s="2115">
        <f>SUM(AH210)</f>
        <v>4664621367.4099998</v>
      </c>
      <c r="AI209" s="1992">
        <f t="shared" si="200"/>
        <v>0.99595338694873214</v>
      </c>
      <c r="AJ209" s="1581">
        <f>SUM(AJ210)</f>
        <v>0</v>
      </c>
      <c r="AK209" s="1581">
        <f>SUM(AK210)</f>
        <v>0</v>
      </c>
      <c r="AL209" s="1976">
        <f>SUM(AL210)</f>
        <v>1238760297.3699999</v>
      </c>
      <c r="AM209" s="1583">
        <f t="shared" si="201"/>
        <v>0.26449038766640559</v>
      </c>
      <c r="AN209" s="1584">
        <f>SUM(AN210)</f>
        <v>3425861070.04</v>
      </c>
      <c r="AO209" s="1576">
        <f>SUM(AO210)</f>
        <v>0</v>
      </c>
      <c r="AP209" s="1581">
        <f>SUM(AP210)</f>
        <v>0</v>
      </c>
      <c r="AQ209" s="1581">
        <f>SUM(AQ210)</f>
        <v>0</v>
      </c>
      <c r="AR209" s="1581">
        <f>SUM(AR210)</f>
        <v>0</v>
      </c>
      <c r="AS209" s="613" t="e">
        <f t="shared" si="202"/>
        <v>#DIV/0!</v>
      </c>
      <c r="AT209" s="1585">
        <f t="shared" ref="AT209:AU209" si="212">SUM(AT210)</f>
        <v>3500000000</v>
      </c>
      <c r="AU209" s="1585">
        <f t="shared" si="212"/>
        <v>1238760297.3699999</v>
      </c>
      <c r="AV209" s="1586">
        <f t="shared" si="209"/>
        <v>0.3539315135342857</v>
      </c>
      <c r="AW209" s="1587"/>
      <c r="AX209" s="1588"/>
      <c r="AY209" s="1589"/>
      <c r="AZ209" s="1584"/>
      <c r="BA209" s="1590"/>
      <c r="BB209" s="1590"/>
    </row>
    <row r="210" spans="1:54" ht="72.75" customHeight="1" thickBot="1">
      <c r="A210" s="1468" t="s">
        <v>645</v>
      </c>
      <c r="B210" s="1475" t="s">
        <v>818</v>
      </c>
      <c r="C210" s="1505">
        <v>0</v>
      </c>
      <c r="D210" s="850">
        <v>0</v>
      </c>
      <c r="E210" s="218">
        <v>1</v>
      </c>
      <c r="F210" s="870">
        <v>0</v>
      </c>
      <c r="G210" s="860">
        <v>0</v>
      </c>
      <c r="H210" s="147">
        <v>1</v>
      </c>
      <c r="I210" s="860"/>
      <c r="J210" s="860"/>
      <c r="K210" s="860"/>
      <c r="L210" s="1021" t="e">
        <f t="shared" ref="L210" si="213">IF((F210+I210)/C210&gt;=100%,100%,(F210+I210)/C210)</f>
        <v>#DIV/0!</v>
      </c>
      <c r="M210" s="1204" t="s">
        <v>2163</v>
      </c>
      <c r="N210" s="821">
        <f t="shared" ref="N210" si="214">IF((H210/E210)&gt;=100%,100%,(H210/E210))</f>
        <v>1</v>
      </c>
      <c r="O210" s="2165" t="s">
        <v>2375</v>
      </c>
      <c r="P210" s="1507"/>
      <c r="Q210" s="206"/>
      <c r="R210" s="207"/>
      <c r="S210" s="1023"/>
      <c r="T210" s="195"/>
      <c r="U210" s="195"/>
      <c r="V210" s="195"/>
      <c r="W210" s="1024"/>
      <c r="X210" s="195"/>
      <c r="Y210" s="241">
        <v>2</v>
      </c>
      <c r="Z210" s="1026">
        <f t="shared" si="205"/>
        <v>1</v>
      </c>
      <c r="AA210" s="1387">
        <f t="shared" ref="AA210" si="215">IF(Z210/Y210&gt;=100%,100%,Z210/Y210)</f>
        <v>0.5</v>
      </c>
      <c r="AB210" s="1388">
        <v>1</v>
      </c>
      <c r="AC210" s="477">
        <v>0</v>
      </c>
      <c r="AD210" s="472">
        <v>1</v>
      </c>
      <c r="AE210" s="1591">
        <v>4683573979</v>
      </c>
      <c r="AF210" s="1592">
        <v>0</v>
      </c>
      <c r="AG210" s="2092">
        <v>0</v>
      </c>
      <c r="AH210" s="2142">
        <v>4664621367.4099998</v>
      </c>
      <c r="AI210" s="1995">
        <f t="shared" si="200"/>
        <v>0.99595338694873214</v>
      </c>
      <c r="AJ210" s="1592">
        <v>0</v>
      </c>
      <c r="AK210" s="1591">
        <v>0</v>
      </c>
      <c r="AL210" s="1280">
        <v>1238760297.3699999</v>
      </c>
      <c r="AM210" s="1026">
        <f t="shared" si="201"/>
        <v>0.26449038766640559</v>
      </c>
      <c r="AN210" s="997">
        <f>+AH210-AL210</f>
        <v>3425861070.04</v>
      </c>
      <c r="AO210" s="1593">
        <v>0</v>
      </c>
      <c r="AP210" s="1515">
        <v>0</v>
      </c>
      <c r="AQ210" s="2009"/>
      <c r="AR210" s="2009"/>
      <c r="AS210" s="1053" t="e">
        <f t="shared" si="202"/>
        <v>#DIV/0!</v>
      </c>
      <c r="AT210" s="1054">
        <v>3500000000</v>
      </c>
      <c r="AU210" s="993">
        <f t="shared" ref="AU210" si="216">SUM(AJ210:AL210)+AR210+AP210</f>
        <v>1238760297.3699999</v>
      </c>
      <c r="AV210" s="1139">
        <f t="shared" si="209"/>
        <v>0.3539315135342857</v>
      </c>
      <c r="AW210" s="1140"/>
      <c r="AX210" s="173"/>
      <c r="AY210" s="189" t="s">
        <v>302</v>
      </c>
      <c r="AZ210" s="1512" t="s">
        <v>905</v>
      </c>
      <c r="BA210" s="1037"/>
      <c r="BB210" s="1037"/>
    </row>
    <row r="211" spans="1:54" ht="46.5" customHeight="1" thickBot="1">
      <c r="A211" s="919" t="s">
        <v>419</v>
      </c>
      <c r="B211" s="1185"/>
      <c r="C211" s="869"/>
      <c r="D211" s="1186"/>
      <c r="E211" s="1186"/>
      <c r="F211" s="1186"/>
      <c r="G211" s="1186"/>
      <c r="H211" s="1186"/>
      <c r="I211" s="869"/>
      <c r="J211" s="869"/>
      <c r="K211" s="869"/>
      <c r="L211" s="924">
        <f>+(L212*AB212)+(L218*AB218)+(L229*AB229)+(L239*AB239)+(L245*AB245)+(L250*AB250)+(L260*AB260)+(L270*AB270)+(L278*AB278)+(L286*AB286)+(L293*AB293)</f>
        <v>0.99352666666666667</v>
      </c>
      <c r="M211" s="924">
        <f>+(M212*AC212)+(M218*AC218)+(M229*AC229)+(M239*AC239)+(M245*AC245)+(M250*AC250)+(M260*AC260)+(M270*AC270)+(M278*AC278)+(M286*AC286)+(M293*AC293)</f>
        <v>0.97039999999999982</v>
      </c>
      <c r="N211" s="924">
        <f>+(N212*AD212)+(N218*AD218)+(N229*AD229)+(N239*AD239)+(N245*AD245)+(N250*AD250)+(N260*AD260)+(N270*AD270)+(N278*AD278)+(N286*AD286)+(N293*AD293)</f>
        <v>0.94592027871148443</v>
      </c>
      <c r="O211" s="925"/>
      <c r="P211" s="1459"/>
      <c r="Q211" s="927"/>
      <c r="R211" s="925"/>
      <c r="S211" s="925"/>
      <c r="T211" s="1460"/>
      <c r="U211" s="1460"/>
      <c r="V211" s="1460"/>
      <c r="W211" s="1461"/>
      <c r="X211" s="1460"/>
      <c r="Y211" s="1462"/>
      <c r="Z211" s="1194">
        <f t="shared" si="205"/>
        <v>0</v>
      </c>
      <c r="AA211" s="932">
        <f>+(AA212*AB212)+(AA218*AB218)+(AA229*AB229)+(AA239*AB239)+(AA245*AB245)+(AA250*AB250)+(AA260*AB260)+(AA270*AB270)+(AA278*AB278)+(AA286*AB286)+(AA293*AB293)</f>
        <v>0.80601215022268535</v>
      </c>
      <c r="AB211" s="933">
        <v>0.15</v>
      </c>
      <c r="AC211" s="877">
        <v>0.15</v>
      </c>
      <c r="AD211" s="877">
        <v>0.15</v>
      </c>
      <c r="AE211" s="934">
        <v>6300990838</v>
      </c>
      <c r="AF211" s="935">
        <f>+AF212+AF218+AF229+AF239+AF245+AF250+AF260+AF270+AF278+AF286</f>
        <v>3756011938.75</v>
      </c>
      <c r="AG211" s="2052">
        <f>+AG212+AG218+AG229+AG239+AG245+AG250+AG260+AG270+AG278+AG286</f>
        <v>5306096496.5799999</v>
      </c>
      <c r="AH211" s="2113">
        <f>+AH212+AH218+AH229+AH239+AH245+AH250+AH260+AH270+AH278+AH286</f>
        <v>6174033209.7399998</v>
      </c>
      <c r="AI211" s="1982">
        <f t="shared" si="200"/>
        <v>0.97985116443998865</v>
      </c>
      <c r="AJ211" s="935">
        <f>+AJ212+AJ218+AJ229+AJ239+AJ245+AJ250+AJ260+AJ270+AJ278+AJ286</f>
        <v>1884731885</v>
      </c>
      <c r="AK211" s="935">
        <f>+AK212+AK218+AK229+AK239+AK245+AK250+AK260+AK270+AK278+AK286</f>
        <v>4098867829.7200003</v>
      </c>
      <c r="AL211" s="935">
        <f>+AL212+AL218+AL229+AL239+AL245+AL250+AL260+AL270+AL278+AL286</f>
        <v>5741471631.8499994</v>
      </c>
      <c r="AM211" s="936">
        <f t="shared" si="201"/>
        <v>0.91120139347360207</v>
      </c>
      <c r="AN211" s="920">
        <f>+AN212+AN218+AN229+AN239+AN245+AN250+AN260+AN270+AN278+AN286</f>
        <v>432561577.88999999</v>
      </c>
      <c r="AO211" s="1594">
        <f>+AO212+AO218+AO229+AO239+AO245+AO250+AO260+AO270+AO278+AO286+AO293</f>
        <v>1973271694.75</v>
      </c>
      <c r="AP211" s="1594">
        <f>+AP212+AP218+AP229+AP239+AP245+AP250+AP260+AP270+AP278+AP286+AP294</f>
        <v>1791889983.02</v>
      </c>
      <c r="AQ211" s="1594">
        <f>+AQ212+AQ218+AQ229+AQ239+AQ245+AQ250+AQ260+AQ270+AQ278+AQ286+AQ293</f>
        <v>1221478666.8599999</v>
      </c>
      <c r="AR211" s="1594">
        <f>+AR212+AR218+AR229+AR239+AR245+AR250+AR260+AR270+AR278+AR286</f>
        <v>1125926103.2</v>
      </c>
      <c r="AS211" s="1195">
        <f t="shared" si="202"/>
        <v>0.92177303930683252</v>
      </c>
      <c r="AT211" s="934">
        <f>+AT212+AT218+AT229+AT239+AT245+AT250+AT260+AT270+AT278+AT286</f>
        <v>33671000000</v>
      </c>
      <c r="AU211" s="934">
        <f>+AU212+AU218+AU229+AU239+AU245+AU250+AU260+AU270+AU278+AU286</f>
        <v>14640669038.790001</v>
      </c>
      <c r="AV211" s="933">
        <f t="shared" si="209"/>
        <v>0.43481539125033414</v>
      </c>
      <c r="AW211" s="939"/>
      <c r="AX211" s="939"/>
      <c r="AY211" s="937"/>
      <c r="AZ211" s="920"/>
      <c r="BA211" s="1196"/>
      <c r="BB211" s="1196"/>
    </row>
    <row r="212" spans="1:54" ht="57" customHeight="1" thickBot="1">
      <c r="A212" s="1065" t="s">
        <v>437</v>
      </c>
      <c r="B212" s="1066"/>
      <c r="C212" s="862"/>
      <c r="D212" s="835"/>
      <c r="E212" s="835"/>
      <c r="F212" s="835"/>
      <c r="G212" s="835"/>
      <c r="H212" s="835"/>
      <c r="I212" s="862"/>
      <c r="J212" s="862"/>
      <c r="K212" s="862"/>
      <c r="L212" s="1077">
        <f>+(L213*AB213)</f>
        <v>1</v>
      </c>
      <c r="M212" s="1068">
        <f>+(M213*AC213)</f>
        <v>1</v>
      </c>
      <c r="N212" s="1068">
        <f>+(N213*AD213)</f>
        <v>1</v>
      </c>
      <c r="O212" s="948"/>
      <c r="P212" s="1463"/>
      <c r="Q212" s="1071"/>
      <c r="R212" s="1069"/>
      <c r="S212" s="1069"/>
      <c r="T212" s="1464"/>
      <c r="U212" s="1464"/>
      <c r="V212" s="1464"/>
      <c r="W212" s="1072"/>
      <c r="X212" s="1464"/>
      <c r="Y212" s="1465"/>
      <c r="Z212" s="1075">
        <f t="shared" si="205"/>
        <v>0</v>
      </c>
      <c r="AA212" s="1246">
        <f>+(AA213*AB213)</f>
        <v>0.97333333333333338</v>
      </c>
      <c r="AB212" s="1077">
        <v>0.1</v>
      </c>
      <c r="AC212" s="883">
        <v>0.1</v>
      </c>
      <c r="AD212" s="470">
        <v>0.1</v>
      </c>
      <c r="AE212" s="1078">
        <v>655000000</v>
      </c>
      <c r="AF212" s="1078">
        <f>+AF213</f>
        <v>341342657</v>
      </c>
      <c r="AG212" s="1066">
        <f>+AG213</f>
        <v>576619318.39999998</v>
      </c>
      <c r="AH212" s="2114">
        <f>+AH213</f>
        <v>544014835</v>
      </c>
      <c r="AI212" s="1986">
        <f t="shared" si="200"/>
        <v>0.83055699999999999</v>
      </c>
      <c r="AJ212" s="1078">
        <f>+AJ213</f>
        <v>313342657</v>
      </c>
      <c r="AK212" s="1078">
        <f>+AK213</f>
        <v>500799213</v>
      </c>
      <c r="AL212" s="1078">
        <f>+AL213</f>
        <v>477240510</v>
      </c>
      <c r="AM212" s="1068">
        <f t="shared" si="201"/>
        <v>0.72861146564885493</v>
      </c>
      <c r="AN212" s="1066">
        <f>+AN213</f>
        <v>66774325</v>
      </c>
      <c r="AO212" s="1069">
        <f>+AO213</f>
        <v>28000000</v>
      </c>
      <c r="AP212" s="1078">
        <f>+AP213</f>
        <v>19001563</v>
      </c>
      <c r="AQ212" s="1078">
        <f>+AQ213</f>
        <v>75820105.400000006</v>
      </c>
      <c r="AR212" s="1078">
        <f>+AR213</f>
        <v>60377211.399999999</v>
      </c>
      <c r="AS212" s="1314">
        <f t="shared" si="202"/>
        <v>0.79632191331667546</v>
      </c>
      <c r="AT212" s="1078">
        <f>+AT213</f>
        <v>2270000000</v>
      </c>
      <c r="AU212" s="1078">
        <f>+AU213</f>
        <v>1370761154.4000001</v>
      </c>
      <c r="AV212" s="1077">
        <f t="shared" si="209"/>
        <v>0.60385953938325998</v>
      </c>
      <c r="AW212" s="1071"/>
      <c r="AX212" s="1071" t="s">
        <v>301</v>
      </c>
      <c r="AY212" s="1069"/>
      <c r="AZ212" s="1066"/>
      <c r="BA212" s="1315"/>
      <c r="BB212" s="1315"/>
    </row>
    <row r="213" spans="1:54" ht="43.5" customHeight="1" thickBot="1">
      <c r="A213" s="331" t="s">
        <v>489</v>
      </c>
      <c r="B213" s="437"/>
      <c r="C213" s="873"/>
      <c r="D213" s="849"/>
      <c r="E213" s="223"/>
      <c r="F213" s="1572"/>
      <c r="G213" s="873"/>
      <c r="H213" s="139"/>
      <c r="I213" s="873"/>
      <c r="J213" s="873"/>
      <c r="K213" s="873"/>
      <c r="L213" s="294">
        <f>+(L215*13%)+(L216*44%)+(L217*43%)</f>
        <v>1</v>
      </c>
      <c r="M213" s="1573">
        <f>+SUMPRODUCT(M214:M217,AC214:AC217)</f>
        <v>1</v>
      </c>
      <c r="N213" s="1573">
        <f>+SUMPRODUCT(N214:N217,AD214:AD217)</f>
        <v>1</v>
      </c>
      <c r="O213" s="965"/>
      <c r="P213" s="1575"/>
      <c r="Q213" s="243"/>
      <c r="R213" s="1576"/>
      <c r="S213" s="1576"/>
      <c r="T213" s="1577"/>
      <c r="U213" s="1577"/>
      <c r="V213" s="1577"/>
      <c r="W213" s="1578"/>
      <c r="X213" s="1577"/>
      <c r="Y213" s="1579"/>
      <c r="Z213" s="261">
        <f t="shared" si="205"/>
        <v>0</v>
      </c>
      <c r="AA213" s="1580">
        <f>+SUMPRODUCT(AA214:AA217,AB214:AB217)</f>
        <v>0.97333333333333338</v>
      </c>
      <c r="AB213" s="294">
        <v>1</v>
      </c>
      <c r="AC213" s="899">
        <v>1</v>
      </c>
      <c r="AD213" s="471">
        <v>1</v>
      </c>
      <c r="AE213" s="1581">
        <v>655000000</v>
      </c>
      <c r="AF213" s="1581">
        <f>SUM(AF214:AF217)</f>
        <v>341342657</v>
      </c>
      <c r="AG213" s="437">
        <f>SUM(AG214:AG217)</f>
        <v>576619318.39999998</v>
      </c>
      <c r="AH213" s="2115">
        <f>SUM(AH214:AH217)</f>
        <v>544014835</v>
      </c>
      <c r="AI213" s="1992">
        <f t="shared" si="200"/>
        <v>0.83055699999999999</v>
      </c>
      <c r="AJ213" s="1581">
        <f>SUM(AJ214:AJ217)</f>
        <v>313342657</v>
      </c>
      <c r="AK213" s="1581">
        <f>SUM(AK214:AK217)</f>
        <v>500799213</v>
      </c>
      <c r="AL213" s="1976">
        <f>SUM(AL214:AL217)</f>
        <v>477240510</v>
      </c>
      <c r="AM213" s="1595">
        <f t="shared" si="201"/>
        <v>0.72861146564885493</v>
      </c>
      <c r="AN213" s="1584">
        <f>SUM(AN214:AN217)</f>
        <v>66774325</v>
      </c>
      <c r="AO213" s="1576">
        <f>SUM(AO214:AO217)</f>
        <v>28000000</v>
      </c>
      <c r="AP213" s="1581">
        <f>SUM(AP214:AP217)</f>
        <v>19001563</v>
      </c>
      <c r="AQ213" s="1581">
        <f>SUM(AQ214:AQ217)</f>
        <v>75820105.400000006</v>
      </c>
      <c r="AR213" s="1581">
        <f>SUM(AR214:AR217)</f>
        <v>60377211.399999999</v>
      </c>
      <c r="AS213" s="613">
        <f t="shared" si="202"/>
        <v>0.79632191331667546</v>
      </c>
      <c r="AT213" s="1581">
        <f>SUM(AT214:AT217)</f>
        <v>2270000000</v>
      </c>
      <c r="AU213" s="1581">
        <f>SUM(AU214:AU217)</f>
        <v>1370761154.4000001</v>
      </c>
      <c r="AV213" s="1586">
        <f t="shared" si="209"/>
        <v>0.60385953938325998</v>
      </c>
      <c r="AW213" s="1587"/>
      <c r="AX213" s="1588"/>
      <c r="AY213" s="1589"/>
      <c r="AZ213" s="1584"/>
      <c r="BA213" s="1590"/>
      <c r="BB213" s="1590"/>
    </row>
    <row r="214" spans="1:54" ht="63.75" customHeight="1">
      <c r="A214" s="352" t="s">
        <v>646</v>
      </c>
      <c r="B214" s="457" t="s">
        <v>819</v>
      </c>
      <c r="C214" s="1596">
        <v>0</v>
      </c>
      <c r="D214" s="407">
        <v>1</v>
      </c>
      <c r="E214" s="407">
        <v>0</v>
      </c>
      <c r="F214" s="304">
        <v>0</v>
      </c>
      <c r="G214" s="147">
        <v>1</v>
      </c>
      <c r="H214" s="147">
        <v>0</v>
      </c>
      <c r="I214" s="147"/>
      <c r="J214" s="147"/>
      <c r="K214" s="147"/>
      <c r="L214" s="180" t="e">
        <f t="shared" ref="L214:M217" si="217">IF((F214+I214)/C214&gt;=100%,100%,(F214+I214)/C214)</f>
        <v>#DIV/0!</v>
      </c>
      <c r="M214" s="1090">
        <f t="shared" si="217"/>
        <v>1</v>
      </c>
      <c r="N214" s="821" t="s">
        <v>2163</v>
      </c>
      <c r="O214" s="2165"/>
      <c r="P214" s="1507"/>
      <c r="Q214" s="101"/>
      <c r="R214" s="104"/>
      <c r="S214" s="146"/>
      <c r="T214" s="195"/>
      <c r="U214" s="195"/>
      <c r="V214" s="195"/>
      <c r="W214" s="150"/>
      <c r="X214" s="195"/>
      <c r="Y214" s="241">
        <v>1</v>
      </c>
      <c r="Z214" s="242">
        <f t="shared" si="205"/>
        <v>1</v>
      </c>
      <c r="AA214" s="186">
        <f t="shared" ref="AA214:AA217" si="218">IF(Z214/Y214&gt;=100%,100%,Z214/Y214)</f>
        <v>1</v>
      </c>
      <c r="AB214" s="1597">
        <v>0.1</v>
      </c>
      <c r="AC214" s="502">
        <v>0.1</v>
      </c>
      <c r="AD214" s="502">
        <v>0</v>
      </c>
      <c r="AE214" s="544">
        <v>0</v>
      </c>
      <c r="AF214" s="376">
        <v>0</v>
      </c>
      <c r="AG214" s="2093">
        <v>78856872</v>
      </c>
      <c r="AH214" s="2145">
        <v>0</v>
      </c>
      <c r="AI214" s="1996" t="e">
        <f t="shared" si="200"/>
        <v>#DIV/0!</v>
      </c>
      <c r="AJ214" s="376">
        <v>0</v>
      </c>
      <c r="AK214" s="544">
        <v>75227275</v>
      </c>
      <c r="AL214" s="1604">
        <v>0</v>
      </c>
      <c r="AM214" s="1030" t="e">
        <f t="shared" si="201"/>
        <v>#DIV/0!</v>
      </c>
      <c r="AN214" s="997">
        <f t="shared" ref="AN214:AN217" si="219">+AH214-AL214</f>
        <v>0</v>
      </c>
      <c r="AO214" s="1598">
        <v>0</v>
      </c>
      <c r="AP214" s="376">
        <v>0</v>
      </c>
      <c r="AQ214" s="2011">
        <v>3629597</v>
      </c>
      <c r="AR214" s="2011">
        <v>3073553</v>
      </c>
      <c r="AS214" s="614">
        <f t="shared" si="202"/>
        <v>0.84680282687031094</v>
      </c>
      <c r="AT214" s="250">
        <v>100000000</v>
      </c>
      <c r="AU214" s="993">
        <f t="shared" ref="AU214:AU217" si="220">SUM(AJ214:AL214)+AR214+AP214</f>
        <v>78300828</v>
      </c>
      <c r="AV214" s="1030">
        <f t="shared" si="209"/>
        <v>0.78300828</v>
      </c>
      <c r="AW214" s="173"/>
      <c r="AX214" s="157"/>
      <c r="AY214" s="152" t="s">
        <v>302</v>
      </c>
      <c r="AZ214" s="1599" t="s">
        <v>890</v>
      </c>
      <c r="BA214" s="93"/>
      <c r="BB214" s="93"/>
    </row>
    <row r="215" spans="1:54" ht="78.75" customHeight="1">
      <c r="A215" s="352" t="s">
        <v>647</v>
      </c>
      <c r="B215" s="457" t="s">
        <v>820</v>
      </c>
      <c r="C215" s="1596">
        <v>3</v>
      </c>
      <c r="D215" s="407">
        <v>4</v>
      </c>
      <c r="E215" s="407">
        <v>4</v>
      </c>
      <c r="F215" s="304">
        <v>3</v>
      </c>
      <c r="G215" s="147">
        <v>4</v>
      </c>
      <c r="H215" s="147">
        <v>4</v>
      </c>
      <c r="I215" s="147"/>
      <c r="J215" s="147"/>
      <c r="K215" s="147"/>
      <c r="L215" s="180">
        <f t="shared" si="217"/>
        <v>1</v>
      </c>
      <c r="M215" s="1090">
        <f t="shared" si="217"/>
        <v>1</v>
      </c>
      <c r="N215" s="821">
        <f t="shared" ref="N215:N217" si="221">IF((H215/E215)&gt;=100%,100%,(H215/E215))</f>
        <v>1</v>
      </c>
      <c r="O215" s="2165" t="s">
        <v>2376</v>
      </c>
      <c r="P215" s="1507"/>
      <c r="Q215" s="197" t="s">
        <v>2170</v>
      </c>
      <c r="R215" s="2045" t="s">
        <v>2212</v>
      </c>
      <c r="S215" s="146"/>
      <c r="T215" s="195"/>
      <c r="U215" s="195"/>
      <c r="V215" s="195"/>
      <c r="W215" s="150"/>
      <c r="X215" s="195"/>
      <c r="Y215" s="241">
        <v>15</v>
      </c>
      <c r="Z215" s="242">
        <f t="shared" si="205"/>
        <v>11</v>
      </c>
      <c r="AA215" s="186">
        <f t="shared" si="218"/>
        <v>0.73333333333333328</v>
      </c>
      <c r="AB215" s="1597">
        <v>0.1</v>
      </c>
      <c r="AC215" s="502">
        <v>0.1</v>
      </c>
      <c r="AD215" s="2034">
        <v>0.13</v>
      </c>
      <c r="AE215" s="544">
        <v>30000000</v>
      </c>
      <c r="AF215" s="376">
        <v>2112242</v>
      </c>
      <c r="AG215" s="2093">
        <v>7331359</v>
      </c>
      <c r="AH215" s="2145">
        <v>11373717</v>
      </c>
      <c r="AI215" s="1996">
        <f t="shared" si="200"/>
        <v>0.37912390000000001</v>
      </c>
      <c r="AJ215" s="376">
        <v>2112242</v>
      </c>
      <c r="AK215" s="544">
        <v>5555028</v>
      </c>
      <c r="AL215" s="1604">
        <v>11351087</v>
      </c>
      <c r="AM215" s="1139">
        <f t="shared" si="201"/>
        <v>0.37836956666666666</v>
      </c>
      <c r="AN215" s="997">
        <f t="shared" si="219"/>
        <v>22630</v>
      </c>
      <c r="AO215" s="1598">
        <v>0</v>
      </c>
      <c r="AP215" s="376">
        <v>0</v>
      </c>
      <c r="AQ215" s="2011">
        <v>1776331</v>
      </c>
      <c r="AR215" s="2011">
        <v>1504203</v>
      </c>
      <c r="AS215" s="1089">
        <f t="shared" si="202"/>
        <v>0.84680332663225488</v>
      </c>
      <c r="AT215" s="1118">
        <v>120000000</v>
      </c>
      <c r="AU215" s="993">
        <f t="shared" si="220"/>
        <v>20522560</v>
      </c>
      <c r="AV215" s="1139">
        <f t="shared" si="209"/>
        <v>0.17102133333333333</v>
      </c>
      <c r="AW215" s="1140"/>
      <c r="AX215" s="1119"/>
      <c r="AY215" s="152" t="s">
        <v>302</v>
      </c>
      <c r="AZ215" s="1599" t="s">
        <v>921</v>
      </c>
      <c r="BA215" s="93"/>
      <c r="BB215" s="93"/>
    </row>
    <row r="216" spans="1:54" ht="62.25" customHeight="1">
      <c r="A216" s="352" t="s">
        <v>648</v>
      </c>
      <c r="B216" s="457" t="s">
        <v>821</v>
      </c>
      <c r="C216" s="1600">
        <v>0.9</v>
      </c>
      <c r="D216" s="408">
        <v>0.9</v>
      </c>
      <c r="E216" s="408">
        <v>0.9</v>
      </c>
      <c r="F216" s="305">
        <v>0.9</v>
      </c>
      <c r="G216" s="182">
        <v>1</v>
      </c>
      <c r="H216" s="182">
        <v>0.9</v>
      </c>
      <c r="I216" s="147"/>
      <c r="J216" s="147"/>
      <c r="K216" s="147"/>
      <c r="L216" s="180">
        <f t="shared" si="217"/>
        <v>1</v>
      </c>
      <c r="M216" s="1090">
        <f t="shared" si="217"/>
        <v>1</v>
      </c>
      <c r="N216" s="821">
        <f t="shared" si="221"/>
        <v>1</v>
      </c>
      <c r="O216" s="2165" t="s">
        <v>2377</v>
      </c>
      <c r="P216" s="1507"/>
      <c r="Q216" s="2041" t="s">
        <v>2183</v>
      </c>
      <c r="R216" s="1015"/>
      <c r="S216" s="1013" t="s">
        <v>2182</v>
      </c>
      <c r="T216" s="2038" t="s">
        <v>2213</v>
      </c>
      <c r="U216" s="195"/>
      <c r="V216" s="195"/>
      <c r="W216" s="150"/>
      <c r="X216" s="195"/>
      <c r="Y216" s="208">
        <v>0.9</v>
      </c>
      <c r="Z216" s="242">
        <f t="shared" si="205"/>
        <v>2.8</v>
      </c>
      <c r="AA216" s="186">
        <f t="shared" si="218"/>
        <v>1</v>
      </c>
      <c r="AB216" s="1597">
        <v>0.4</v>
      </c>
      <c r="AC216" s="502">
        <v>0.4</v>
      </c>
      <c r="AD216" s="2034">
        <v>0.44</v>
      </c>
      <c r="AE216" s="544">
        <v>400000000</v>
      </c>
      <c r="AF216" s="376">
        <v>120914682</v>
      </c>
      <c r="AG216" s="2093">
        <v>179743921</v>
      </c>
      <c r="AH216" s="2145">
        <v>326463956</v>
      </c>
      <c r="AI216" s="1996">
        <f t="shared" si="200"/>
        <v>0.81615989</v>
      </c>
      <c r="AJ216" s="376">
        <v>92914682</v>
      </c>
      <c r="AK216" s="544">
        <v>123723644</v>
      </c>
      <c r="AL216" s="1604">
        <v>259712261</v>
      </c>
      <c r="AM216" s="1134">
        <f t="shared" si="201"/>
        <v>0.6492806525</v>
      </c>
      <c r="AN216" s="997">
        <f t="shared" si="219"/>
        <v>66751695</v>
      </c>
      <c r="AO216" s="1598">
        <v>28000000</v>
      </c>
      <c r="AP216" s="376">
        <v>19001563</v>
      </c>
      <c r="AQ216" s="2011">
        <v>56020277</v>
      </c>
      <c r="AR216" s="2011">
        <v>54562074</v>
      </c>
      <c r="AS216" s="1089">
        <f t="shared" si="202"/>
        <v>0.97397008586730127</v>
      </c>
      <c r="AT216" s="1118">
        <v>1050000000</v>
      </c>
      <c r="AU216" s="993">
        <f t="shared" si="220"/>
        <v>549914224</v>
      </c>
      <c r="AV216" s="1139">
        <f t="shared" si="209"/>
        <v>0.52372783238095233</v>
      </c>
      <c r="AW216" s="1140"/>
      <c r="AX216" s="1119"/>
      <c r="AY216" s="152" t="s">
        <v>302</v>
      </c>
      <c r="AZ216" s="1599" t="s">
        <v>922</v>
      </c>
      <c r="BA216" s="93"/>
      <c r="BB216" s="93"/>
    </row>
    <row r="217" spans="1:54" ht="78" customHeight="1" thickBot="1">
      <c r="A217" s="355" t="s">
        <v>649</v>
      </c>
      <c r="B217" s="310" t="s">
        <v>822</v>
      </c>
      <c r="C217" s="1601">
        <v>10</v>
      </c>
      <c r="D217" s="851">
        <v>10</v>
      </c>
      <c r="E217" s="407">
        <v>10</v>
      </c>
      <c r="F217" s="1602">
        <v>10</v>
      </c>
      <c r="G217" s="860">
        <v>31</v>
      </c>
      <c r="H217" s="147">
        <v>25</v>
      </c>
      <c r="I217" s="860"/>
      <c r="J217" s="860"/>
      <c r="K217" s="860"/>
      <c r="L217" s="1021">
        <f t="shared" si="217"/>
        <v>1</v>
      </c>
      <c r="M217" s="1090">
        <f t="shared" si="217"/>
        <v>1</v>
      </c>
      <c r="N217" s="821">
        <f t="shared" si="221"/>
        <v>1</v>
      </c>
      <c r="O217" s="2165" t="s">
        <v>2378</v>
      </c>
      <c r="P217" s="1507"/>
      <c r="Q217" s="197" t="s">
        <v>2170</v>
      </c>
      <c r="R217" s="2045" t="s">
        <v>2214</v>
      </c>
      <c r="S217" s="1023"/>
      <c r="T217" s="195"/>
      <c r="U217" s="195"/>
      <c r="V217" s="195"/>
      <c r="W217" s="1024"/>
      <c r="X217" s="195"/>
      <c r="Y217" s="241">
        <v>40</v>
      </c>
      <c r="Z217" s="1026">
        <f t="shared" si="205"/>
        <v>66</v>
      </c>
      <c r="AA217" s="1387">
        <f t="shared" si="218"/>
        <v>1</v>
      </c>
      <c r="AB217" s="1603">
        <v>0.4</v>
      </c>
      <c r="AC217" s="503">
        <v>0.4</v>
      </c>
      <c r="AD217" s="2034">
        <v>0.43</v>
      </c>
      <c r="AE217" s="1604">
        <v>225000000</v>
      </c>
      <c r="AF217" s="1605">
        <v>218315733</v>
      </c>
      <c r="AG217" s="2011">
        <v>310687166.39999998</v>
      </c>
      <c r="AH217" s="2145">
        <v>206177162</v>
      </c>
      <c r="AI217" s="1995">
        <f t="shared" si="200"/>
        <v>0.91634294222222223</v>
      </c>
      <c r="AJ217" s="1605">
        <v>218315733</v>
      </c>
      <c r="AK217" s="1604">
        <v>296293266</v>
      </c>
      <c r="AL217" s="1604">
        <v>206177162</v>
      </c>
      <c r="AM217" s="1030">
        <f t="shared" si="201"/>
        <v>0.91634294222222223</v>
      </c>
      <c r="AN217" s="997">
        <f t="shared" si="219"/>
        <v>0</v>
      </c>
      <c r="AO217" s="1606">
        <v>0</v>
      </c>
      <c r="AP217" s="1605">
        <v>0</v>
      </c>
      <c r="AQ217" s="2011">
        <v>14393900.4</v>
      </c>
      <c r="AR217" s="2011">
        <v>1237381.3999999999</v>
      </c>
      <c r="AS217" s="1053">
        <f t="shared" si="202"/>
        <v>8.5965677517123848E-2</v>
      </c>
      <c r="AT217" s="1054">
        <v>1000000000</v>
      </c>
      <c r="AU217" s="993">
        <f t="shared" si="220"/>
        <v>722023542.39999998</v>
      </c>
      <c r="AV217" s="1030">
        <f t="shared" si="209"/>
        <v>0.7220235424</v>
      </c>
      <c r="AW217" s="173"/>
      <c r="AX217" s="173"/>
      <c r="AY217" s="189" t="s">
        <v>302</v>
      </c>
      <c r="AZ217" s="1607" t="s">
        <v>923</v>
      </c>
      <c r="BA217" s="1037"/>
      <c r="BB217" s="1037"/>
    </row>
    <row r="218" spans="1:54" ht="48.75" customHeight="1" thickBot="1">
      <c r="A218" s="1065" t="s">
        <v>438</v>
      </c>
      <c r="B218" s="1066"/>
      <c r="C218" s="862"/>
      <c r="D218" s="835"/>
      <c r="E218" s="224"/>
      <c r="F218" s="1067"/>
      <c r="G218" s="862"/>
      <c r="H218" s="200"/>
      <c r="I218" s="862"/>
      <c r="J218" s="862"/>
      <c r="K218" s="862"/>
      <c r="L218" s="1077">
        <f>+(L219*AB219)+(L227*AB227)</f>
        <v>1</v>
      </c>
      <c r="M218" s="1068">
        <f>+(M219*AC219)+(M227*AC227)</f>
        <v>1</v>
      </c>
      <c r="N218" s="1068">
        <f>+(N219*AD219)+(N227*AD227)</f>
        <v>0.99999999999999933</v>
      </c>
      <c r="O218" s="948"/>
      <c r="P218" s="1463"/>
      <c r="Q218" s="1071"/>
      <c r="R218" s="1069"/>
      <c r="S218" s="1069"/>
      <c r="T218" s="1464"/>
      <c r="U218" s="1464"/>
      <c r="V218" s="1464"/>
      <c r="W218" s="1072"/>
      <c r="X218" s="1464"/>
      <c r="Y218" s="1465"/>
      <c r="Z218" s="1075">
        <f t="shared" si="205"/>
        <v>0</v>
      </c>
      <c r="AA218" s="1246">
        <f>+(AA219*AB219)+(AA227*AB227)</f>
        <v>0.71548387096774191</v>
      </c>
      <c r="AB218" s="1077">
        <v>0.1</v>
      </c>
      <c r="AC218" s="883">
        <v>0.1</v>
      </c>
      <c r="AD218" s="470">
        <v>0.1</v>
      </c>
      <c r="AE218" s="1078">
        <v>355000000</v>
      </c>
      <c r="AF218" s="1078">
        <f>+AF219+AF227</f>
        <v>103830000</v>
      </c>
      <c r="AG218" s="1066">
        <f>+AG219+AG227</f>
        <v>170793813</v>
      </c>
      <c r="AH218" s="2114">
        <f>+AH219+AH227</f>
        <v>354408889</v>
      </c>
      <c r="AI218" s="1986">
        <f t="shared" si="200"/>
        <v>0.99833489859154934</v>
      </c>
      <c r="AJ218" s="1078">
        <f>+AJ219+AJ227</f>
        <v>67230000</v>
      </c>
      <c r="AK218" s="1078">
        <f>+AK219+AK227</f>
        <v>154222709</v>
      </c>
      <c r="AL218" s="1078">
        <f>+AL219+AL227</f>
        <v>344918056</v>
      </c>
      <c r="AM218" s="1306">
        <f t="shared" si="201"/>
        <v>0.9716001577464789</v>
      </c>
      <c r="AN218" s="1066">
        <f>+AN219+AN227</f>
        <v>9490833</v>
      </c>
      <c r="AO218" s="1069">
        <f>+AO219+AO227</f>
        <v>36600000</v>
      </c>
      <c r="AP218" s="1078">
        <f>+AP219+AP227</f>
        <v>36600000</v>
      </c>
      <c r="AQ218" s="1078">
        <f>+AQ219+AQ227</f>
        <v>16571104</v>
      </c>
      <c r="AR218" s="1078">
        <f>+AR219+AR227</f>
        <v>14283762</v>
      </c>
      <c r="AS218" s="1314">
        <f t="shared" si="202"/>
        <v>0.86196803785674148</v>
      </c>
      <c r="AT218" s="1078">
        <f t="shared" ref="AT218" si="222">+AT219+AT227</f>
        <v>1570000000</v>
      </c>
      <c r="AU218" s="1078">
        <f>+AU219+AU227</f>
        <v>617254527</v>
      </c>
      <c r="AV218" s="1306">
        <f t="shared" si="209"/>
        <v>0.39315574968152867</v>
      </c>
      <c r="AW218" s="1071"/>
      <c r="AX218" s="1071" t="s">
        <v>301</v>
      </c>
      <c r="AY218" s="1069"/>
      <c r="AZ218" s="1066"/>
      <c r="BA218" s="1315"/>
      <c r="BB218" s="1315"/>
    </row>
    <row r="219" spans="1:54" ht="42" customHeight="1" thickBot="1">
      <c r="A219" s="331" t="s">
        <v>490</v>
      </c>
      <c r="B219" s="437"/>
      <c r="C219" s="873"/>
      <c r="D219" s="849"/>
      <c r="E219" s="223"/>
      <c r="F219" s="1572"/>
      <c r="G219" s="873"/>
      <c r="H219" s="139"/>
      <c r="I219" s="873"/>
      <c r="J219" s="873"/>
      <c r="K219" s="873"/>
      <c r="L219" s="294">
        <f>+(L220*22%)+(L221*16%)+(L222*16%)+(L223*16%)++(L224*18%)+(L226*12%)</f>
        <v>1</v>
      </c>
      <c r="M219" s="1608">
        <f>+SUMPRODUCT(M220:M226,AC220:AC226)</f>
        <v>1</v>
      </c>
      <c r="N219" s="1608">
        <f>+SUMPRODUCT(N220:N226,AD220:AD226)</f>
        <v>0.99999999999999911</v>
      </c>
      <c r="O219" s="965"/>
      <c r="P219" s="1575"/>
      <c r="Q219" s="243"/>
      <c r="R219" s="1576"/>
      <c r="S219" s="1576"/>
      <c r="T219" s="1577"/>
      <c r="U219" s="1577"/>
      <c r="V219" s="1577"/>
      <c r="W219" s="1578"/>
      <c r="X219" s="1577"/>
      <c r="Y219" s="1610"/>
      <c r="Z219" s="261">
        <f t="shared" si="205"/>
        <v>0</v>
      </c>
      <c r="AA219" s="1580">
        <f>+SUMPRODUCT(AA220:AA226,AB220:AB226)</f>
        <v>0.70685483870967736</v>
      </c>
      <c r="AB219" s="294">
        <v>0.8</v>
      </c>
      <c r="AC219" s="899">
        <v>0.8</v>
      </c>
      <c r="AD219" s="471">
        <v>0.8</v>
      </c>
      <c r="AE219" s="1581">
        <v>305000000</v>
      </c>
      <c r="AF219" s="1581">
        <f>SUM(AF220:AF226)</f>
        <v>52830000</v>
      </c>
      <c r="AG219" s="437">
        <f>SUM(AG220:AG226)</f>
        <v>126817400</v>
      </c>
      <c r="AH219" s="2115">
        <f>SUM(AH220:AH226)</f>
        <v>304434731</v>
      </c>
      <c r="AI219" s="1992">
        <f t="shared" si="200"/>
        <v>0.99814665901639343</v>
      </c>
      <c r="AJ219" s="1581">
        <f>SUM(AJ220:AJ226)</f>
        <v>49230000</v>
      </c>
      <c r="AK219" s="1585">
        <f>SUM(AK220:AK226)</f>
        <v>112237392</v>
      </c>
      <c r="AL219" s="1977">
        <f>SUM(AL220:AL226)</f>
        <v>296418361</v>
      </c>
      <c r="AM219" s="1586">
        <f t="shared" si="201"/>
        <v>0.97186347868852463</v>
      </c>
      <c r="AN219" s="1584">
        <f>SUM(AN220:AN226)</f>
        <v>8016370</v>
      </c>
      <c r="AO219" s="1576">
        <f>SUM(AO220:AO226)</f>
        <v>3600000</v>
      </c>
      <c r="AP219" s="1581">
        <f>SUM(AP220:AP226)</f>
        <v>3600000</v>
      </c>
      <c r="AQ219" s="1581">
        <f>SUM(AQ220:AQ226)</f>
        <v>14580008</v>
      </c>
      <c r="AR219" s="1581">
        <f>SUM(AR220:AR226)</f>
        <v>12627135</v>
      </c>
      <c r="AS219" s="613">
        <f t="shared" si="202"/>
        <v>0.86605816677192493</v>
      </c>
      <c r="AT219" s="1581">
        <f t="shared" ref="AT219" si="223">SUM(AT220:AT226)</f>
        <v>1250000000</v>
      </c>
      <c r="AU219" s="1581">
        <f>SUM(AU220:AU226)</f>
        <v>474112888</v>
      </c>
      <c r="AV219" s="1586">
        <f t="shared" si="209"/>
        <v>0.3792903104</v>
      </c>
      <c r="AW219" s="1587"/>
      <c r="AX219" s="1588"/>
      <c r="AY219" s="1589"/>
      <c r="AZ219" s="1584"/>
      <c r="BA219" s="1590"/>
      <c r="BB219" s="1590"/>
    </row>
    <row r="220" spans="1:54" ht="75.75" customHeight="1">
      <c r="A220" s="353" t="s">
        <v>650</v>
      </c>
      <c r="B220" s="458" t="s">
        <v>823</v>
      </c>
      <c r="C220" s="1611">
        <v>1</v>
      </c>
      <c r="D220" s="409">
        <v>1</v>
      </c>
      <c r="E220" s="409">
        <v>1</v>
      </c>
      <c r="F220" s="213">
        <v>1</v>
      </c>
      <c r="G220" s="147">
        <v>1</v>
      </c>
      <c r="H220" s="679">
        <v>1</v>
      </c>
      <c r="I220" s="147"/>
      <c r="J220" s="147"/>
      <c r="K220" s="147"/>
      <c r="L220" s="180">
        <f t="shared" ref="L220:M226" si="224">IF((F220+I220)/C220&gt;=100%,100%,(F220+I220)/C220)</f>
        <v>1</v>
      </c>
      <c r="M220" s="1090">
        <f t="shared" si="224"/>
        <v>1</v>
      </c>
      <c r="N220" s="821">
        <f t="shared" ref="N220:N228" si="225">IF((H220/E220)&gt;=100%,100%,(H220/E220))</f>
        <v>1</v>
      </c>
      <c r="O220" s="2165" t="s">
        <v>2379</v>
      </c>
      <c r="P220" s="1507"/>
      <c r="Q220" s="2041" t="s">
        <v>2183</v>
      </c>
      <c r="R220" s="1015"/>
      <c r="S220" s="1013" t="s">
        <v>2182</v>
      </c>
      <c r="T220" s="2038" t="s">
        <v>2215</v>
      </c>
      <c r="U220" s="195"/>
      <c r="V220" s="195"/>
      <c r="W220" s="150"/>
      <c r="X220" s="195"/>
      <c r="Y220" s="306">
        <v>4</v>
      </c>
      <c r="Z220" s="242">
        <f t="shared" si="205"/>
        <v>3</v>
      </c>
      <c r="AA220" s="186">
        <f t="shared" ref="AA220:AA226" si="226">IF(Z220/Y220&gt;=100%,100%,Z220/Y220)</f>
        <v>0.75</v>
      </c>
      <c r="AB220" s="479">
        <v>0.2</v>
      </c>
      <c r="AC220" s="479">
        <v>0.2</v>
      </c>
      <c r="AD220" s="472">
        <f>+AC220*1.11111111111111</f>
        <v>0.22222222222222202</v>
      </c>
      <c r="AE220" s="545">
        <v>50000000</v>
      </c>
      <c r="AF220" s="377">
        <v>8330000</v>
      </c>
      <c r="AG220" s="2094">
        <v>31878784</v>
      </c>
      <c r="AH220" s="2146">
        <v>49974158</v>
      </c>
      <c r="AI220" s="1996">
        <f t="shared" si="200"/>
        <v>0.99948316000000004</v>
      </c>
      <c r="AJ220" s="377">
        <v>8330000</v>
      </c>
      <c r="AK220" s="545">
        <v>29804729</v>
      </c>
      <c r="AL220" s="1971">
        <v>49189809</v>
      </c>
      <c r="AM220" s="1030">
        <f t="shared" si="201"/>
        <v>0.98379618000000002</v>
      </c>
      <c r="AN220" s="997">
        <f t="shared" ref="AN220:AN226" si="227">+AH220-AL220</f>
        <v>784349</v>
      </c>
      <c r="AO220" s="1612">
        <v>0</v>
      </c>
      <c r="AP220" s="377">
        <v>0</v>
      </c>
      <c r="AQ220" s="2012">
        <v>2074055</v>
      </c>
      <c r="AR220" s="2012">
        <v>1782414</v>
      </c>
      <c r="AS220" s="614">
        <f t="shared" si="202"/>
        <v>0.85938608185414567</v>
      </c>
      <c r="AT220" s="250">
        <v>200000000</v>
      </c>
      <c r="AU220" s="993">
        <f t="shared" ref="AU220:AU226" si="228">SUM(AJ220:AL220)+AR220+AP220</f>
        <v>89106952</v>
      </c>
      <c r="AV220" s="1021">
        <f t="shared" si="209"/>
        <v>0.44553475999999997</v>
      </c>
      <c r="AW220" s="173"/>
      <c r="AX220" s="157"/>
      <c r="AY220" s="152" t="s">
        <v>302</v>
      </c>
      <c r="AZ220" s="1613" t="s">
        <v>924</v>
      </c>
      <c r="BA220" s="93"/>
      <c r="BB220" s="93"/>
    </row>
    <row r="221" spans="1:54" ht="87.75" customHeight="1">
      <c r="A221" s="353" t="s">
        <v>651</v>
      </c>
      <c r="B221" s="458" t="s">
        <v>824</v>
      </c>
      <c r="C221" s="1611">
        <v>1</v>
      </c>
      <c r="D221" s="409">
        <v>0.1</v>
      </c>
      <c r="E221" s="685">
        <v>1</v>
      </c>
      <c r="F221" s="1009">
        <v>0</v>
      </c>
      <c r="G221" s="409">
        <v>0.1</v>
      </c>
      <c r="H221" s="147">
        <v>1</v>
      </c>
      <c r="I221" s="859">
        <v>1</v>
      </c>
      <c r="J221" s="2035">
        <v>0.1</v>
      </c>
      <c r="K221" s="2035"/>
      <c r="L221" s="1010">
        <f t="shared" si="224"/>
        <v>1</v>
      </c>
      <c r="M221" s="1090">
        <f t="shared" si="224"/>
        <v>1</v>
      </c>
      <c r="N221" s="821">
        <f t="shared" si="225"/>
        <v>1</v>
      </c>
      <c r="O221" s="2165" t="s">
        <v>2380</v>
      </c>
      <c r="P221" s="1525"/>
      <c r="Q221" s="1014"/>
      <c r="R221" s="1015"/>
      <c r="S221" s="1013"/>
      <c r="T221" s="1526"/>
      <c r="U221" s="1526"/>
      <c r="V221" s="1526"/>
      <c r="W221" s="1017"/>
      <c r="X221" s="1526"/>
      <c r="Y221" s="2049">
        <v>3.1</v>
      </c>
      <c r="Z221" s="1008">
        <f t="shared" si="205"/>
        <v>2.2000000000000002</v>
      </c>
      <c r="AA221" s="1438">
        <f t="shared" si="226"/>
        <v>0.70967741935483875</v>
      </c>
      <c r="AB221" s="479">
        <v>0.15</v>
      </c>
      <c r="AC221" s="479">
        <v>0.15</v>
      </c>
      <c r="AD221" s="472">
        <f>+AC221*1.11111111111111</f>
        <v>0.16666666666666649</v>
      </c>
      <c r="AE221" s="1616">
        <v>40000000</v>
      </c>
      <c r="AF221" s="377">
        <v>15000000</v>
      </c>
      <c r="AG221" s="2094">
        <v>20178784</v>
      </c>
      <c r="AH221" s="2146">
        <v>39979542</v>
      </c>
      <c r="AI221" s="1993">
        <f t="shared" si="200"/>
        <v>0.99948855000000003</v>
      </c>
      <c r="AJ221" s="377">
        <v>15000000</v>
      </c>
      <c r="AK221" s="545">
        <v>18104729</v>
      </c>
      <c r="AL221" s="1971">
        <v>39470500</v>
      </c>
      <c r="AM221" s="1139">
        <f t="shared" si="201"/>
        <v>0.98676249999999999</v>
      </c>
      <c r="AN221" s="997">
        <f t="shared" si="227"/>
        <v>509042</v>
      </c>
      <c r="AO221" s="1612">
        <v>0</v>
      </c>
      <c r="AP221" s="377">
        <v>0</v>
      </c>
      <c r="AQ221" s="2012">
        <v>2074055</v>
      </c>
      <c r="AR221" s="2012">
        <v>1756315</v>
      </c>
      <c r="AS221" s="1089">
        <f t="shared" si="202"/>
        <v>0.84680251970174369</v>
      </c>
      <c r="AT221" s="1208">
        <v>240000000</v>
      </c>
      <c r="AU221" s="993">
        <f t="shared" si="228"/>
        <v>74331544</v>
      </c>
      <c r="AV221" s="1139">
        <f t="shared" si="209"/>
        <v>0.30971476666666664</v>
      </c>
      <c r="AW221" s="1140"/>
      <c r="AX221" s="1119"/>
      <c r="AY221" s="152" t="s">
        <v>302</v>
      </c>
      <c r="AZ221" s="2292" t="s">
        <v>924</v>
      </c>
      <c r="BA221" s="93"/>
      <c r="BB221" s="93"/>
    </row>
    <row r="222" spans="1:54" ht="85.5" customHeight="1">
      <c r="A222" s="353" t="s">
        <v>652</v>
      </c>
      <c r="B222" s="458" t="s">
        <v>825</v>
      </c>
      <c r="C222" s="1611">
        <v>1</v>
      </c>
      <c r="D222" s="409">
        <v>0.1</v>
      </c>
      <c r="E222" s="409">
        <v>1</v>
      </c>
      <c r="F222" s="1009">
        <v>1</v>
      </c>
      <c r="G222" s="409">
        <v>0.1</v>
      </c>
      <c r="H222" s="678">
        <v>1</v>
      </c>
      <c r="I222" s="859"/>
      <c r="J222" s="2035">
        <v>0.1</v>
      </c>
      <c r="K222" s="2035"/>
      <c r="L222" s="1010">
        <f t="shared" si="224"/>
        <v>1</v>
      </c>
      <c r="M222" s="1090">
        <f t="shared" si="224"/>
        <v>1</v>
      </c>
      <c r="N222" s="821">
        <f t="shared" si="225"/>
        <v>1</v>
      </c>
      <c r="O222" s="2165" t="s">
        <v>2381</v>
      </c>
      <c r="P222" s="1525"/>
      <c r="Q222" s="2041" t="s">
        <v>2183</v>
      </c>
      <c r="R222" s="1015"/>
      <c r="S222" s="1013" t="s">
        <v>2182</v>
      </c>
      <c r="T222" s="2038" t="s">
        <v>2216</v>
      </c>
      <c r="U222" s="1526"/>
      <c r="V222" s="1526"/>
      <c r="W222" s="1017"/>
      <c r="X222" s="1526"/>
      <c r="Y222" s="2049">
        <v>3.1</v>
      </c>
      <c r="Z222" s="1008">
        <f t="shared" si="205"/>
        <v>2.2000000000000002</v>
      </c>
      <c r="AA222" s="1438">
        <f t="shared" si="226"/>
        <v>0.70967741935483875</v>
      </c>
      <c r="AB222" s="479">
        <v>0.15</v>
      </c>
      <c r="AC222" s="479">
        <v>0.15</v>
      </c>
      <c r="AD222" s="472">
        <f>+AC222*1.11111111111111</f>
        <v>0.16666666666666649</v>
      </c>
      <c r="AE222" s="1616">
        <v>40000000</v>
      </c>
      <c r="AF222" s="377">
        <v>15000000</v>
      </c>
      <c r="AG222" s="2094">
        <v>20178784</v>
      </c>
      <c r="AH222" s="2146">
        <v>39979542</v>
      </c>
      <c r="AI222" s="1993">
        <f t="shared" si="200"/>
        <v>0.99948855000000003</v>
      </c>
      <c r="AJ222" s="377">
        <v>11400000</v>
      </c>
      <c r="AK222" s="545">
        <v>18104729</v>
      </c>
      <c r="AL222" s="1971">
        <v>39358599</v>
      </c>
      <c r="AM222" s="1139">
        <f t="shared" si="201"/>
        <v>0.98396497500000002</v>
      </c>
      <c r="AN222" s="997">
        <f t="shared" si="227"/>
        <v>620943</v>
      </c>
      <c r="AO222" s="1612">
        <v>3600000</v>
      </c>
      <c r="AP222" s="377">
        <v>3600000</v>
      </c>
      <c r="AQ222" s="2012">
        <v>2074055</v>
      </c>
      <c r="AR222" s="2012">
        <v>1782414</v>
      </c>
      <c r="AS222" s="1089">
        <f t="shared" si="202"/>
        <v>0.85938608185414567</v>
      </c>
      <c r="AT222" s="1208">
        <v>0</v>
      </c>
      <c r="AU222" s="993">
        <f t="shared" si="228"/>
        <v>74245742</v>
      </c>
      <c r="AV222" s="1139" t="e">
        <f t="shared" si="209"/>
        <v>#DIV/0!</v>
      </c>
      <c r="AW222" s="1140"/>
      <c r="AX222" s="1119"/>
      <c r="AY222" s="152" t="s">
        <v>302</v>
      </c>
      <c r="AZ222" s="2289"/>
      <c r="BA222" s="93"/>
      <c r="BB222" s="93"/>
    </row>
    <row r="223" spans="1:54" ht="69.75" customHeight="1">
      <c r="A223" s="353" t="s">
        <v>653</v>
      </c>
      <c r="B223" s="458" t="s">
        <v>826</v>
      </c>
      <c r="C223" s="1611">
        <v>1</v>
      </c>
      <c r="D223" s="409">
        <v>0.1</v>
      </c>
      <c r="E223" s="409">
        <v>1</v>
      </c>
      <c r="F223" s="1009">
        <v>0</v>
      </c>
      <c r="G223" s="409">
        <v>0.1</v>
      </c>
      <c r="H223" s="678">
        <v>1</v>
      </c>
      <c r="I223" s="859">
        <v>1</v>
      </c>
      <c r="J223" s="2035">
        <v>0.1</v>
      </c>
      <c r="K223" s="2035"/>
      <c r="L223" s="1010">
        <f t="shared" si="224"/>
        <v>1</v>
      </c>
      <c r="M223" s="1090">
        <f t="shared" si="224"/>
        <v>1</v>
      </c>
      <c r="N223" s="821">
        <f t="shared" si="225"/>
        <v>1</v>
      </c>
      <c r="O223" s="2165" t="s">
        <v>2382</v>
      </c>
      <c r="P223" s="1525"/>
      <c r="Q223" s="2041" t="s">
        <v>2183</v>
      </c>
      <c r="R223" s="1015"/>
      <c r="S223" s="1013" t="s">
        <v>2182</v>
      </c>
      <c r="T223" s="2038" t="s">
        <v>2217</v>
      </c>
      <c r="U223" s="1526"/>
      <c r="V223" s="1526"/>
      <c r="W223" s="1017"/>
      <c r="X223" s="1526"/>
      <c r="Y223" s="2049">
        <v>3.1</v>
      </c>
      <c r="Z223" s="1008">
        <f t="shared" si="205"/>
        <v>2.2000000000000002</v>
      </c>
      <c r="AA223" s="1438">
        <f t="shared" si="226"/>
        <v>0.70967741935483875</v>
      </c>
      <c r="AB223" s="479">
        <v>0.15</v>
      </c>
      <c r="AC223" s="479">
        <v>0.15</v>
      </c>
      <c r="AD223" s="472">
        <f>+AC223*1.11111111111111</f>
        <v>0.16666666666666649</v>
      </c>
      <c r="AE223" s="1616">
        <v>30000000</v>
      </c>
      <c r="AF223" s="377">
        <v>0</v>
      </c>
      <c r="AG223" s="2094">
        <v>19534088</v>
      </c>
      <c r="AH223" s="2146">
        <v>29755339</v>
      </c>
      <c r="AI223" s="1993">
        <f t="shared" si="200"/>
        <v>0.99184463333333328</v>
      </c>
      <c r="AJ223" s="377">
        <v>0</v>
      </c>
      <c r="AK223" s="545">
        <v>17978547</v>
      </c>
      <c r="AL223" s="1971">
        <v>27987507</v>
      </c>
      <c r="AM223" s="1134">
        <f t="shared" si="201"/>
        <v>0.93291690000000005</v>
      </c>
      <c r="AN223" s="997">
        <f t="shared" si="227"/>
        <v>1767832</v>
      </c>
      <c r="AO223" s="1612">
        <v>0</v>
      </c>
      <c r="AP223" s="377">
        <v>0</v>
      </c>
      <c r="AQ223" s="2012">
        <v>1555541</v>
      </c>
      <c r="AR223" s="2012">
        <v>1317236</v>
      </c>
      <c r="AS223" s="1089">
        <f t="shared" si="202"/>
        <v>0.84680249508048966</v>
      </c>
      <c r="AT223" s="1208">
        <v>0</v>
      </c>
      <c r="AU223" s="993">
        <f t="shared" si="228"/>
        <v>47283290</v>
      </c>
      <c r="AV223" s="1139" t="e">
        <f t="shared" si="209"/>
        <v>#DIV/0!</v>
      </c>
      <c r="AW223" s="1140"/>
      <c r="AX223" s="1119"/>
      <c r="AY223" s="152" t="s">
        <v>302</v>
      </c>
      <c r="AZ223" s="2289"/>
      <c r="BA223" s="93"/>
      <c r="BB223" s="93"/>
    </row>
    <row r="224" spans="1:54" ht="68.25" customHeight="1">
      <c r="A224" s="353" t="s">
        <v>654</v>
      </c>
      <c r="B224" s="458" t="s">
        <v>827</v>
      </c>
      <c r="C224" s="1611">
        <v>1</v>
      </c>
      <c r="D224" s="409">
        <v>1</v>
      </c>
      <c r="E224" s="409">
        <v>1</v>
      </c>
      <c r="F224" s="1009">
        <v>1</v>
      </c>
      <c r="G224" s="859">
        <v>1</v>
      </c>
      <c r="H224" s="678">
        <v>1</v>
      </c>
      <c r="I224" s="859"/>
      <c r="J224" s="859"/>
      <c r="K224" s="859"/>
      <c r="L224" s="1010">
        <f t="shared" si="224"/>
        <v>1</v>
      </c>
      <c r="M224" s="1090">
        <f t="shared" si="224"/>
        <v>1</v>
      </c>
      <c r="N224" s="821">
        <f t="shared" si="225"/>
        <v>1</v>
      </c>
      <c r="O224" s="2165" t="s">
        <v>2383</v>
      </c>
      <c r="P224" s="1525"/>
      <c r="Q224" s="2041" t="s">
        <v>2183</v>
      </c>
      <c r="R224" s="1015"/>
      <c r="S224" s="1013" t="s">
        <v>2182</v>
      </c>
      <c r="T224" s="2038" t="s">
        <v>2218</v>
      </c>
      <c r="U224" s="1526"/>
      <c r="V224" s="1526"/>
      <c r="W224" s="1017"/>
      <c r="X224" s="1526"/>
      <c r="Y224" s="306">
        <v>4</v>
      </c>
      <c r="Z224" s="1008">
        <f t="shared" si="205"/>
        <v>3</v>
      </c>
      <c r="AA224" s="1438">
        <f t="shared" si="226"/>
        <v>0.75</v>
      </c>
      <c r="AB224" s="479">
        <v>0.15</v>
      </c>
      <c r="AC224" s="479">
        <v>0.15</v>
      </c>
      <c r="AD224" s="472">
        <f>+AC224*1.11111111111111</f>
        <v>0.16666666666666649</v>
      </c>
      <c r="AE224" s="545">
        <v>125000000</v>
      </c>
      <c r="AF224" s="377">
        <v>14500000</v>
      </c>
      <c r="AG224" s="2094">
        <v>32646960</v>
      </c>
      <c r="AH224" s="2146">
        <v>124756379</v>
      </c>
      <c r="AI224" s="1993">
        <f t="shared" si="200"/>
        <v>0.998051032</v>
      </c>
      <c r="AJ224" s="377">
        <v>14500000</v>
      </c>
      <c r="AK224" s="545">
        <v>27461821</v>
      </c>
      <c r="AL224" s="1971">
        <v>120732647</v>
      </c>
      <c r="AM224" s="1139">
        <f t="shared" si="201"/>
        <v>0.96586117599999999</v>
      </c>
      <c r="AN224" s="997">
        <f t="shared" si="227"/>
        <v>4023732</v>
      </c>
      <c r="AO224" s="1612">
        <v>0</v>
      </c>
      <c r="AP224" s="377">
        <v>0</v>
      </c>
      <c r="AQ224" s="2012">
        <v>5185139</v>
      </c>
      <c r="AR224" s="2012">
        <v>4390791</v>
      </c>
      <c r="AS224" s="1089">
        <f t="shared" si="202"/>
        <v>0.84680294973770232</v>
      </c>
      <c r="AT224" s="1118">
        <v>650000000</v>
      </c>
      <c r="AU224" s="993">
        <f t="shared" si="228"/>
        <v>167085259</v>
      </c>
      <c r="AV224" s="1139">
        <f t="shared" si="209"/>
        <v>0.25705424461538462</v>
      </c>
      <c r="AW224" s="1140"/>
      <c r="AX224" s="1119"/>
      <c r="AY224" s="152" t="s">
        <v>302</v>
      </c>
      <c r="AZ224" s="2289"/>
      <c r="BA224" s="93"/>
      <c r="BB224" s="93"/>
    </row>
    <row r="225" spans="1:54" ht="57.75" customHeight="1">
      <c r="A225" s="353" t="s">
        <v>655</v>
      </c>
      <c r="B225" s="458" t="s">
        <v>828</v>
      </c>
      <c r="C225" s="1611">
        <v>0</v>
      </c>
      <c r="D225" s="409">
        <v>1</v>
      </c>
      <c r="E225" s="409">
        <v>0</v>
      </c>
      <c r="F225" s="1009">
        <v>0</v>
      </c>
      <c r="G225" s="859">
        <v>1</v>
      </c>
      <c r="H225" s="147">
        <v>0</v>
      </c>
      <c r="I225" s="859"/>
      <c r="J225" s="859"/>
      <c r="K225" s="859"/>
      <c r="L225" s="1010" t="e">
        <f t="shared" si="224"/>
        <v>#DIV/0!</v>
      </c>
      <c r="M225" s="1090">
        <f t="shared" si="224"/>
        <v>1</v>
      </c>
      <c r="N225" s="821" t="s">
        <v>2163</v>
      </c>
      <c r="O225" s="2165"/>
      <c r="P225" s="1525"/>
      <c r="Q225" s="1014"/>
      <c r="R225" s="1015"/>
      <c r="S225" s="1013"/>
      <c r="T225" s="2037"/>
      <c r="U225" s="1526"/>
      <c r="V225" s="1526"/>
      <c r="W225" s="1017"/>
      <c r="X225" s="1526"/>
      <c r="Y225" s="306">
        <v>2</v>
      </c>
      <c r="Z225" s="1008">
        <f t="shared" si="205"/>
        <v>1</v>
      </c>
      <c r="AA225" s="1438">
        <f t="shared" si="226"/>
        <v>0.5</v>
      </c>
      <c r="AB225" s="479">
        <v>0.1</v>
      </c>
      <c r="AC225" s="479">
        <v>0.1</v>
      </c>
      <c r="AD225" s="472">
        <v>0</v>
      </c>
      <c r="AE225" s="545">
        <v>0</v>
      </c>
      <c r="AF225" s="377">
        <v>0</v>
      </c>
      <c r="AG225" s="2094">
        <v>1500000</v>
      </c>
      <c r="AH225" s="2146">
        <v>0</v>
      </c>
      <c r="AI225" s="1993" t="e">
        <f t="shared" si="200"/>
        <v>#DIV/0!</v>
      </c>
      <c r="AJ225" s="377">
        <v>0</v>
      </c>
      <c r="AK225" s="545">
        <v>489273</v>
      </c>
      <c r="AL225" s="1971">
        <v>0</v>
      </c>
      <c r="AM225" s="1139" t="e">
        <f t="shared" si="201"/>
        <v>#DIV/0!</v>
      </c>
      <c r="AN225" s="997">
        <f t="shared" si="227"/>
        <v>0</v>
      </c>
      <c r="AO225" s="1612">
        <v>0</v>
      </c>
      <c r="AP225" s="377">
        <v>0</v>
      </c>
      <c r="AQ225" s="2012">
        <v>1010727</v>
      </c>
      <c r="AR225" s="2012">
        <v>998728</v>
      </c>
      <c r="AS225" s="1089">
        <f t="shared" si="202"/>
        <v>0.9881283472193777</v>
      </c>
      <c r="AT225" s="1118">
        <v>80000000</v>
      </c>
      <c r="AU225" s="993">
        <f t="shared" si="228"/>
        <v>1488001</v>
      </c>
      <c r="AV225" s="1139">
        <f t="shared" si="209"/>
        <v>1.8600012499999999E-2</v>
      </c>
      <c r="AW225" s="1140"/>
      <c r="AX225" s="1119"/>
      <c r="AY225" s="152" t="s">
        <v>302</v>
      </c>
      <c r="AZ225" s="2290"/>
      <c r="BA225" s="93"/>
      <c r="BB225" s="93"/>
    </row>
    <row r="226" spans="1:54" ht="51.75" customHeight="1" thickBot="1">
      <c r="A226" s="353" t="s">
        <v>656</v>
      </c>
      <c r="B226" s="458" t="s">
        <v>829</v>
      </c>
      <c r="C226" s="1611">
        <v>1</v>
      </c>
      <c r="D226" s="409">
        <v>1</v>
      </c>
      <c r="E226" s="409">
        <v>1</v>
      </c>
      <c r="F226" s="1009">
        <v>1</v>
      </c>
      <c r="G226" s="859">
        <v>1</v>
      </c>
      <c r="H226" s="678">
        <v>1</v>
      </c>
      <c r="I226" s="859"/>
      <c r="J226" s="859"/>
      <c r="K226" s="859"/>
      <c r="L226" s="1010">
        <f t="shared" si="224"/>
        <v>1</v>
      </c>
      <c r="M226" s="1090">
        <f t="shared" si="224"/>
        <v>1</v>
      </c>
      <c r="N226" s="821">
        <f t="shared" si="225"/>
        <v>1</v>
      </c>
      <c r="O226" s="2165" t="s">
        <v>2384</v>
      </c>
      <c r="P226" s="1525"/>
      <c r="Q226" s="2041" t="s">
        <v>2183</v>
      </c>
      <c r="R226" s="1015"/>
      <c r="S226" s="1013" t="s">
        <v>2182</v>
      </c>
      <c r="T226" s="2037" t="s">
        <v>2219</v>
      </c>
      <c r="U226" s="1526"/>
      <c r="V226" s="1526"/>
      <c r="W226" s="1017"/>
      <c r="X226" s="1526"/>
      <c r="Y226" s="306">
        <v>4</v>
      </c>
      <c r="Z226" s="1008">
        <f t="shared" si="205"/>
        <v>3</v>
      </c>
      <c r="AA226" s="1438">
        <f t="shared" si="226"/>
        <v>0.75</v>
      </c>
      <c r="AB226" s="479">
        <v>0.1</v>
      </c>
      <c r="AC226" s="479">
        <v>0.1</v>
      </c>
      <c r="AD226" s="472">
        <f>+AC226*1.11111111111111</f>
        <v>0.11111111111111101</v>
      </c>
      <c r="AE226" s="545">
        <v>20000000</v>
      </c>
      <c r="AF226" s="377">
        <v>0</v>
      </c>
      <c r="AG226" s="2094">
        <v>900000</v>
      </c>
      <c r="AH226" s="2146">
        <v>19989771</v>
      </c>
      <c r="AI226" s="1993">
        <f t="shared" si="200"/>
        <v>0.99948855000000003</v>
      </c>
      <c r="AJ226" s="377">
        <v>0</v>
      </c>
      <c r="AK226" s="545">
        <v>293564</v>
      </c>
      <c r="AL226" s="1971">
        <v>19679299</v>
      </c>
      <c r="AM226" s="1139">
        <f t="shared" si="201"/>
        <v>0.98396494999999995</v>
      </c>
      <c r="AN226" s="997">
        <f t="shared" si="227"/>
        <v>310472</v>
      </c>
      <c r="AO226" s="1612">
        <v>0</v>
      </c>
      <c r="AP226" s="377">
        <v>0</v>
      </c>
      <c r="AQ226" s="2012">
        <v>606436</v>
      </c>
      <c r="AR226" s="2012">
        <v>599237</v>
      </c>
      <c r="AS226" s="1089">
        <f t="shared" si="202"/>
        <v>0.98812900289560646</v>
      </c>
      <c r="AT226" s="1118">
        <v>80000000</v>
      </c>
      <c r="AU226" s="993">
        <f t="shared" si="228"/>
        <v>20572100</v>
      </c>
      <c r="AV226" s="1139">
        <f t="shared" si="209"/>
        <v>0.25715125</v>
      </c>
      <c r="AW226" s="1140"/>
      <c r="AX226" s="1119"/>
      <c r="AY226" s="152" t="s">
        <v>302</v>
      </c>
      <c r="AZ226" s="1613" t="s">
        <v>924</v>
      </c>
      <c r="BA226" s="93"/>
      <c r="BB226" s="93"/>
    </row>
    <row r="227" spans="1:54" ht="38.25" customHeight="1" thickBot="1">
      <c r="A227" s="315" t="s">
        <v>491</v>
      </c>
      <c r="B227" s="138"/>
      <c r="C227" s="139"/>
      <c r="D227" s="223"/>
      <c r="E227" s="223"/>
      <c r="F227" s="212"/>
      <c r="G227" s="139"/>
      <c r="H227" s="139"/>
      <c r="I227" s="139"/>
      <c r="J227" s="139"/>
      <c r="K227" s="139"/>
      <c r="L227" s="140">
        <f>+SUMPRODUCT(L228:L228,AB228:AB228)</f>
        <v>1</v>
      </c>
      <c r="M227" s="1617">
        <f>+SUMPRODUCT(M228:M228,AC228:AC228)</f>
        <v>1</v>
      </c>
      <c r="N227" s="1617">
        <f>+SUMPRODUCT(N228:N228,AD228:AD228)</f>
        <v>1</v>
      </c>
      <c r="O227" s="965"/>
      <c r="P227" s="1619"/>
      <c r="Q227" s="141"/>
      <c r="R227" s="142"/>
      <c r="S227" s="142"/>
      <c r="T227" s="194"/>
      <c r="U227" s="194"/>
      <c r="V227" s="194"/>
      <c r="W227" s="163"/>
      <c r="X227" s="194"/>
      <c r="Y227" s="240"/>
      <c r="Z227" s="261">
        <f t="shared" si="205"/>
        <v>0</v>
      </c>
      <c r="AA227" s="177">
        <f>+SUMPRODUCT(AA228:AA228,AB228:AB228)</f>
        <v>0.75</v>
      </c>
      <c r="AB227" s="140">
        <v>0.2</v>
      </c>
      <c r="AC227" s="471">
        <v>0.2</v>
      </c>
      <c r="AD227" s="471">
        <v>0.2</v>
      </c>
      <c r="AE227" s="1453">
        <v>50000000</v>
      </c>
      <c r="AF227" s="1453">
        <f>SUM(AF228)</f>
        <v>51000000</v>
      </c>
      <c r="AG227" s="138">
        <f>SUM(AG228)</f>
        <v>43976413</v>
      </c>
      <c r="AH227" s="2115">
        <f>SUM(AH228)</f>
        <v>49974158</v>
      </c>
      <c r="AI227" s="1990">
        <f t="shared" si="200"/>
        <v>0.99948316000000004</v>
      </c>
      <c r="AJ227" s="1453">
        <f>SUM(AJ228)</f>
        <v>18000000</v>
      </c>
      <c r="AK227" s="1453">
        <f>SUM(AK228)</f>
        <v>41985317</v>
      </c>
      <c r="AL227" s="1975">
        <f>SUM(AL228)</f>
        <v>48499695</v>
      </c>
      <c r="AM227" s="1454">
        <f t="shared" si="201"/>
        <v>0.96999389999999996</v>
      </c>
      <c r="AN227" s="145">
        <f>SUM(AN228)</f>
        <v>1474463</v>
      </c>
      <c r="AO227" s="142">
        <f>SUM(AO228)</f>
        <v>33000000</v>
      </c>
      <c r="AP227" s="1453">
        <f>SUM(AP228)</f>
        <v>33000000</v>
      </c>
      <c r="AQ227" s="1581">
        <f>SUM(AQ228)</f>
        <v>1991096</v>
      </c>
      <c r="AR227" s="1581">
        <f>SUM(AR228)</f>
        <v>1656627</v>
      </c>
      <c r="AS227" s="613">
        <f t="shared" si="202"/>
        <v>0.83201764254460864</v>
      </c>
      <c r="AT227" s="1453">
        <f t="shared" ref="AT227:AU227" si="229">SUM(AT228)</f>
        <v>320000000</v>
      </c>
      <c r="AU227" s="1453">
        <f t="shared" si="229"/>
        <v>143141639</v>
      </c>
      <c r="AV227" s="1455">
        <f t="shared" si="209"/>
        <v>0.44731762187500002</v>
      </c>
      <c r="AW227" s="179"/>
      <c r="AX227" s="165"/>
      <c r="AY227" s="553"/>
      <c r="AZ227" s="145"/>
      <c r="BA227" s="98"/>
      <c r="BB227" s="98"/>
    </row>
    <row r="228" spans="1:54" ht="83.25" customHeight="1" thickBot="1">
      <c r="A228" s="1620" t="s">
        <v>657</v>
      </c>
      <c r="B228" s="1621" t="s">
        <v>830</v>
      </c>
      <c r="C228" s="1622">
        <v>1</v>
      </c>
      <c r="D228" s="852">
        <v>1</v>
      </c>
      <c r="E228" s="409">
        <v>1</v>
      </c>
      <c r="F228" s="870">
        <v>1</v>
      </c>
      <c r="G228" s="860">
        <v>1</v>
      </c>
      <c r="H228" s="147">
        <v>1</v>
      </c>
      <c r="I228" s="860"/>
      <c r="J228" s="860"/>
      <c r="K228" s="860"/>
      <c r="L228" s="1021">
        <f>IF((F228+I228)/C228&gt;=100%,100%,(F228+I228)/C228)</f>
        <v>1</v>
      </c>
      <c r="M228" s="1090">
        <f>IF((G228+J228)/D228&gt;=100%,100%,(G228+J228)/D228)</f>
        <v>1</v>
      </c>
      <c r="N228" s="821">
        <f t="shared" si="225"/>
        <v>1</v>
      </c>
      <c r="O228" s="2165" t="s">
        <v>2385</v>
      </c>
      <c r="P228" s="1507"/>
      <c r="Q228" s="2041" t="s">
        <v>2183</v>
      </c>
      <c r="R228" s="1015"/>
      <c r="S228" s="1013" t="s">
        <v>2182</v>
      </c>
      <c r="T228" s="2037" t="s">
        <v>2220</v>
      </c>
      <c r="U228" s="195"/>
      <c r="V228" s="195"/>
      <c r="W228" s="1024"/>
      <c r="X228" s="195"/>
      <c r="Y228" s="1625">
        <v>4</v>
      </c>
      <c r="Z228" s="1026">
        <f t="shared" si="205"/>
        <v>3</v>
      </c>
      <c r="AA228" s="1387">
        <f t="shared" ref="AA228" si="230">IF(Z228/Y228&gt;=100%,100%,Z228/Y228)</f>
        <v>0.75</v>
      </c>
      <c r="AB228" s="1388">
        <v>1</v>
      </c>
      <c r="AC228" s="477">
        <v>1</v>
      </c>
      <c r="AD228" s="472">
        <v>1</v>
      </c>
      <c r="AE228" s="1626">
        <v>50000000</v>
      </c>
      <c r="AF228" s="1627">
        <v>51000000</v>
      </c>
      <c r="AG228" s="1972">
        <v>43976413</v>
      </c>
      <c r="AH228" s="2147">
        <v>49974158</v>
      </c>
      <c r="AI228" s="1995">
        <f t="shared" si="200"/>
        <v>0.99948316000000004</v>
      </c>
      <c r="AJ228" s="1627">
        <v>18000000</v>
      </c>
      <c r="AK228" s="1627">
        <v>41985317</v>
      </c>
      <c r="AL228" s="1972">
        <v>48499695</v>
      </c>
      <c r="AM228" s="1030">
        <f t="shared" si="201"/>
        <v>0.96999389999999996</v>
      </c>
      <c r="AN228" s="997">
        <f>+AH228-AL228</f>
        <v>1474463</v>
      </c>
      <c r="AO228" s="1628">
        <v>33000000</v>
      </c>
      <c r="AP228" s="1627">
        <v>33000000</v>
      </c>
      <c r="AQ228" s="1972">
        <v>1991096</v>
      </c>
      <c r="AR228" s="1972">
        <v>1656627</v>
      </c>
      <c r="AS228" s="1053">
        <f t="shared" si="202"/>
        <v>0.83201764254460864</v>
      </c>
      <c r="AT228" s="1054">
        <v>320000000</v>
      </c>
      <c r="AU228" s="993">
        <f t="shared" ref="AU228" si="231">SUM(AJ228:AL228)+AR228+AP228</f>
        <v>143141639</v>
      </c>
      <c r="AV228" s="1139">
        <f t="shared" si="209"/>
        <v>0.44731762187500002</v>
      </c>
      <c r="AW228" s="173"/>
      <c r="AX228" s="173"/>
      <c r="AY228" s="189" t="s">
        <v>302</v>
      </c>
      <c r="AZ228" s="1629" t="s">
        <v>924</v>
      </c>
      <c r="BA228" s="1037"/>
      <c r="BB228" s="1037"/>
    </row>
    <row r="229" spans="1:54" ht="51" customHeight="1" thickBot="1">
      <c r="A229" s="1065" t="s">
        <v>439</v>
      </c>
      <c r="B229" s="1066"/>
      <c r="C229" s="862"/>
      <c r="D229" s="835"/>
      <c r="E229" s="224"/>
      <c r="F229" s="1067"/>
      <c r="G229" s="862"/>
      <c r="H229" s="200"/>
      <c r="I229" s="862"/>
      <c r="J229" s="862"/>
      <c r="K229" s="862"/>
      <c r="L229" s="1077">
        <f>+(L230*0%)+(L234*100%)</f>
        <v>1</v>
      </c>
      <c r="M229" s="1068">
        <f>+(M230*AC230)+(M234*AC234)</f>
        <v>0.90400000000000003</v>
      </c>
      <c r="N229" s="1068">
        <f>+(N230*AD230)+(N234*AD234)</f>
        <v>1</v>
      </c>
      <c r="O229" s="948"/>
      <c r="P229" s="1463"/>
      <c r="Q229" s="1071"/>
      <c r="R229" s="1069"/>
      <c r="S229" s="1069"/>
      <c r="T229" s="1464"/>
      <c r="U229" s="1464"/>
      <c r="V229" s="1464"/>
      <c r="W229" s="1072"/>
      <c r="X229" s="1464"/>
      <c r="Y229" s="1465"/>
      <c r="Z229" s="1075">
        <f t="shared" si="205"/>
        <v>0</v>
      </c>
      <c r="AA229" s="1246">
        <f>+(AA230*AB30)+(AA234*AB234)</f>
        <v>0.81811454767602731</v>
      </c>
      <c r="AB229" s="1077">
        <v>0.1</v>
      </c>
      <c r="AC229" s="883">
        <v>0.1</v>
      </c>
      <c r="AD229" s="470">
        <v>0.1</v>
      </c>
      <c r="AE229" s="1078">
        <v>910000000</v>
      </c>
      <c r="AF229" s="1078">
        <f>+AF230+AF234</f>
        <v>1216381367</v>
      </c>
      <c r="AG229" s="1066">
        <f>+AG230+AG234</f>
        <v>1068130934</v>
      </c>
      <c r="AH229" s="2114">
        <f>+AH230+AH234</f>
        <v>909529462</v>
      </c>
      <c r="AI229" s="1986">
        <f t="shared" si="200"/>
        <v>0.99948292527472526</v>
      </c>
      <c r="AJ229" s="1078">
        <f>+AJ230+AJ234</f>
        <v>62000000</v>
      </c>
      <c r="AK229" s="1078">
        <f>+AK230+AK234</f>
        <v>924899955</v>
      </c>
      <c r="AL229" s="1078">
        <f>+AL230+AL234</f>
        <v>753471385</v>
      </c>
      <c r="AM229" s="1068">
        <f t="shared" si="201"/>
        <v>0.82799053296703296</v>
      </c>
      <c r="AN229" s="1066">
        <f>+AN230+AN234</f>
        <v>156058077</v>
      </c>
      <c r="AO229" s="1069">
        <f>+AO230+AO234</f>
        <v>1154381367</v>
      </c>
      <c r="AP229" s="1078">
        <f>+AP230+AP234</f>
        <v>1144381367</v>
      </c>
      <c r="AQ229" s="1078">
        <f>+AQ230+AQ234</f>
        <v>143230979</v>
      </c>
      <c r="AR229" s="1078">
        <f>+AR230+AR234</f>
        <v>127668256</v>
      </c>
      <c r="AS229" s="1314">
        <f t="shared" si="202"/>
        <v>0.89134527244975403</v>
      </c>
      <c r="AT229" s="1078">
        <f t="shared" ref="AT229" si="232">+AT230+AT234</f>
        <v>5700000000</v>
      </c>
      <c r="AU229" s="1078">
        <f>+AU230+AU234</f>
        <v>3012420963</v>
      </c>
      <c r="AV229" s="1247">
        <f t="shared" si="209"/>
        <v>0.52849490578947367</v>
      </c>
      <c r="AW229" s="1071"/>
      <c r="AX229" s="1071" t="s">
        <v>301</v>
      </c>
      <c r="AY229" s="1069"/>
      <c r="AZ229" s="1066"/>
      <c r="BA229" s="1315"/>
      <c r="BB229" s="1315"/>
    </row>
    <row r="230" spans="1:54" ht="47.25" customHeight="1" thickBot="1">
      <c r="A230" s="331" t="s">
        <v>492</v>
      </c>
      <c r="B230" s="437"/>
      <c r="C230" s="873"/>
      <c r="D230" s="849"/>
      <c r="E230" s="223"/>
      <c r="F230" s="1572"/>
      <c r="G230" s="873"/>
      <c r="H230" s="139"/>
      <c r="I230" s="873"/>
      <c r="J230" s="873"/>
      <c r="K230" s="873"/>
      <c r="L230" s="294">
        <v>0</v>
      </c>
      <c r="M230" s="1608">
        <f>+SUMPRODUCT(M231:M233,AC231:AC233)</f>
        <v>0.7</v>
      </c>
      <c r="N230" s="1608">
        <f>+SUMPRODUCT(N231:N233,AD231:AD233)</f>
        <v>1</v>
      </c>
      <c r="O230" s="965"/>
      <c r="P230" s="1575"/>
      <c r="Q230" s="243"/>
      <c r="R230" s="1576"/>
      <c r="S230" s="1576"/>
      <c r="T230" s="1577"/>
      <c r="U230" s="1577"/>
      <c r="V230" s="1577"/>
      <c r="W230" s="1578"/>
      <c r="X230" s="1577"/>
      <c r="Y230" s="1579"/>
      <c r="Z230" s="261">
        <f t="shared" si="205"/>
        <v>0</v>
      </c>
      <c r="AA230" s="1580">
        <f>+SUMPRODUCT(AA231:AA233,AB231:AB233)</f>
        <v>0.62723940504680264</v>
      </c>
      <c r="AB230" s="294">
        <v>0.2</v>
      </c>
      <c r="AC230" s="899">
        <v>0.2</v>
      </c>
      <c r="AD230" s="471">
        <v>0.2</v>
      </c>
      <c r="AE230" s="1581">
        <v>122500000</v>
      </c>
      <c r="AF230" s="1581">
        <f>SUM(AF231:AF233)</f>
        <v>0</v>
      </c>
      <c r="AG230" s="437">
        <f>SUM(AG231:AG233)</f>
        <v>12626203</v>
      </c>
      <c r="AH230" s="2115">
        <f>SUM(AH231:AH233)</f>
        <v>122436472</v>
      </c>
      <c r="AI230" s="1992">
        <f t="shared" si="200"/>
        <v>0.99948140408163266</v>
      </c>
      <c r="AJ230" s="1581">
        <f>SUM(AJ231:AJ233)</f>
        <v>0</v>
      </c>
      <c r="AK230" s="1581">
        <f>SUM(AK231:AK233)</f>
        <v>4098282</v>
      </c>
      <c r="AL230" s="1976">
        <f>SUM(AL231:AL233)</f>
        <v>22934513</v>
      </c>
      <c r="AM230" s="1586">
        <f t="shared" si="201"/>
        <v>0.18722051428571429</v>
      </c>
      <c r="AN230" s="1584">
        <f>SUM(AN231:AN233)</f>
        <v>99501959</v>
      </c>
      <c r="AO230" s="1576">
        <f>SUM(AO231:AO233)</f>
        <v>0</v>
      </c>
      <c r="AP230" s="1581">
        <f>SUM(AP231:AP233)</f>
        <v>0</v>
      </c>
      <c r="AQ230" s="1581">
        <f>SUM(AQ231:AQ233)</f>
        <v>8527921</v>
      </c>
      <c r="AR230" s="1581">
        <f>SUM(AR231:AR233)</f>
        <v>7252920</v>
      </c>
      <c r="AS230" s="613">
        <f t="shared" si="202"/>
        <v>0.8504909930568072</v>
      </c>
      <c r="AT230" s="1581">
        <f t="shared" ref="AT230" si="233">SUM(AT231:AT233)</f>
        <v>450000000</v>
      </c>
      <c r="AU230" s="1581">
        <f>SUM(AU231:AU233)</f>
        <v>34285715</v>
      </c>
      <c r="AV230" s="1586">
        <f t="shared" si="209"/>
        <v>7.6190477777777779E-2</v>
      </c>
      <c r="AW230" s="1587"/>
      <c r="AX230" s="1588"/>
      <c r="AY230" s="1589"/>
      <c r="AZ230" s="1584"/>
      <c r="BA230" s="1590"/>
      <c r="BB230" s="1590"/>
    </row>
    <row r="231" spans="1:54" ht="75" customHeight="1">
      <c r="A231" s="353" t="s">
        <v>658</v>
      </c>
      <c r="B231" s="458" t="s">
        <v>831</v>
      </c>
      <c r="C231" s="1630">
        <v>0</v>
      </c>
      <c r="D231" s="220">
        <v>1</v>
      </c>
      <c r="E231" s="220">
        <v>0</v>
      </c>
      <c r="F231" s="1631">
        <v>0</v>
      </c>
      <c r="G231" s="859">
        <v>1</v>
      </c>
      <c r="H231" s="147"/>
      <c r="I231" s="859"/>
      <c r="J231" s="859"/>
      <c r="K231" s="859"/>
      <c r="L231" s="1010" t="e">
        <f t="shared" ref="L231:M233" si="234">IF((F231+I231)/C231&gt;=100%,100%,(F231+I231)/C231)</f>
        <v>#DIV/0!</v>
      </c>
      <c r="M231" s="1090">
        <f t="shared" si="234"/>
        <v>1</v>
      </c>
      <c r="N231" s="821" t="s">
        <v>2163</v>
      </c>
      <c r="O231" s="2165"/>
      <c r="P231" s="1525"/>
      <c r="Q231" s="1014"/>
      <c r="R231" s="1015"/>
      <c r="S231" s="1013"/>
      <c r="T231" s="1526"/>
      <c r="U231" s="1526"/>
      <c r="V231" s="1526"/>
      <c r="W231" s="1017"/>
      <c r="X231" s="1526"/>
      <c r="Y231" s="1527">
        <v>1.1000000000000001</v>
      </c>
      <c r="Z231" s="1008">
        <f t="shared" si="205"/>
        <v>1</v>
      </c>
      <c r="AA231" s="1438">
        <f t="shared" ref="AA231:AA233" si="235">IF(Z231/Y231&gt;=100%,100%,Z231/Y231)</f>
        <v>0.90909090909090906</v>
      </c>
      <c r="AB231" s="479">
        <v>0.4</v>
      </c>
      <c r="AC231" s="479">
        <v>0.4</v>
      </c>
      <c r="AD231" s="472">
        <v>0</v>
      </c>
      <c r="AE231" s="624">
        <v>0</v>
      </c>
      <c r="AF231" s="378">
        <v>0</v>
      </c>
      <c r="AG231" s="2095">
        <v>4156650</v>
      </c>
      <c r="AH231" s="2148">
        <v>0</v>
      </c>
      <c r="AI231" s="1993" t="e">
        <f t="shared" si="200"/>
        <v>#DIV/0!</v>
      </c>
      <c r="AJ231" s="378">
        <v>0</v>
      </c>
      <c r="AK231" s="624">
        <v>1343991</v>
      </c>
      <c r="AL231" s="1978">
        <v>0</v>
      </c>
      <c r="AM231" s="1139" t="e">
        <f t="shared" si="201"/>
        <v>#DIV/0!</v>
      </c>
      <c r="AN231" s="997">
        <f t="shared" ref="AN231:AN233" si="236">+AH231-AL231</f>
        <v>0</v>
      </c>
      <c r="AO231" s="1632">
        <v>0</v>
      </c>
      <c r="AP231" s="378">
        <v>0</v>
      </c>
      <c r="AQ231" s="1972">
        <v>2812659</v>
      </c>
      <c r="AR231" s="1972">
        <v>2381660</v>
      </c>
      <c r="AS231" s="1089">
        <f t="shared" si="202"/>
        <v>0.84676457402052652</v>
      </c>
      <c r="AT231" s="1118">
        <f>450000000/3</f>
        <v>150000000</v>
      </c>
      <c r="AU231" s="993">
        <f t="shared" ref="AU231:AU233" si="237">SUM(AJ231:AL231)+AR231+AP231</f>
        <v>3725651</v>
      </c>
      <c r="AV231" s="1139">
        <f t="shared" si="209"/>
        <v>2.4837673333333334E-2</v>
      </c>
      <c r="AW231" s="1140"/>
      <c r="AX231" s="1119"/>
      <c r="AY231" s="152" t="s">
        <v>302</v>
      </c>
      <c r="AZ231" s="1613" t="s">
        <v>890</v>
      </c>
      <c r="BA231" s="93"/>
      <c r="BB231" s="93"/>
    </row>
    <row r="232" spans="1:54" ht="57.75" customHeight="1">
      <c r="A232" s="353" t="s">
        <v>659</v>
      </c>
      <c r="B232" s="458" t="s">
        <v>832</v>
      </c>
      <c r="C232" s="1630">
        <v>0</v>
      </c>
      <c r="D232" s="308">
        <v>1</v>
      </c>
      <c r="E232" s="308">
        <v>1</v>
      </c>
      <c r="F232" s="1633">
        <v>0</v>
      </c>
      <c r="G232" s="859">
        <v>0</v>
      </c>
      <c r="H232" s="678">
        <v>1</v>
      </c>
      <c r="I232" s="859"/>
      <c r="J232" s="859"/>
      <c r="K232" s="859"/>
      <c r="L232" s="1010" t="e">
        <f t="shared" si="234"/>
        <v>#DIV/0!</v>
      </c>
      <c r="M232" s="1090">
        <f t="shared" si="234"/>
        <v>0</v>
      </c>
      <c r="N232" s="821">
        <f t="shared" ref="N232:N238" si="238">IF((H232/E232)&gt;=100%,100%,(H232/E232))</f>
        <v>1</v>
      </c>
      <c r="O232" s="2165" t="s">
        <v>2386</v>
      </c>
      <c r="P232" s="1525"/>
      <c r="Q232" s="2041" t="s">
        <v>2183</v>
      </c>
      <c r="R232" s="1015"/>
      <c r="S232" s="1013" t="s">
        <v>2182</v>
      </c>
      <c r="T232" s="2038" t="s">
        <v>2221</v>
      </c>
      <c r="U232" s="1526"/>
      <c r="V232" s="1526"/>
      <c r="W232" s="1017"/>
      <c r="X232" s="1526"/>
      <c r="Y232" s="874">
        <v>3.0009999999999999</v>
      </c>
      <c r="Z232" s="1010">
        <f t="shared" si="205"/>
        <v>1</v>
      </c>
      <c r="AA232" s="1438">
        <f t="shared" si="235"/>
        <v>0.33322225924691773</v>
      </c>
      <c r="AB232" s="479">
        <v>0.3</v>
      </c>
      <c r="AC232" s="479">
        <v>0.3</v>
      </c>
      <c r="AD232" s="472">
        <v>0.5</v>
      </c>
      <c r="AE232" s="624">
        <v>60000000</v>
      </c>
      <c r="AF232" s="378">
        <v>0</v>
      </c>
      <c r="AG232" s="2095">
        <v>4156650</v>
      </c>
      <c r="AH232" s="2148">
        <v>59968774</v>
      </c>
      <c r="AI232" s="1993">
        <f t="shared" si="200"/>
        <v>0.99947956666666671</v>
      </c>
      <c r="AJ232" s="378">
        <v>0</v>
      </c>
      <c r="AK232" s="624">
        <v>1343991</v>
      </c>
      <c r="AL232" s="1978">
        <v>11408300</v>
      </c>
      <c r="AM232" s="1139">
        <f t="shared" si="201"/>
        <v>0.19013833333333333</v>
      </c>
      <c r="AN232" s="997">
        <f t="shared" si="236"/>
        <v>48560474</v>
      </c>
      <c r="AO232" s="1632">
        <v>0</v>
      </c>
      <c r="AP232" s="378">
        <v>0</v>
      </c>
      <c r="AQ232" s="1972">
        <v>2812659</v>
      </c>
      <c r="AR232" s="1972">
        <v>2381660</v>
      </c>
      <c r="AS232" s="1089">
        <f t="shared" si="202"/>
        <v>0.84676457402052652</v>
      </c>
      <c r="AT232" s="1118">
        <f t="shared" ref="AT232:AT233" si="239">450000000/3</f>
        <v>150000000</v>
      </c>
      <c r="AU232" s="993">
        <f t="shared" si="237"/>
        <v>15133951</v>
      </c>
      <c r="AV232" s="1139">
        <f t="shared" si="209"/>
        <v>0.10089300666666666</v>
      </c>
      <c r="AW232" s="1140"/>
      <c r="AX232" s="1119"/>
      <c r="AY232" s="152" t="s">
        <v>302</v>
      </c>
      <c r="AZ232" s="1613" t="s">
        <v>890</v>
      </c>
      <c r="BA232" s="93"/>
      <c r="BB232" s="93"/>
    </row>
    <row r="233" spans="1:54" ht="95.25" customHeight="1" thickBot="1">
      <c r="A233" s="353" t="s">
        <v>660</v>
      </c>
      <c r="B233" s="458" t="s">
        <v>833</v>
      </c>
      <c r="C233" s="1630">
        <v>0</v>
      </c>
      <c r="D233" s="220">
        <v>0.1</v>
      </c>
      <c r="E233" s="220">
        <v>1</v>
      </c>
      <c r="F233" s="1631">
        <v>0</v>
      </c>
      <c r="G233" s="220">
        <v>0.1</v>
      </c>
      <c r="H233" s="147">
        <v>1</v>
      </c>
      <c r="I233" s="859"/>
      <c r="J233" s="859">
        <v>0.1</v>
      </c>
      <c r="K233" s="859"/>
      <c r="L233" s="1010" t="e">
        <f t="shared" si="234"/>
        <v>#DIV/0!</v>
      </c>
      <c r="M233" s="1090">
        <f t="shared" si="234"/>
        <v>1</v>
      </c>
      <c r="N233" s="821">
        <f t="shared" si="238"/>
        <v>1</v>
      </c>
      <c r="O233" s="2165" t="s">
        <v>2387</v>
      </c>
      <c r="P233" s="1525"/>
      <c r="Q233" s="1014"/>
      <c r="R233" s="1015"/>
      <c r="S233" s="1013"/>
      <c r="T233" s="1526"/>
      <c r="U233" s="1526"/>
      <c r="V233" s="1526"/>
      <c r="W233" s="1017"/>
      <c r="X233" s="1526"/>
      <c r="Y233" s="1527">
        <v>2.2000000000000002</v>
      </c>
      <c r="Z233" s="1008">
        <f t="shared" si="205"/>
        <v>1.2000000000000002</v>
      </c>
      <c r="AA233" s="1438">
        <f t="shared" si="235"/>
        <v>0.54545454545454553</v>
      </c>
      <c r="AB233" s="479">
        <v>0.3</v>
      </c>
      <c r="AC233" s="479">
        <v>0.3</v>
      </c>
      <c r="AD233" s="881">
        <v>0.5</v>
      </c>
      <c r="AE233" s="546">
        <v>62500000</v>
      </c>
      <c r="AF233" s="378">
        <v>0</v>
      </c>
      <c r="AG233" s="2095">
        <v>4312903</v>
      </c>
      <c r="AH233" s="2148">
        <v>62467698</v>
      </c>
      <c r="AI233" s="1993">
        <f t="shared" si="200"/>
        <v>0.99948316800000003</v>
      </c>
      <c r="AJ233" s="378">
        <v>0</v>
      </c>
      <c r="AK233" s="624">
        <v>1410300</v>
      </c>
      <c r="AL233" s="1978">
        <v>11526213</v>
      </c>
      <c r="AM233" s="1139">
        <f t="shared" si="201"/>
        <v>0.18441940800000001</v>
      </c>
      <c r="AN233" s="997">
        <f t="shared" si="236"/>
        <v>50941485</v>
      </c>
      <c r="AO233" s="1632">
        <v>0</v>
      </c>
      <c r="AP233" s="378">
        <v>0</v>
      </c>
      <c r="AQ233" s="1972">
        <v>2902603</v>
      </c>
      <c r="AR233" s="1972">
        <v>2489600</v>
      </c>
      <c r="AS233" s="1089">
        <f t="shared" si="202"/>
        <v>0.8577128873635147</v>
      </c>
      <c r="AT233" s="1118">
        <f t="shared" si="239"/>
        <v>150000000</v>
      </c>
      <c r="AU233" s="993">
        <f t="shared" si="237"/>
        <v>15426113</v>
      </c>
      <c r="AV233" s="1139">
        <f t="shared" si="209"/>
        <v>0.10284075333333334</v>
      </c>
      <c r="AW233" s="1140"/>
      <c r="AX233" s="1119"/>
      <c r="AY233" s="152" t="s">
        <v>302</v>
      </c>
      <c r="AZ233" s="1613" t="s">
        <v>890</v>
      </c>
      <c r="BA233" s="93"/>
      <c r="BB233" s="93"/>
    </row>
    <row r="234" spans="1:54" ht="46.5" customHeight="1" thickBot="1">
      <c r="A234" s="315" t="s">
        <v>493</v>
      </c>
      <c r="B234" s="138"/>
      <c r="C234" s="139"/>
      <c r="D234" s="223"/>
      <c r="E234" s="223"/>
      <c r="F234" s="212"/>
      <c r="G234" s="139"/>
      <c r="H234" s="139"/>
      <c r="I234" s="139"/>
      <c r="J234" s="139"/>
      <c r="K234" s="139"/>
      <c r="L234" s="140">
        <f>+SUMPRODUCT(L235:L238,AB235:AB238)</f>
        <v>1</v>
      </c>
      <c r="M234" s="1617">
        <f>+SUMPRODUCT(M235:M238,AC235:AC238)</f>
        <v>0.95499999999999996</v>
      </c>
      <c r="N234" s="1617">
        <f>+SUMPRODUCT(N235:N238,AD235:AD238)</f>
        <v>1</v>
      </c>
      <c r="O234" s="965"/>
      <c r="P234" s="1619"/>
      <c r="Q234" s="141"/>
      <c r="R234" s="142"/>
      <c r="S234" s="142"/>
      <c r="T234" s="194"/>
      <c r="U234" s="194"/>
      <c r="V234" s="194"/>
      <c r="W234" s="163"/>
      <c r="X234" s="194"/>
      <c r="Y234" s="240"/>
      <c r="Z234" s="258">
        <f t="shared" si="205"/>
        <v>0</v>
      </c>
      <c r="AA234" s="177">
        <f>+SUMPRODUCT(AA235:AA238,AB235:AB238)</f>
        <v>0.86583333333333334</v>
      </c>
      <c r="AB234" s="140">
        <v>0.8</v>
      </c>
      <c r="AC234" s="471">
        <v>0.8</v>
      </c>
      <c r="AD234" s="471">
        <v>0.8</v>
      </c>
      <c r="AE234" s="1453">
        <v>787500000</v>
      </c>
      <c r="AF234" s="1453">
        <f>SUM(AF235:AF238)</f>
        <v>1216381367</v>
      </c>
      <c r="AG234" s="138">
        <f>SUM(AG235:AG238)</f>
        <v>1055504731</v>
      </c>
      <c r="AH234" s="2115">
        <f>SUM(AH235:AH238)</f>
        <v>787092990</v>
      </c>
      <c r="AI234" s="1990">
        <f t="shared" si="200"/>
        <v>0.99948316190476194</v>
      </c>
      <c r="AJ234" s="1453">
        <f>SUM(AJ235:AJ238)</f>
        <v>62000000</v>
      </c>
      <c r="AK234" s="1453">
        <f>SUM(AK235:AK238)</f>
        <v>920801673</v>
      </c>
      <c r="AL234" s="1975">
        <f>SUM(AL235:AL238)</f>
        <v>730536872</v>
      </c>
      <c r="AM234" s="1454">
        <f t="shared" si="201"/>
        <v>0.92766586920634919</v>
      </c>
      <c r="AN234" s="145">
        <f>SUM(AN235:AN238)</f>
        <v>56556118</v>
      </c>
      <c r="AO234" s="142">
        <f>SUM(AO235:AO238)</f>
        <v>1154381367</v>
      </c>
      <c r="AP234" s="1453">
        <f>SUM(AP235:AP238)</f>
        <v>1144381367</v>
      </c>
      <c r="AQ234" s="1581">
        <f>SUM(AQ235:AQ238)</f>
        <v>134703058</v>
      </c>
      <c r="AR234" s="1581">
        <f>SUM(AR235:AR238)</f>
        <v>120415336</v>
      </c>
      <c r="AS234" s="613">
        <f t="shared" si="202"/>
        <v>0.89393171757095524</v>
      </c>
      <c r="AT234" s="1453">
        <f t="shared" ref="AT234" si="240">SUM(AT235:AT238)</f>
        <v>5250000000</v>
      </c>
      <c r="AU234" s="1453">
        <f>SUM(AU235:AU238)</f>
        <v>2978135248</v>
      </c>
      <c r="AV234" s="1455">
        <f t="shared" si="209"/>
        <v>0.56726385676190472</v>
      </c>
      <c r="AW234" s="179"/>
      <c r="AX234" s="165"/>
      <c r="AY234" s="553"/>
      <c r="AZ234" s="145"/>
      <c r="BA234" s="98"/>
      <c r="BB234" s="98"/>
    </row>
    <row r="235" spans="1:54" ht="130.5" customHeight="1">
      <c r="A235" s="352" t="s">
        <v>661</v>
      </c>
      <c r="B235" s="457" t="s">
        <v>834</v>
      </c>
      <c r="C235" s="1600">
        <v>0.5</v>
      </c>
      <c r="D235" s="408">
        <v>0.4</v>
      </c>
      <c r="E235" s="408">
        <v>0.05</v>
      </c>
      <c r="F235" s="305">
        <v>0.5</v>
      </c>
      <c r="G235" s="872">
        <v>0.4</v>
      </c>
      <c r="H235" s="182">
        <v>0.05</v>
      </c>
      <c r="I235" s="859"/>
      <c r="J235" s="859"/>
      <c r="K235" s="859"/>
      <c r="L235" s="1010">
        <f t="shared" ref="L235:M238" si="241">IF((F235+I235)/C235&gt;=100%,100%,(F235+I235)/C235)</f>
        <v>1</v>
      </c>
      <c r="M235" s="1090">
        <f t="shared" si="241"/>
        <v>1</v>
      </c>
      <c r="N235" s="821">
        <f t="shared" si="238"/>
        <v>1</v>
      </c>
      <c r="O235" s="2165" t="s">
        <v>2388</v>
      </c>
      <c r="P235" s="1525"/>
      <c r="Q235" s="2041" t="s">
        <v>2183</v>
      </c>
      <c r="R235" s="1015"/>
      <c r="S235" s="1013" t="s">
        <v>2182</v>
      </c>
      <c r="T235" s="2038" t="s">
        <v>2222</v>
      </c>
      <c r="U235" s="1526"/>
      <c r="V235" s="1526"/>
      <c r="W235" s="1017"/>
      <c r="X235" s="1526"/>
      <c r="Y235" s="1634">
        <v>1</v>
      </c>
      <c r="Z235" s="1635">
        <f t="shared" si="205"/>
        <v>0.95000000000000007</v>
      </c>
      <c r="AA235" s="1438">
        <f t="shared" ref="AA235:AA238" si="242">IF(Z235/Y235&gt;=100%,100%,Z235/Y235)</f>
        <v>0.95000000000000007</v>
      </c>
      <c r="AB235" s="1636">
        <v>0.35</v>
      </c>
      <c r="AC235" s="1636">
        <v>0.35</v>
      </c>
      <c r="AD235" s="472">
        <v>0.35</v>
      </c>
      <c r="AE235" s="544">
        <v>125000000</v>
      </c>
      <c r="AF235" s="376">
        <v>649891449</v>
      </c>
      <c r="AG235" s="2093">
        <v>548728092</v>
      </c>
      <c r="AH235" s="2145">
        <v>124935395</v>
      </c>
      <c r="AI235" s="1993">
        <f t="shared" si="200"/>
        <v>0.99948316000000004</v>
      </c>
      <c r="AJ235" s="376">
        <v>0</v>
      </c>
      <c r="AK235" s="544">
        <v>502151646</v>
      </c>
      <c r="AL235" s="1604">
        <v>120303258</v>
      </c>
      <c r="AM235" s="1134">
        <f t="shared" si="201"/>
        <v>0.96242606399999997</v>
      </c>
      <c r="AN235" s="997">
        <f t="shared" ref="AN235:AN238" si="243">+AH235-AL235</f>
        <v>4632137</v>
      </c>
      <c r="AO235" s="1598">
        <v>649891449</v>
      </c>
      <c r="AP235" s="376">
        <v>649891449</v>
      </c>
      <c r="AQ235" s="2011">
        <v>46576446</v>
      </c>
      <c r="AR235" s="2011">
        <v>38209185</v>
      </c>
      <c r="AS235" s="1089">
        <f t="shared" si="202"/>
        <v>0.82035424085384279</v>
      </c>
      <c r="AT235" s="1118">
        <v>1800000000</v>
      </c>
      <c r="AU235" s="993">
        <f t="shared" ref="AU235:AU238" si="244">SUM(AJ235:AL235)+AR235+AP235</f>
        <v>1310555538</v>
      </c>
      <c r="AV235" s="1134">
        <f t="shared" si="209"/>
        <v>0.72808640999999996</v>
      </c>
      <c r="AW235" s="1140"/>
      <c r="AX235" s="1119"/>
      <c r="AY235" s="152" t="s">
        <v>302</v>
      </c>
      <c r="AZ235" s="2288" t="s">
        <v>890</v>
      </c>
      <c r="BA235" s="93"/>
      <c r="BB235" s="93"/>
    </row>
    <row r="236" spans="1:54" ht="57.75" customHeight="1">
      <c r="A236" s="352" t="s">
        <v>662</v>
      </c>
      <c r="B236" s="457" t="s">
        <v>835</v>
      </c>
      <c r="C236" s="1600">
        <v>0.1</v>
      </c>
      <c r="D236" s="408">
        <v>0.2</v>
      </c>
      <c r="E236" s="408">
        <v>0.3</v>
      </c>
      <c r="F236" s="305">
        <v>0.1</v>
      </c>
      <c r="G236" s="872">
        <v>0.2</v>
      </c>
      <c r="H236" s="182">
        <v>0.3</v>
      </c>
      <c r="I236" s="859"/>
      <c r="J236" s="859"/>
      <c r="K236" s="859"/>
      <c r="L236" s="1010">
        <f t="shared" si="241"/>
        <v>1</v>
      </c>
      <c r="M236" s="1090">
        <f t="shared" si="241"/>
        <v>1</v>
      </c>
      <c r="N236" s="821">
        <f t="shared" si="238"/>
        <v>1</v>
      </c>
      <c r="O236" s="2165" t="s">
        <v>2389</v>
      </c>
      <c r="P236" s="1525"/>
      <c r="Q236" s="2041" t="s">
        <v>2183</v>
      </c>
      <c r="R236" s="1015"/>
      <c r="S236" s="1013" t="s">
        <v>2182</v>
      </c>
      <c r="T236" s="2038" t="s">
        <v>2222</v>
      </c>
      <c r="U236" s="1526"/>
      <c r="V236" s="1526"/>
      <c r="W236" s="1017"/>
      <c r="X236" s="1526"/>
      <c r="Y236" s="305">
        <v>0.90000000000000013</v>
      </c>
      <c r="Z236" s="1008">
        <f t="shared" si="205"/>
        <v>0.60000000000000009</v>
      </c>
      <c r="AA236" s="1438">
        <f t="shared" si="242"/>
        <v>0.66666666666666663</v>
      </c>
      <c r="AB236" s="1636">
        <v>0.35</v>
      </c>
      <c r="AC236" s="1636">
        <v>0.35</v>
      </c>
      <c r="AD236" s="472">
        <v>0.35</v>
      </c>
      <c r="AE236" s="544">
        <v>300000000</v>
      </c>
      <c r="AF236" s="376">
        <v>164237276</v>
      </c>
      <c r="AG236" s="2093">
        <v>153603288</v>
      </c>
      <c r="AH236" s="2145">
        <v>299844949</v>
      </c>
      <c r="AI236" s="1993">
        <f t="shared" si="200"/>
        <v>0.99948316333333331</v>
      </c>
      <c r="AJ236" s="376">
        <v>0</v>
      </c>
      <c r="AK236" s="544">
        <v>136048810</v>
      </c>
      <c r="AL236" s="1604">
        <v>288727816</v>
      </c>
      <c r="AM236" s="1134">
        <f t="shared" si="201"/>
        <v>0.96242605333333331</v>
      </c>
      <c r="AN236" s="997">
        <f t="shared" si="243"/>
        <v>11117133</v>
      </c>
      <c r="AO236" s="1598">
        <v>164237276</v>
      </c>
      <c r="AP236" s="376">
        <v>164237276</v>
      </c>
      <c r="AQ236" s="2011">
        <v>17554478</v>
      </c>
      <c r="AR236" s="2011">
        <v>15441979</v>
      </c>
      <c r="AS236" s="1089">
        <f t="shared" si="202"/>
        <v>0.87966039206634339</v>
      </c>
      <c r="AT236" s="1118">
        <v>1600000000</v>
      </c>
      <c r="AU236" s="993">
        <f t="shared" si="244"/>
        <v>604455881</v>
      </c>
      <c r="AV236" s="1139">
        <f t="shared" si="209"/>
        <v>0.37778492562499999</v>
      </c>
      <c r="AW236" s="1140"/>
      <c r="AX236" s="1119"/>
      <c r="AY236" s="152" t="s">
        <v>302</v>
      </c>
      <c r="AZ236" s="2289"/>
      <c r="BA236" s="93"/>
      <c r="BB236" s="93"/>
    </row>
    <row r="237" spans="1:54" ht="57" customHeight="1">
      <c r="A237" s="352" t="s">
        <v>663</v>
      </c>
      <c r="B237" s="457" t="s">
        <v>836</v>
      </c>
      <c r="C237" s="1600">
        <v>1</v>
      </c>
      <c r="D237" s="408">
        <v>1</v>
      </c>
      <c r="E237" s="408">
        <v>1</v>
      </c>
      <c r="F237" s="305">
        <v>1</v>
      </c>
      <c r="G237" s="872">
        <v>0.7</v>
      </c>
      <c r="H237" s="182">
        <v>1</v>
      </c>
      <c r="I237" s="859"/>
      <c r="J237" s="859"/>
      <c r="K237" s="859"/>
      <c r="L237" s="1010">
        <f t="shared" si="241"/>
        <v>1</v>
      </c>
      <c r="M237" s="1090">
        <f t="shared" si="241"/>
        <v>0.7</v>
      </c>
      <c r="N237" s="821">
        <f t="shared" si="238"/>
        <v>1</v>
      </c>
      <c r="O237" s="2165" t="s">
        <v>2390</v>
      </c>
      <c r="P237" s="1525"/>
      <c r="Q237" s="2041" t="s">
        <v>2183</v>
      </c>
      <c r="R237" s="1015"/>
      <c r="S237" s="1013" t="s">
        <v>2182</v>
      </c>
      <c r="T237" s="2038" t="s">
        <v>2222</v>
      </c>
      <c r="U237" s="1526"/>
      <c r="V237" s="1526"/>
      <c r="W237" s="1017"/>
      <c r="X237" s="1526"/>
      <c r="Y237" s="305">
        <v>1</v>
      </c>
      <c r="Z237" s="1008">
        <f t="shared" si="205"/>
        <v>2.7</v>
      </c>
      <c r="AA237" s="1438">
        <f t="shared" si="242"/>
        <v>1</v>
      </c>
      <c r="AB237" s="1636">
        <v>0.15</v>
      </c>
      <c r="AC237" s="1636">
        <v>0.15</v>
      </c>
      <c r="AD237" s="472">
        <v>0.15</v>
      </c>
      <c r="AE237" s="619">
        <v>200000000</v>
      </c>
      <c r="AF237" s="376">
        <v>250000000</v>
      </c>
      <c r="AG237" s="2093">
        <v>176232968</v>
      </c>
      <c r="AH237" s="2145">
        <v>199893402</v>
      </c>
      <c r="AI237" s="1993">
        <f t="shared" si="200"/>
        <v>0.99946701000000004</v>
      </c>
      <c r="AJ237" s="376">
        <v>0</v>
      </c>
      <c r="AK237" s="544">
        <v>153874652</v>
      </c>
      <c r="AL237" s="1604">
        <v>164876727</v>
      </c>
      <c r="AM237" s="1134">
        <f t="shared" si="201"/>
        <v>0.824383635</v>
      </c>
      <c r="AN237" s="997">
        <f t="shared" si="243"/>
        <v>35016675</v>
      </c>
      <c r="AO237" s="1598">
        <v>250000000</v>
      </c>
      <c r="AP237" s="376">
        <v>250000000</v>
      </c>
      <c r="AQ237" s="2011">
        <v>22358316</v>
      </c>
      <c r="AR237" s="2011">
        <v>19994602</v>
      </c>
      <c r="AS237" s="1089">
        <f t="shared" si="202"/>
        <v>0.89428032057512741</v>
      </c>
      <c r="AT237" s="1208">
        <v>1850000000</v>
      </c>
      <c r="AU237" s="993">
        <f t="shared" si="244"/>
        <v>588745981</v>
      </c>
      <c r="AV237" s="1139">
        <f t="shared" si="209"/>
        <v>0.31824107081081082</v>
      </c>
      <c r="AW237" s="1140"/>
      <c r="AX237" s="1119"/>
      <c r="AY237" s="152" t="s">
        <v>302</v>
      </c>
      <c r="AZ237" s="2290"/>
      <c r="BA237" s="93"/>
      <c r="BB237" s="93"/>
    </row>
    <row r="238" spans="1:54" ht="49.5" customHeight="1" thickBot="1">
      <c r="A238" s="355" t="s">
        <v>664</v>
      </c>
      <c r="B238" s="310" t="s">
        <v>837</v>
      </c>
      <c r="C238" s="1601">
        <v>1</v>
      </c>
      <c r="D238" s="1952">
        <v>0.1</v>
      </c>
      <c r="E238" s="407">
        <v>1</v>
      </c>
      <c r="F238" s="1602">
        <v>1</v>
      </c>
      <c r="G238" s="1952">
        <v>0.1</v>
      </c>
      <c r="H238" s="147">
        <v>1</v>
      </c>
      <c r="I238" s="866"/>
      <c r="J238" s="866"/>
      <c r="K238" s="866"/>
      <c r="L238" s="1139">
        <f t="shared" si="241"/>
        <v>1</v>
      </c>
      <c r="M238" s="1090">
        <f t="shared" si="241"/>
        <v>1</v>
      </c>
      <c r="N238" s="821">
        <f t="shared" si="238"/>
        <v>1</v>
      </c>
      <c r="O238" s="2165" t="s">
        <v>2391</v>
      </c>
      <c r="P238" s="1525"/>
      <c r="Q238" s="2041" t="s">
        <v>2183</v>
      </c>
      <c r="R238" s="1015"/>
      <c r="S238" s="1013" t="s">
        <v>2182</v>
      </c>
      <c r="T238" s="2037" t="s">
        <v>2223</v>
      </c>
      <c r="U238" s="1526"/>
      <c r="V238" s="1526"/>
      <c r="W238" s="1223"/>
      <c r="X238" s="1526"/>
      <c r="Y238" s="2050">
        <v>2.1</v>
      </c>
      <c r="Z238" s="1130">
        <f t="shared" si="205"/>
        <v>2.1</v>
      </c>
      <c r="AA238" s="1430">
        <f t="shared" si="242"/>
        <v>1</v>
      </c>
      <c r="AB238" s="1263">
        <v>0.15</v>
      </c>
      <c r="AC238" s="1263">
        <v>0.15</v>
      </c>
      <c r="AD238" s="881">
        <v>0.15</v>
      </c>
      <c r="AE238" s="1626">
        <v>162500000</v>
      </c>
      <c r="AF238" s="1605">
        <v>152252642</v>
      </c>
      <c r="AG238" s="2011">
        <v>176940383</v>
      </c>
      <c r="AH238" s="2145">
        <v>162419244</v>
      </c>
      <c r="AI238" s="1997">
        <f t="shared" si="200"/>
        <v>0.99950304000000001</v>
      </c>
      <c r="AJ238" s="1605">
        <v>62000000</v>
      </c>
      <c r="AK238" s="1604">
        <v>128726565</v>
      </c>
      <c r="AL238" s="1604">
        <v>156629071</v>
      </c>
      <c r="AM238" s="1134">
        <f t="shared" si="201"/>
        <v>0.96387120615384614</v>
      </c>
      <c r="AN238" s="997">
        <f t="shared" si="243"/>
        <v>5790173</v>
      </c>
      <c r="AO238" s="1606">
        <v>90252642</v>
      </c>
      <c r="AP238" s="1605">
        <v>80252642</v>
      </c>
      <c r="AQ238" s="2011">
        <v>48213818</v>
      </c>
      <c r="AR238" s="2011">
        <v>46769570</v>
      </c>
      <c r="AS238" s="1136">
        <f t="shared" si="202"/>
        <v>0.97004493608035769</v>
      </c>
      <c r="AT238" s="1638">
        <v>0</v>
      </c>
      <c r="AU238" s="993">
        <f t="shared" si="244"/>
        <v>474377848</v>
      </c>
      <c r="AV238" s="1139" t="e">
        <f>+AU238/AT238</f>
        <v>#DIV/0!</v>
      </c>
      <c r="AW238" s="1140"/>
      <c r="AX238" s="1140"/>
      <c r="AY238" s="189" t="s">
        <v>302</v>
      </c>
      <c r="AZ238" s="1607" t="s">
        <v>890</v>
      </c>
      <c r="BA238" s="1037"/>
      <c r="BB238" s="1037"/>
    </row>
    <row r="239" spans="1:54" ht="57" customHeight="1" thickBot="1">
      <c r="A239" s="1065" t="s">
        <v>440</v>
      </c>
      <c r="B239" s="1066"/>
      <c r="C239" s="862"/>
      <c r="D239" s="835"/>
      <c r="E239" s="224"/>
      <c r="F239" s="1067"/>
      <c r="G239" s="862"/>
      <c r="H239" s="200"/>
      <c r="I239" s="862"/>
      <c r="J239" s="862"/>
      <c r="K239" s="862"/>
      <c r="L239" s="1077">
        <f>+(L240*AB240)</f>
        <v>1</v>
      </c>
      <c r="M239" s="1639">
        <f>+(M240*AC240)</f>
        <v>1</v>
      </c>
      <c r="N239" s="1639">
        <f>+(N240*AC240)</f>
        <v>1</v>
      </c>
      <c r="O239" s="948"/>
      <c r="P239" s="1463"/>
      <c r="Q239" s="1071"/>
      <c r="R239" s="1069"/>
      <c r="S239" s="1069"/>
      <c r="T239" s="1464"/>
      <c r="U239" s="1464"/>
      <c r="V239" s="1464"/>
      <c r="W239" s="1072"/>
      <c r="X239" s="1464"/>
      <c r="Y239" s="1465"/>
      <c r="Z239" s="1075">
        <f t="shared" si="205"/>
        <v>0</v>
      </c>
      <c r="AA239" s="1246">
        <f>+(AA240*AB240)</f>
        <v>0.875</v>
      </c>
      <c r="AB239" s="1077">
        <v>0.1</v>
      </c>
      <c r="AC239" s="883">
        <v>0.1</v>
      </c>
      <c r="AD239" s="470">
        <v>0.1</v>
      </c>
      <c r="AE239" s="1078">
        <v>400000000</v>
      </c>
      <c r="AF239" s="1078">
        <f>+AF240</f>
        <v>313482364.75</v>
      </c>
      <c r="AG239" s="1066">
        <f>+AG240</f>
        <v>412454675.72000003</v>
      </c>
      <c r="AH239" s="2114">
        <f>+AH240</f>
        <v>399742322</v>
      </c>
      <c r="AI239" s="1986">
        <f t="shared" si="200"/>
        <v>0.99935580499999999</v>
      </c>
      <c r="AJ239" s="1078">
        <f>+AJ240</f>
        <v>269291455</v>
      </c>
      <c r="AK239" s="1078">
        <f>+AK240</f>
        <v>378268839.72000003</v>
      </c>
      <c r="AL239" s="1078">
        <f>+AL240</f>
        <v>392140930</v>
      </c>
      <c r="AM239" s="1307">
        <f t="shared" si="201"/>
        <v>0.98035232500000002</v>
      </c>
      <c r="AN239" s="1066">
        <f>+AN240</f>
        <v>7601392</v>
      </c>
      <c r="AO239" s="1640">
        <f>+AO240</f>
        <v>44190909.75</v>
      </c>
      <c r="AP239" s="1078">
        <f>+AP240</f>
        <v>38890909.25</v>
      </c>
      <c r="AQ239" s="1078">
        <f>+AQ240</f>
        <v>34185836</v>
      </c>
      <c r="AR239" s="1078">
        <f>+AR240</f>
        <v>32023971</v>
      </c>
      <c r="AS239" s="1314">
        <f t="shared" si="202"/>
        <v>0.93676138269662323</v>
      </c>
      <c r="AT239" s="1078">
        <f t="shared" ref="AT239" si="245">+AT240</f>
        <v>2000000000</v>
      </c>
      <c r="AU239" s="1078">
        <f>+AU240</f>
        <v>1110616104.97</v>
      </c>
      <c r="AV239" s="1077">
        <f t="shared" si="209"/>
        <v>0.55530805248500004</v>
      </c>
      <c r="AW239" s="1071"/>
      <c r="AX239" s="1071" t="s">
        <v>301</v>
      </c>
      <c r="AY239" s="1069"/>
      <c r="AZ239" s="1066"/>
      <c r="BA239" s="1315"/>
      <c r="BB239" s="1315"/>
    </row>
    <row r="240" spans="1:54" ht="38.25" customHeight="1" thickBot="1">
      <c r="A240" s="331" t="s">
        <v>494</v>
      </c>
      <c r="B240" s="437"/>
      <c r="C240" s="873"/>
      <c r="D240" s="849"/>
      <c r="E240" s="223"/>
      <c r="F240" s="1572"/>
      <c r="G240" s="873"/>
      <c r="H240" s="139"/>
      <c r="I240" s="873"/>
      <c r="J240" s="873"/>
      <c r="K240" s="873"/>
      <c r="L240" s="294">
        <f>+SUMPRODUCT(L241:L244,AB241:AB244)</f>
        <v>1</v>
      </c>
      <c r="M240" s="1573">
        <f>+SUMPRODUCT(M241:M244,AC241:AC244)</f>
        <v>1</v>
      </c>
      <c r="N240" s="1573">
        <f>+SUMPRODUCT(N241:N244,AD241:AD244)</f>
        <v>1</v>
      </c>
      <c r="O240" s="965"/>
      <c r="P240" s="1575"/>
      <c r="Q240" s="243"/>
      <c r="R240" s="1576"/>
      <c r="S240" s="1576"/>
      <c r="T240" s="1577"/>
      <c r="U240" s="1577"/>
      <c r="V240" s="1577"/>
      <c r="W240" s="1578"/>
      <c r="X240" s="1577"/>
      <c r="Y240" s="1579"/>
      <c r="Z240" s="261">
        <f t="shared" si="205"/>
        <v>0</v>
      </c>
      <c r="AA240" s="1580">
        <f>+SUMPRODUCT(AA241:AA244,AB241:AB244)</f>
        <v>0.875</v>
      </c>
      <c r="AB240" s="294">
        <v>1</v>
      </c>
      <c r="AC240" s="899">
        <v>1</v>
      </c>
      <c r="AD240" s="471">
        <v>1</v>
      </c>
      <c r="AE240" s="1581">
        <v>400000000</v>
      </c>
      <c r="AF240" s="1581">
        <f>SUM(AF241:AF244)</f>
        <v>313482364.75</v>
      </c>
      <c r="AG240" s="437">
        <f>SUM(AG241:AG244)</f>
        <v>412454675.72000003</v>
      </c>
      <c r="AH240" s="2115">
        <f>SUM(AH241:AH244)</f>
        <v>399742322</v>
      </c>
      <c r="AI240" s="1992">
        <f t="shared" si="200"/>
        <v>0.99935580499999999</v>
      </c>
      <c r="AJ240" s="1581">
        <f>SUM(AJ241:AJ244)</f>
        <v>269291455</v>
      </c>
      <c r="AK240" s="1581">
        <f>SUM(AK241:AK244)</f>
        <v>378268839.72000003</v>
      </c>
      <c r="AL240" s="1976">
        <f>SUM(AL241:AL244)</f>
        <v>392140930</v>
      </c>
      <c r="AM240" s="1595">
        <f t="shared" si="201"/>
        <v>0.98035232500000002</v>
      </c>
      <c r="AN240" s="1584">
        <f>SUM(AN241:AN244)</f>
        <v>7601392</v>
      </c>
      <c r="AO240" s="1641">
        <f>SUM(AO241:AO244)</f>
        <v>44190909.75</v>
      </c>
      <c r="AP240" s="1581">
        <f>SUM(AP241:AP244)</f>
        <v>38890909.25</v>
      </c>
      <c r="AQ240" s="1581">
        <f>SUM(AQ241:AQ244)</f>
        <v>34185836</v>
      </c>
      <c r="AR240" s="1581">
        <f>SUM(AR241:AR244)</f>
        <v>32023971</v>
      </c>
      <c r="AS240" s="613">
        <f t="shared" si="202"/>
        <v>0.93676138269662323</v>
      </c>
      <c r="AT240" s="1581">
        <f t="shared" ref="AT240" si="246">SUM(AT241:AT244)</f>
        <v>2000000000</v>
      </c>
      <c r="AU240" s="1581">
        <f>SUM(AU241:AU244)</f>
        <v>1110616104.97</v>
      </c>
      <c r="AV240" s="1586">
        <f t="shared" si="209"/>
        <v>0.55530805248500004</v>
      </c>
      <c r="AW240" s="1587"/>
      <c r="AX240" s="1588"/>
      <c r="AY240" s="1589"/>
      <c r="AZ240" s="1584"/>
      <c r="BA240" s="1590"/>
      <c r="BB240" s="1590"/>
    </row>
    <row r="241" spans="1:54" ht="75.75" customHeight="1">
      <c r="A241" s="353" t="s">
        <v>665</v>
      </c>
      <c r="B241" s="458" t="s">
        <v>838</v>
      </c>
      <c r="C241" s="1611">
        <v>4</v>
      </c>
      <c r="D241" s="409">
        <v>5</v>
      </c>
      <c r="E241" s="409">
        <v>5</v>
      </c>
      <c r="F241" s="213">
        <v>4</v>
      </c>
      <c r="G241" s="147">
        <v>5</v>
      </c>
      <c r="H241" s="147">
        <v>5</v>
      </c>
      <c r="I241" s="147"/>
      <c r="J241" s="147"/>
      <c r="K241" s="147"/>
      <c r="L241" s="180">
        <f t="shared" ref="L241:M244" si="247">IF((F241+I241)/C241&gt;=100%,100%,(F241+I241)/C241)</f>
        <v>1</v>
      </c>
      <c r="M241" s="1090">
        <f t="shared" si="247"/>
        <v>1</v>
      </c>
      <c r="N241" s="821">
        <f t="shared" ref="N241:N244" si="248">IF((H241/E241)&gt;=100%,100%,(H241/E241))</f>
        <v>1</v>
      </c>
      <c r="O241" s="2165" t="s">
        <v>2392</v>
      </c>
      <c r="P241" s="1507"/>
      <c r="Q241" s="2041" t="s">
        <v>2183</v>
      </c>
      <c r="R241" s="1015"/>
      <c r="S241" s="1013" t="s">
        <v>2182</v>
      </c>
      <c r="T241" s="2038" t="s">
        <v>2224</v>
      </c>
      <c r="U241" s="195"/>
      <c r="V241" s="195"/>
      <c r="W241" s="150"/>
      <c r="X241" s="195"/>
      <c r="Y241" s="213">
        <v>20</v>
      </c>
      <c r="Z241" s="242">
        <f t="shared" si="205"/>
        <v>14</v>
      </c>
      <c r="AA241" s="186">
        <f t="shared" ref="AA241:AA244" si="249">IF(Z241/Y241&gt;=100%,100%,Z241/Y241)</f>
        <v>0.7</v>
      </c>
      <c r="AB241" s="1397">
        <v>0.25</v>
      </c>
      <c r="AC241" s="476">
        <v>0.25</v>
      </c>
      <c r="AD241" s="476">
        <v>0.25</v>
      </c>
      <c r="AE241" s="1642">
        <v>140000000</v>
      </c>
      <c r="AF241" s="376">
        <v>87791455.5</v>
      </c>
      <c r="AG241" s="2096">
        <v>147519988.86000001</v>
      </c>
      <c r="AH241" s="2149">
        <v>139900233</v>
      </c>
      <c r="AI241" s="1996">
        <f t="shared" si="200"/>
        <v>0.99928737857142858</v>
      </c>
      <c r="AJ241" s="376">
        <v>82091455</v>
      </c>
      <c r="AK241" s="1642">
        <v>141357288.86000001</v>
      </c>
      <c r="AL241" s="1650">
        <v>137645230</v>
      </c>
      <c r="AM241" s="1030">
        <f t="shared" si="201"/>
        <v>0.98318021428571434</v>
      </c>
      <c r="AN241" s="997">
        <f t="shared" ref="AN241:AN244" si="250">+AH241-AL241</f>
        <v>2255003</v>
      </c>
      <c r="AO241" s="1643">
        <v>5700000.5</v>
      </c>
      <c r="AP241" s="376">
        <v>5400000</v>
      </c>
      <c r="AQ241" s="2011">
        <v>6162700</v>
      </c>
      <c r="AR241" s="2011">
        <v>5287778</v>
      </c>
      <c r="AS241" s="614">
        <f t="shared" si="202"/>
        <v>0.85802943515017771</v>
      </c>
      <c r="AT241" s="250">
        <f>2000000000/4</f>
        <v>500000000</v>
      </c>
      <c r="AU241" s="993">
        <f t="shared" ref="AU241:AU244" si="251">SUM(AJ241:AL241)+AR241+AP241</f>
        <v>371781751.86000001</v>
      </c>
      <c r="AV241" s="1139">
        <f t="shared" si="209"/>
        <v>0.74356350372000002</v>
      </c>
      <c r="AW241" s="1140"/>
      <c r="AX241" s="157"/>
      <c r="AY241" s="152" t="s">
        <v>302</v>
      </c>
      <c r="AZ241" s="2291" t="s">
        <v>922</v>
      </c>
      <c r="BA241" s="93"/>
      <c r="BB241" s="93"/>
    </row>
    <row r="242" spans="1:54" ht="60" customHeight="1">
      <c r="A242" s="353" t="s">
        <v>666</v>
      </c>
      <c r="B242" s="458" t="s">
        <v>839</v>
      </c>
      <c r="C242" s="1611">
        <v>2</v>
      </c>
      <c r="D242" s="409">
        <v>4</v>
      </c>
      <c r="E242" s="409">
        <v>6</v>
      </c>
      <c r="F242" s="307">
        <v>2</v>
      </c>
      <c r="G242" s="147">
        <v>5</v>
      </c>
      <c r="H242" s="147">
        <v>61</v>
      </c>
      <c r="I242" s="147"/>
      <c r="J242" s="147"/>
      <c r="K242" s="147"/>
      <c r="L242" s="180">
        <f t="shared" si="247"/>
        <v>1</v>
      </c>
      <c r="M242" s="1090">
        <f t="shared" si="247"/>
        <v>1</v>
      </c>
      <c r="N242" s="821">
        <f t="shared" si="248"/>
        <v>1</v>
      </c>
      <c r="O242" s="2165" t="s">
        <v>2393</v>
      </c>
      <c r="P242" s="1507"/>
      <c r="Q242" s="2041" t="s">
        <v>2183</v>
      </c>
      <c r="R242" s="1015"/>
      <c r="S242" s="1013" t="s">
        <v>2182</v>
      </c>
      <c r="T242" s="2037" t="s">
        <v>2225</v>
      </c>
      <c r="U242" s="195"/>
      <c r="V242" s="195"/>
      <c r="W242" s="150"/>
      <c r="X242" s="195"/>
      <c r="Y242" s="307">
        <v>18</v>
      </c>
      <c r="Z242" s="242">
        <f t="shared" si="205"/>
        <v>68</v>
      </c>
      <c r="AA242" s="186">
        <f t="shared" si="249"/>
        <v>1</v>
      </c>
      <c r="AB242" s="1397">
        <v>0.25</v>
      </c>
      <c r="AC242" s="476">
        <v>0.25</v>
      </c>
      <c r="AD242" s="476">
        <v>0.25</v>
      </c>
      <c r="AE242" s="621">
        <v>140000000</v>
      </c>
      <c r="AF242" s="376">
        <v>93190909.25</v>
      </c>
      <c r="AG242" s="2096">
        <v>58402045</v>
      </c>
      <c r="AH242" s="2149">
        <v>139900233</v>
      </c>
      <c r="AI242" s="1996">
        <f t="shared" si="200"/>
        <v>0.99928737857142858</v>
      </c>
      <c r="AJ242" s="376">
        <v>64700000</v>
      </c>
      <c r="AK242" s="1642">
        <v>55481190</v>
      </c>
      <c r="AL242" s="1650">
        <v>137520698</v>
      </c>
      <c r="AM242" s="1030">
        <f t="shared" si="201"/>
        <v>0.98229069999999996</v>
      </c>
      <c r="AN242" s="997">
        <f t="shared" si="250"/>
        <v>2379535</v>
      </c>
      <c r="AO242" s="1643">
        <v>28490909.25</v>
      </c>
      <c r="AP242" s="376">
        <v>23490909.25</v>
      </c>
      <c r="AQ242" s="2011">
        <v>21802252</v>
      </c>
      <c r="AR242" s="2011">
        <v>21073149</v>
      </c>
      <c r="AS242" s="614">
        <f t="shared" si="202"/>
        <v>0.96655836287003749</v>
      </c>
      <c r="AT242" s="250">
        <f t="shared" ref="AT242:AT244" si="252">2000000000/4</f>
        <v>500000000</v>
      </c>
      <c r="AU242" s="993">
        <f t="shared" si="251"/>
        <v>302265946.25</v>
      </c>
      <c r="AV242" s="1139">
        <f t="shared" si="209"/>
        <v>0.60453189249999995</v>
      </c>
      <c r="AW242" s="1140"/>
      <c r="AX242" s="157"/>
      <c r="AY242" s="152" t="s">
        <v>302</v>
      </c>
      <c r="AZ242" s="2289"/>
      <c r="BA242" s="93"/>
      <c r="BB242" s="93"/>
    </row>
    <row r="243" spans="1:54" ht="135.75" customHeight="1">
      <c r="A243" s="353" t="s">
        <v>667</v>
      </c>
      <c r="B243" s="458" t="s">
        <v>840</v>
      </c>
      <c r="C243" s="1611">
        <v>1000</v>
      </c>
      <c r="D243" s="409">
        <v>1000</v>
      </c>
      <c r="E243" s="409">
        <v>1000</v>
      </c>
      <c r="F243" s="307">
        <v>1000</v>
      </c>
      <c r="G243" s="859">
        <v>71517</v>
      </c>
      <c r="H243" s="147">
        <v>39446</v>
      </c>
      <c r="I243" s="147"/>
      <c r="J243" s="147"/>
      <c r="K243" s="147"/>
      <c r="L243" s="180">
        <f t="shared" si="247"/>
        <v>1</v>
      </c>
      <c r="M243" s="1090">
        <f t="shared" si="247"/>
        <v>1</v>
      </c>
      <c r="N243" s="821">
        <f t="shared" si="248"/>
        <v>1</v>
      </c>
      <c r="O243" s="2165" t="s">
        <v>2394</v>
      </c>
      <c r="P243" s="1507"/>
      <c r="Q243" s="2041" t="s">
        <v>2183</v>
      </c>
      <c r="R243" s="1015"/>
      <c r="S243" s="1013" t="s">
        <v>2182</v>
      </c>
      <c r="T243" s="2037" t="s">
        <v>2226</v>
      </c>
      <c r="U243" s="195"/>
      <c r="V243" s="195"/>
      <c r="W243" s="150"/>
      <c r="X243" s="195"/>
      <c r="Y243" s="307">
        <v>5000</v>
      </c>
      <c r="Z243" s="242">
        <f t="shared" si="205"/>
        <v>111963</v>
      </c>
      <c r="AA243" s="186">
        <f t="shared" si="249"/>
        <v>1</v>
      </c>
      <c r="AB243" s="1397">
        <v>0.25</v>
      </c>
      <c r="AC243" s="476">
        <v>0.25</v>
      </c>
      <c r="AD243" s="476">
        <v>0.25</v>
      </c>
      <c r="AE243" s="622">
        <v>60000000</v>
      </c>
      <c r="AF243" s="376">
        <v>62300000</v>
      </c>
      <c r="AG243" s="2096">
        <v>147530596.86000001</v>
      </c>
      <c r="AH243" s="2149">
        <v>59970928</v>
      </c>
      <c r="AI243" s="1996">
        <f t="shared" si="200"/>
        <v>0.99951546666666669</v>
      </c>
      <c r="AJ243" s="376">
        <v>55700000</v>
      </c>
      <c r="AK243" s="1642">
        <v>125728344.86</v>
      </c>
      <c r="AL243" s="1650">
        <v>57886466</v>
      </c>
      <c r="AM243" s="1030">
        <f t="shared" si="201"/>
        <v>0.96477443333333335</v>
      </c>
      <c r="AN243" s="997">
        <f t="shared" si="250"/>
        <v>2084462</v>
      </c>
      <c r="AO243" s="1598">
        <v>6600000</v>
      </c>
      <c r="AP243" s="376">
        <v>6600000</v>
      </c>
      <c r="AQ243" s="2011">
        <v>3300029</v>
      </c>
      <c r="AR243" s="2011">
        <v>2831522</v>
      </c>
      <c r="AS243" s="614">
        <f t="shared" si="202"/>
        <v>0.85802942943834737</v>
      </c>
      <c r="AT243" s="250">
        <f t="shared" si="252"/>
        <v>500000000</v>
      </c>
      <c r="AU243" s="993">
        <f t="shared" si="251"/>
        <v>248746332.86000001</v>
      </c>
      <c r="AV243" s="1139">
        <f t="shared" si="209"/>
        <v>0.49749266572</v>
      </c>
      <c r="AW243" s="1140"/>
      <c r="AX243" s="157"/>
      <c r="AY243" s="152" t="s">
        <v>302</v>
      </c>
      <c r="AZ243" s="2290"/>
      <c r="BA243" s="93"/>
      <c r="BB243" s="93"/>
    </row>
    <row r="244" spans="1:54" ht="59.25" customHeight="1" thickBot="1">
      <c r="A244" s="1645" t="s">
        <v>668</v>
      </c>
      <c r="B244" s="1646" t="s">
        <v>841</v>
      </c>
      <c r="C244" s="1647">
        <v>0.1</v>
      </c>
      <c r="D244" s="853">
        <v>0.1</v>
      </c>
      <c r="E244" s="410">
        <v>0.1</v>
      </c>
      <c r="F244" s="1648">
        <v>0.1</v>
      </c>
      <c r="G244" s="208">
        <v>0.1</v>
      </c>
      <c r="H244" s="182">
        <v>0.12</v>
      </c>
      <c r="I244" s="860"/>
      <c r="J244" s="860"/>
      <c r="K244" s="860"/>
      <c r="L244" s="1021">
        <f t="shared" si="247"/>
        <v>1</v>
      </c>
      <c r="M244" s="1090">
        <f t="shared" si="247"/>
        <v>1</v>
      </c>
      <c r="N244" s="821">
        <f t="shared" si="248"/>
        <v>1</v>
      </c>
      <c r="O244" s="2165" t="s">
        <v>2395</v>
      </c>
      <c r="P244" s="1507"/>
      <c r="Q244" s="2041" t="s">
        <v>2183</v>
      </c>
      <c r="R244" s="1015"/>
      <c r="S244" s="1013" t="s">
        <v>2182</v>
      </c>
      <c r="T244" s="2037" t="s">
        <v>2227</v>
      </c>
      <c r="U244" s="195"/>
      <c r="V244" s="195"/>
      <c r="W244" s="1024"/>
      <c r="X244" s="195"/>
      <c r="Y244" s="1648">
        <v>0.4</v>
      </c>
      <c r="Z244" s="1026">
        <f t="shared" si="205"/>
        <v>0.32</v>
      </c>
      <c r="AA244" s="1387">
        <f t="shared" si="249"/>
        <v>0.79999999999999993</v>
      </c>
      <c r="AB244" s="1388">
        <v>0.25</v>
      </c>
      <c r="AC244" s="894">
        <v>0.25</v>
      </c>
      <c r="AD244" s="476">
        <v>0.25</v>
      </c>
      <c r="AE244" s="1649">
        <v>60000000</v>
      </c>
      <c r="AF244" s="1605">
        <v>70200000</v>
      </c>
      <c r="AG244" s="2097">
        <v>59002045</v>
      </c>
      <c r="AH244" s="2149">
        <v>59970928</v>
      </c>
      <c r="AI244" s="1995">
        <f t="shared" si="200"/>
        <v>0.99951546666666669</v>
      </c>
      <c r="AJ244" s="1605">
        <v>66800000</v>
      </c>
      <c r="AK244" s="1650">
        <v>55702016</v>
      </c>
      <c r="AL244" s="1650">
        <v>59088536</v>
      </c>
      <c r="AM244" s="1030">
        <f t="shared" si="201"/>
        <v>0.9848089333333333</v>
      </c>
      <c r="AN244" s="997">
        <f t="shared" si="250"/>
        <v>882392</v>
      </c>
      <c r="AO244" s="1606">
        <v>3400000</v>
      </c>
      <c r="AP244" s="1605">
        <v>3400000</v>
      </c>
      <c r="AQ244" s="2011">
        <v>2920855</v>
      </c>
      <c r="AR244" s="2011">
        <v>2831522</v>
      </c>
      <c r="AS244" s="1053">
        <f t="shared" si="202"/>
        <v>0.96941546225334707</v>
      </c>
      <c r="AT244" s="1054">
        <f t="shared" si="252"/>
        <v>500000000</v>
      </c>
      <c r="AU244" s="993">
        <f t="shared" si="251"/>
        <v>187822074</v>
      </c>
      <c r="AV244" s="1139">
        <f t="shared" si="209"/>
        <v>0.37564414800000001</v>
      </c>
      <c r="AW244" s="1140"/>
      <c r="AX244" s="173"/>
      <c r="AY244" s="189" t="s">
        <v>302</v>
      </c>
      <c r="AZ244" s="1644" t="s">
        <v>890</v>
      </c>
      <c r="BA244" s="1037"/>
      <c r="BB244" s="1037"/>
    </row>
    <row r="245" spans="1:54" ht="54.75" customHeight="1" thickBot="1">
      <c r="A245" s="1065" t="s">
        <v>441</v>
      </c>
      <c r="B245" s="1304"/>
      <c r="C245" s="868"/>
      <c r="D245" s="829"/>
      <c r="E245" s="222"/>
      <c r="F245" s="1305"/>
      <c r="G245" s="868"/>
      <c r="H245" s="129"/>
      <c r="I245" s="868"/>
      <c r="J245" s="868"/>
      <c r="K245" s="868"/>
      <c r="L245" s="1077">
        <f>+(L246*AB246)</f>
        <v>1</v>
      </c>
      <c r="M245" s="1068">
        <f>+(M246*AC246)</f>
        <v>1</v>
      </c>
      <c r="N245" s="1068">
        <f>+(N246*AD246)</f>
        <v>1</v>
      </c>
      <c r="O245" s="948"/>
      <c r="P245" s="1651"/>
      <c r="Q245" s="1309"/>
      <c r="R245" s="1308"/>
      <c r="S245" s="1308"/>
      <c r="T245" s="1652"/>
      <c r="U245" s="1652"/>
      <c r="V245" s="1652"/>
      <c r="W245" s="1310"/>
      <c r="X245" s="1652"/>
      <c r="Y245" s="1653"/>
      <c r="Z245" s="1312">
        <f t="shared" si="205"/>
        <v>0</v>
      </c>
      <c r="AA245" s="1246">
        <f>+(AA246*AB246)</f>
        <v>0.92500000000000004</v>
      </c>
      <c r="AB245" s="1077">
        <v>0.1</v>
      </c>
      <c r="AC245" s="883">
        <v>0.1</v>
      </c>
      <c r="AD245" s="470">
        <v>0.1</v>
      </c>
      <c r="AE245" s="1078">
        <v>212500000</v>
      </c>
      <c r="AF245" s="1078">
        <f>+AF246</f>
        <v>92700000</v>
      </c>
      <c r="AG245" s="1066">
        <f>+AG246</f>
        <v>246500889</v>
      </c>
      <c r="AH245" s="2114">
        <f>+AH246</f>
        <v>211140172</v>
      </c>
      <c r="AI245" s="1986">
        <f t="shared" si="200"/>
        <v>0.99360080941176465</v>
      </c>
      <c r="AJ245" s="1078">
        <f>+AJ246</f>
        <v>71400000</v>
      </c>
      <c r="AK245" s="1078">
        <f>+AK246</f>
        <v>213327183</v>
      </c>
      <c r="AL245" s="1078">
        <f>+AL246</f>
        <v>207806687</v>
      </c>
      <c r="AM245" s="1068">
        <f t="shared" si="201"/>
        <v>0.97791382117647063</v>
      </c>
      <c r="AN245" s="1066">
        <f>+AN246</f>
        <v>3333485</v>
      </c>
      <c r="AO245" s="1069">
        <f>+AO246</f>
        <v>21300000</v>
      </c>
      <c r="AP245" s="1078">
        <f>+AP246</f>
        <v>21300000</v>
      </c>
      <c r="AQ245" s="1078">
        <f>+AQ246</f>
        <v>33173706</v>
      </c>
      <c r="AR245" s="1078">
        <f>+AR246</f>
        <v>21595621</v>
      </c>
      <c r="AS245" s="1314">
        <f t="shared" si="202"/>
        <v>0.650986085184453</v>
      </c>
      <c r="AT245" s="1078">
        <f t="shared" ref="AT245" si="253">+AT246</f>
        <v>1350000000</v>
      </c>
      <c r="AU245" s="1078">
        <f>+AU246</f>
        <v>535429491</v>
      </c>
      <c r="AV245" s="1306">
        <f t="shared" si="209"/>
        <v>0.39661443777777777</v>
      </c>
      <c r="AW245" s="1071"/>
      <c r="AX245" s="1071" t="s">
        <v>301</v>
      </c>
      <c r="AY245" s="1069"/>
      <c r="AZ245" s="1066"/>
      <c r="BA245" s="1315"/>
      <c r="BB245" s="1315"/>
    </row>
    <row r="246" spans="1:54" ht="34.5" customHeight="1" thickBot="1">
      <c r="A246" s="331" t="s">
        <v>495</v>
      </c>
      <c r="B246" s="437"/>
      <c r="C246" s="873"/>
      <c r="D246" s="849"/>
      <c r="E246" s="223"/>
      <c r="F246" s="1572"/>
      <c r="G246" s="873"/>
      <c r="H246" s="139"/>
      <c r="I246" s="873"/>
      <c r="J246" s="873"/>
      <c r="K246" s="873"/>
      <c r="L246" s="294">
        <f>+(L248*100%)</f>
        <v>1</v>
      </c>
      <c r="M246" s="1573">
        <f>+SUMPRODUCT(M247:M249,AC247:AC249)</f>
        <v>1</v>
      </c>
      <c r="N246" s="1573">
        <f>+SUMPRODUCT(N247:N249,AD247:AD249)</f>
        <v>1</v>
      </c>
      <c r="O246" s="965"/>
      <c r="P246" s="1575"/>
      <c r="Q246" s="243"/>
      <c r="R246" s="1576"/>
      <c r="S246" s="1576"/>
      <c r="T246" s="1577"/>
      <c r="U246" s="1577"/>
      <c r="V246" s="1577"/>
      <c r="W246" s="1578"/>
      <c r="X246" s="1577"/>
      <c r="Y246" s="1579"/>
      <c r="Z246" s="261">
        <f t="shared" si="205"/>
        <v>0</v>
      </c>
      <c r="AA246" s="1654">
        <f>+SUMPRODUCT(AA247:AA249,AB247:AB249)</f>
        <v>0.92500000000000004</v>
      </c>
      <c r="AB246" s="1655">
        <v>1</v>
      </c>
      <c r="AC246" s="900">
        <v>1</v>
      </c>
      <c r="AD246" s="471">
        <v>1</v>
      </c>
      <c r="AE246" s="1656">
        <v>212500000</v>
      </c>
      <c r="AF246" s="1656">
        <f>SUM(AF247:AF249)</f>
        <v>92700000</v>
      </c>
      <c r="AG246" s="2098">
        <f>SUM(AG247:AG249)</f>
        <v>246500889</v>
      </c>
      <c r="AH246" s="2118">
        <f>SUM(AH247:AH249)</f>
        <v>211140172</v>
      </c>
      <c r="AI246" s="1994">
        <f t="shared" si="200"/>
        <v>0.99360080941176465</v>
      </c>
      <c r="AJ246" s="1656">
        <f>SUM(AJ247:AJ249)</f>
        <v>71400000</v>
      </c>
      <c r="AK246" s="1656">
        <f>SUM(AK247:AK249)</f>
        <v>213327183</v>
      </c>
      <c r="AL246" s="1979">
        <f>SUM(AL247:AL249)</f>
        <v>207806687</v>
      </c>
      <c r="AM246" s="1658">
        <f t="shared" si="201"/>
        <v>0.97791382117647063</v>
      </c>
      <c r="AN246" s="1659">
        <f>SUM(AN247:AN249)</f>
        <v>3333485</v>
      </c>
      <c r="AO246" s="1660">
        <f>SUM(AO247:AO249)</f>
        <v>21300000</v>
      </c>
      <c r="AP246" s="1656">
        <f>SUM(AP247:AP249)</f>
        <v>21300000</v>
      </c>
      <c r="AQ246" s="1656">
        <f>SUM(AQ247:AQ249)</f>
        <v>33173706</v>
      </c>
      <c r="AR246" s="1656">
        <f>SUM(AR247:AR249)</f>
        <v>21595621</v>
      </c>
      <c r="AS246" s="1661">
        <f t="shared" si="202"/>
        <v>0.650986085184453</v>
      </c>
      <c r="AT246" s="1656">
        <f t="shared" ref="AT246" si="254">SUM(AT247:AT249)</f>
        <v>1350000000</v>
      </c>
      <c r="AU246" s="1656">
        <f>SUM(AU247:AU249)</f>
        <v>535429491</v>
      </c>
      <c r="AV246" s="1662">
        <f t="shared" si="209"/>
        <v>0.39661443777777777</v>
      </c>
      <c r="AW246" s="1663"/>
      <c r="AX246" s="1664"/>
      <c r="AY246" s="1665"/>
      <c r="AZ246" s="1584"/>
      <c r="BA246" s="1590"/>
      <c r="BB246" s="1590"/>
    </row>
    <row r="247" spans="1:54" ht="62.25" customHeight="1">
      <c r="A247" s="352" t="s">
        <v>669</v>
      </c>
      <c r="B247" s="457" t="s">
        <v>842</v>
      </c>
      <c r="C247" s="1953">
        <v>0.1</v>
      </c>
      <c r="D247" s="407">
        <v>1</v>
      </c>
      <c r="E247" s="407">
        <v>1</v>
      </c>
      <c r="F247" s="304">
        <v>0</v>
      </c>
      <c r="G247" s="147">
        <v>1</v>
      </c>
      <c r="H247" s="147">
        <v>1</v>
      </c>
      <c r="I247" s="147"/>
      <c r="J247" s="147"/>
      <c r="K247" s="147"/>
      <c r="L247" s="180">
        <f t="shared" ref="L247:M249" si="255">IF((F247+I247)/C247&gt;=100%,100%,(F247+I247)/C247)</f>
        <v>0</v>
      </c>
      <c r="M247" s="1090">
        <f t="shared" si="255"/>
        <v>1</v>
      </c>
      <c r="N247" s="821">
        <f t="shared" ref="N247:N248" si="256">IF((H247/E247)&gt;=100%,100%,(H247/E247))</f>
        <v>1</v>
      </c>
      <c r="O247" s="2165" t="s">
        <v>2396</v>
      </c>
      <c r="P247" s="1507"/>
      <c r="Q247" s="101"/>
      <c r="R247" s="104"/>
      <c r="S247" s="146"/>
      <c r="T247" s="195"/>
      <c r="U247" s="195"/>
      <c r="V247" s="195"/>
      <c r="W247" s="150"/>
      <c r="X247" s="195"/>
      <c r="Y247" s="1527">
        <v>2</v>
      </c>
      <c r="Z247" s="1008">
        <f t="shared" si="205"/>
        <v>2</v>
      </c>
      <c r="AA247" s="1438">
        <f t="shared" ref="AA247:AA249" si="257">IF(Z247/Y247&gt;=100%,100%,Z247/Y247)</f>
        <v>1</v>
      </c>
      <c r="AB247" s="1597">
        <v>0.4</v>
      </c>
      <c r="AC247" s="502">
        <v>0.4</v>
      </c>
      <c r="AD247" s="2034">
        <v>0.55000000000000004</v>
      </c>
      <c r="AE247" s="1666">
        <v>100000000</v>
      </c>
      <c r="AF247" s="376">
        <v>0</v>
      </c>
      <c r="AG247" s="2099">
        <v>99068176</v>
      </c>
      <c r="AH247" s="2150">
        <v>99948316</v>
      </c>
      <c r="AI247" s="1993">
        <f t="shared" si="200"/>
        <v>0.99948316000000004</v>
      </c>
      <c r="AJ247" s="376">
        <v>0</v>
      </c>
      <c r="AK247" s="1666">
        <v>83226826</v>
      </c>
      <c r="AL247" s="1980">
        <v>98379617</v>
      </c>
      <c r="AM247" s="1134">
        <f t="shared" si="201"/>
        <v>0.98379616999999997</v>
      </c>
      <c r="AN247" s="997">
        <f t="shared" ref="AN247:AN249" si="258">+AH247-AL247</f>
        <v>1568699</v>
      </c>
      <c r="AO247" s="1598">
        <v>0</v>
      </c>
      <c r="AP247" s="376">
        <v>0</v>
      </c>
      <c r="AQ247" s="2011">
        <v>15841350</v>
      </c>
      <c r="AR247" s="2011">
        <v>15364741</v>
      </c>
      <c r="AS247" s="1089">
        <f t="shared" si="202"/>
        <v>0.9699136121605797</v>
      </c>
      <c r="AT247" s="1117">
        <f>1250000000/2</f>
        <v>625000000</v>
      </c>
      <c r="AU247" s="993">
        <f t="shared" ref="AU247:AU249" si="259">SUM(AJ247:AL247)+AR247+AP247</f>
        <v>196971184</v>
      </c>
      <c r="AV247" s="1139">
        <f t="shared" si="209"/>
        <v>0.31515389440000002</v>
      </c>
      <c r="AW247" s="1140"/>
      <c r="AX247" s="1119"/>
      <c r="AY247" s="1012" t="s">
        <v>302</v>
      </c>
      <c r="AZ247" s="1667" t="s">
        <v>890</v>
      </c>
      <c r="BA247" s="93"/>
      <c r="BB247" s="93"/>
    </row>
    <row r="248" spans="1:54" ht="54.75" customHeight="1">
      <c r="A248" s="352" t="s">
        <v>670</v>
      </c>
      <c r="B248" s="457" t="s">
        <v>843</v>
      </c>
      <c r="C248" s="1600">
        <v>1</v>
      </c>
      <c r="D248" s="408">
        <v>1</v>
      </c>
      <c r="E248" s="408">
        <v>1</v>
      </c>
      <c r="F248" s="305">
        <v>1</v>
      </c>
      <c r="G248" s="182">
        <v>1</v>
      </c>
      <c r="H248" s="182">
        <v>1</v>
      </c>
      <c r="I248" s="147"/>
      <c r="J248" s="147"/>
      <c r="K248" s="147"/>
      <c r="L248" s="180">
        <f t="shared" si="255"/>
        <v>1</v>
      </c>
      <c r="M248" s="1090">
        <f t="shared" si="255"/>
        <v>1</v>
      </c>
      <c r="N248" s="821">
        <f t="shared" si="256"/>
        <v>1</v>
      </c>
      <c r="O248" s="2165" t="s">
        <v>2397</v>
      </c>
      <c r="P248" s="1507"/>
      <c r="Q248" s="2041" t="s">
        <v>2183</v>
      </c>
      <c r="R248" s="1015"/>
      <c r="S248" s="1013" t="s">
        <v>2182</v>
      </c>
      <c r="T248" s="2037" t="s">
        <v>2228</v>
      </c>
      <c r="U248" s="195"/>
      <c r="V248" s="195"/>
      <c r="W248" s="150"/>
      <c r="X248" s="195"/>
      <c r="Y248" s="1668">
        <v>4</v>
      </c>
      <c r="Z248" s="1010">
        <f t="shared" si="205"/>
        <v>3</v>
      </c>
      <c r="AA248" s="1438">
        <f t="shared" si="257"/>
        <v>0.75</v>
      </c>
      <c r="AB248" s="1597">
        <v>0.3</v>
      </c>
      <c r="AC248" s="502">
        <v>0.3</v>
      </c>
      <c r="AD248" s="2034">
        <v>0.45</v>
      </c>
      <c r="AE248" s="622">
        <v>112500000</v>
      </c>
      <c r="AF248" s="376">
        <v>92700000</v>
      </c>
      <c r="AG248" s="2099">
        <v>69223482</v>
      </c>
      <c r="AH248" s="2150">
        <v>111191856</v>
      </c>
      <c r="AI248" s="1993">
        <f t="shared" si="200"/>
        <v>0.98837205333333333</v>
      </c>
      <c r="AJ248" s="376">
        <v>71400000</v>
      </c>
      <c r="AK248" s="1666">
        <v>56655687</v>
      </c>
      <c r="AL248" s="1980">
        <v>109427070</v>
      </c>
      <c r="AM248" s="1134">
        <f t="shared" si="201"/>
        <v>0.97268506666666665</v>
      </c>
      <c r="AN248" s="997">
        <f t="shared" si="258"/>
        <v>1764786</v>
      </c>
      <c r="AO248" s="1598">
        <v>21300000</v>
      </c>
      <c r="AP248" s="376">
        <v>21300000</v>
      </c>
      <c r="AQ248" s="2011">
        <v>12567795</v>
      </c>
      <c r="AR248" s="2011">
        <v>2203244</v>
      </c>
      <c r="AS248" s="1089">
        <f t="shared" si="202"/>
        <v>0.17530871564980174</v>
      </c>
      <c r="AT248" s="1117">
        <f>1250000000/2</f>
        <v>625000000</v>
      </c>
      <c r="AU248" s="993">
        <f t="shared" si="259"/>
        <v>260986001</v>
      </c>
      <c r="AV248" s="1139">
        <f t="shared" si="209"/>
        <v>0.41757760160000001</v>
      </c>
      <c r="AW248" s="1140"/>
      <c r="AX248" s="1119"/>
      <c r="AY248" s="1012" t="s">
        <v>302</v>
      </c>
      <c r="AZ248" s="1669" t="s">
        <v>890</v>
      </c>
      <c r="BA248" s="93"/>
      <c r="BB248" s="93"/>
    </row>
    <row r="249" spans="1:54" ht="50.25" customHeight="1" thickBot="1">
      <c r="A249" s="355" t="s">
        <v>671</v>
      </c>
      <c r="B249" s="310" t="s">
        <v>844</v>
      </c>
      <c r="C249" s="1601">
        <v>0</v>
      </c>
      <c r="D249" s="851">
        <v>1</v>
      </c>
      <c r="E249" s="407">
        <v>0</v>
      </c>
      <c r="F249" s="1602">
        <v>0</v>
      </c>
      <c r="G249" s="860">
        <v>0</v>
      </c>
      <c r="H249" s="147">
        <v>0</v>
      </c>
      <c r="I249" s="860"/>
      <c r="J249" s="860">
        <v>1</v>
      </c>
      <c r="K249" s="860"/>
      <c r="L249" s="1021" t="e">
        <f t="shared" si="255"/>
        <v>#DIV/0!</v>
      </c>
      <c r="M249" s="1090">
        <f t="shared" si="255"/>
        <v>1</v>
      </c>
      <c r="N249" s="821" t="s">
        <v>2163</v>
      </c>
      <c r="O249" s="2165"/>
      <c r="P249" s="1507"/>
      <c r="Q249" s="206"/>
      <c r="R249" s="207"/>
      <c r="S249" s="1023"/>
      <c r="T249" s="195"/>
      <c r="U249" s="195"/>
      <c r="V249" s="195"/>
      <c r="W249" s="1024"/>
      <c r="X249" s="195"/>
      <c r="Y249" s="241">
        <v>1</v>
      </c>
      <c r="Z249" s="1026">
        <f t="shared" si="205"/>
        <v>1</v>
      </c>
      <c r="AA249" s="1387">
        <f t="shared" si="257"/>
        <v>1</v>
      </c>
      <c r="AB249" s="1603">
        <v>0.3</v>
      </c>
      <c r="AC249" s="503">
        <v>0.3</v>
      </c>
      <c r="AD249" s="503">
        <v>0</v>
      </c>
      <c r="AE249" s="1604">
        <v>0</v>
      </c>
      <c r="AF249" s="1605">
        <v>0</v>
      </c>
      <c r="AG249" s="2100">
        <v>78209231</v>
      </c>
      <c r="AH249" s="2151">
        <v>0</v>
      </c>
      <c r="AI249" s="1995" t="e">
        <f t="shared" si="200"/>
        <v>#DIV/0!</v>
      </c>
      <c r="AJ249" s="1605">
        <v>0</v>
      </c>
      <c r="AK249" s="1670">
        <v>73444670</v>
      </c>
      <c r="AL249" s="1670">
        <v>0</v>
      </c>
      <c r="AM249" s="1030" t="e">
        <f t="shared" si="201"/>
        <v>#DIV/0!</v>
      </c>
      <c r="AN249" s="997">
        <f t="shared" si="258"/>
        <v>0</v>
      </c>
      <c r="AO249" s="1606">
        <v>0</v>
      </c>
      <c r="AP249" s="1605">
        <v>0</v>
      </c>
      <c r="AQ249" s="2011">
        <v>4764561</v>
      </c>
      <c r="AR249" s="2011">
        <v>4027636</v>
      </c>
      <c r="AS249" s="1053">
        <f t="shared" si="202"/>
        <v>0.84533202534294349</v>
      </c>
      <c r="AT249" s="1034">
        <v>100000000</v>
      </c>
      <c r="AU249" s="993">
        <f t="shared" si="259"/>
        <v>77472306</v>
      </c>
      <c r="AV249" s="1021">
        <f t="shared" si="209"/>
        <v>0.77472306000000002</v>
      </c>
      <c r="AW249" s="173"/>
      <c r="AX249" s="173"/>
      <c r="AY249" s="189" t="s">
        <v>302</v>
      </c>
      <c r="AZ249" s="1671" t="s">
        <v>890</v>
      </c>
      <c r="BA249" s="1037"/>
      <c r="BB249" s="1037"/>
    </row>
    <row r="250" spans="1:54" s="617" customFormat="1" ht="41.25" customHeight="1" thickBot="1">
      <c r="A250" s="1065" t="s">
        <v>442</v>
      </c>
      <c r="B250" s="1066"/>
      <c r="C250" s="862"/>
      <c r="D250" s="835"/>
      <c r="E250" s="222"/>
      <c r="F250" s="1067"/>
      <c r="G250" s="862"/>
      <c r="H250" s="129"/>
      <c r="I250" s="862"/>
      <c r="J250" s="862"/>
      <c r="K250" s="862"/>
      <c r="L250" s="1077">
        <f>+(L251*AB251)+(L257*AB257)</f>
        <v>0.94860000000000011</v>
      </c>
      <c r="M250" s="1068">
        <f>+(M251*AC251)+(M257*AC257)</f>
        <v>0.99999999999999989</v>
      </c>
      <c r="N250" s="1068">
        <f>+(N251*AD251)+(N257*AD257)</f>
        <v>0.93142857142857127</v>
      </c>
      <c r="O250" s="948"/>
      <c r="P250" s="1463"/>
      <c r="Q250" s="1071"/>
      <c r="R250" s="1069"/>
      <c r="S250" s="1069"/>
      <c r="T250" s="1464"/>
      <c r="U250" s="1464"/>
      <c r="V250" s="1464"/>
      <c r="W250" s="1072"/>
      <c r="X250" s="1464"/>
      <c r="Y250" s="1465"/>
      <c r="Z250" s="1075">
        <f t="shared" si="205"/>
        <v>0</v>
      </c>
      <c r="AA250" s="1246">
        <f>+(AA251*AB251)+(AA257*AB257)</f>
        <v>0.73777499999999996</v>
      </c>
      <c r="AB250" s="1077">
        <v>0.1</v>
      </c>
      <c r="AC250" s="883">
        <v>0.1</v>
      </c>
      <c r="AD250" s="470">
        <v>0.1</v>
      </c>
      <c r="AE250" s="1078">
        <v>736500000</v>
      </c>
      <c r="AF250" s="1078">
        <f>+AF251+AF257</f>
        <v>163061300</v>
      </c>
      <c r="AG250" s="1066">
        <f>+AG251+AG257</f>
        <v>636452502</v>
      </c>
      <c r="AH250" s="2114">
        <f>+AH251+AH257</f>
        <v>735078520</v>
      </c>
      <c r="AI250" s="1986">
        <f t="shared" si="200"/>
        <v>0.99806995247793617</v>
      </c>
      <c r="AJ250" s="1078">
        <f>+AJ251+AJ257</f>
        <v>44000000</v>
      </c>
      <c r="AK250" s="1078">
        <f>+AK251+AK257</f>
        <v>489310270</v>
      </c>
      <c r="AL250" s="1078">
        <f>+AL251+AL257</f>
        <v>679719104</v>
      </c>
      <c r="AM250" s="1068">
        <f t="shared" si="201"/>
        <v>0.92290441819416158</v>
      </c>
      <c r="AN250" s="1066">
        <f>+AN251+AN257</f>
        <v>55359416</v>
      </c>
      <c r="AO250" s="1069">
        <f>+AO251+AO257</f>
        <v>119061300</v>
      </c>
      <c r="AP250" s="1078">
        <f>+AP251+AP257</f>
        <v>119061300</v>
      </c>
      <c r="AQ250" s="1078">
        <f>+AQ251+AQ257</f>
        <v>147142232</v>
      </c>
      <c r="AR250" s="1078">
        <f>+AR251+AR257</f>
        <v>130808605</v>
      </c>
      <c r="AS250" s="1080">
        <f t="shared" si="202"/>
        <v>0.88899429634858329</v>
      </c>
      <c r="AT250" s="1078">
        <f t="shared" ref="AT250" si="260">+AT251+AT257</f>
        <v>3646000000</v>
      </c>
      <c r="AU250" s="1078">
        <f>+AU251+AU257</f>
        <v>1462899279</v>
      </c>
      <c r="AV250" s="1077">
        <f t="shared" si="209"/>
        <v>0.40123403154141524</v>
      </c>
      <c r="AW250" s="1071"/>
      <c r="AX250" s="1071" t="s">
        <v>301</v>
      </c>
      <c r="AY250" s="1069"/>
      <c r="AZ250" s="1066"/>
      <c r="BA250" s="1082"/>
      <c r="BB250" s="1082"/>
    </row>
    <row r="251" spans="1:54" ht="41.25" customHeight="1" thickBot="1">
      <c r="A251" s="331" t="s">
        <v>496</v>
      </c>
      <c r="B251" s="437"/>
      <c r="C251" s="873"/>
      <c r="D251" s="849"/>
      <c r="E251" s="223"/>
      <c r="F251" s="1572"/>
      <c r="G251" s="873"/>
      <c r="H251" s="139"/>
      <c r="I251" s="873"/>
      <c r="J251" s="873"/>
      <c r="K251" s="873"/>
      <c r="L251" s="294">
        <f>+(L252*50%)+(L253*50%)</f>
        <v>0.92500000000000004</v>
      </c>
      <c r="M251" s="1573">
        <f>+SUMPRODUCT(M252:M256,AC252:AC256)</f>
        <v>0.99999999999999989</v>
      </c>
      <c r="N251" s="1573">
        <f>+SUMPRODUCT(N252:N256,AD252:AD256)</f>
        <v>0.99999999999999989</v>
      </c>
      <c r="O251" s="965"/>
      <c r="P251" s="1575"/>
      <c r="Q251" s="243"/>
      <c r="R251" s="1576"/>
      <c r="S251" s="1576"/>
      <c r="T251" s="1577"/>
      <c r="U251" s="1577"/>
      <c r="V251" s="1577"/>
      <c r="W251" s="1578"/>
      <c r="X251" s="1577"/>
      <c r="Y251" s="1579"/>
      <c r="Z251" s="261">
        <f t="shared" si="205"/>
        <v>0</v>
      </c>
      <c r="AA251" s="1580">
        <f>+SUMPRODUCT(AA252:AA256,AB252:AB256)</f>
        <v>0.83229166666666665</v>
      </c>
      <c r="AB251" s="294">
        <v>0.6</v>
      </c>
      <c r="AC251" s="899">
        <v>0.6</v>
      </c>
      <c r="AD251" s="471">
        <v>0.6</v>
      </c>
      <c r="AE251" s="1581">
        <v>504000000</v>
      </c>
      <c r="AF251" s="1581">
        <f>SUM(AF252:AF256)</f>
        <v>105061300</v>
      </c>
      <c r="AG251" s="437">
        <f>SUM(AG252:AG256)</f>
        <v>414875620</v>
      </c>
      <c r="AH251" s="2115">
        <f>SUM(AH252:AH256)</f>
        <v>502698578</v>
      </c>
      <c r="AI251" s="1992">
        <f t="shared" si="200"/>
        <v>0.99741781349206349</v>
      </c>
      <c r="AJ251" s="1581">
        <f>SUM(AJ252:AJ256)</f>
        <v>0</v>
      </c>
      <c r="AK251" s="1581">
        <f>SUM(AK252:AK256)</f>
        <v>340159917</v>
      </c>
      <c r="AL251" s="1976">
        <f>SUM(AL252:AL256)</f>
        <v>451596433</v>
      </c>
      <c r="AM251" s="1595">
        <f t="shared" si="201"/>
        <v>0.89602466865079367</v>
      </c>
      <c r="AN251" s="1584">
        <f>SUM(AN252:AN256)</f>
        <v>51102145</v>
      </c>
      <c r="AO251" s="1576">
        <f>SUM(AO252:AO256)</f>
        <v>105061300</v>
      </c>
      <c r="AP251" s="1581">
        <f>SUM(AP252:AP256)</f>
        <v>105061300</v>
      </c>
      <c r="AQ251" s="1581">
        <f>SUM(AQ252:AQ256)</f>
        <v>74715703</v>
      </c>
      <c r="AR251" s="1581">
        <f>SUM(AR252:AR256)</f>
        <v>70079100</v>
      </c>
      <c r="AS251" s="613">
        <f t="shared" si="202"/>
        <v>0.93794339323823261</v>
      </c>
      <c r="AT251" s="1581">
        <f t="shared" ref="AT251" si="261">SUM(AT252:AT256)</f>
        <v>2096000000</v>
      </c>
      <c r="AU251" s="1581">
        <f>SUM(AU252:AU256)</f>
        <v>966896750</v>
      </c>
      <c r="AV251" s="1586">
        <f t="shared" si="209"/>
        <v>0.46130570133587784</v>
      </c>
      <c r="AW251" s="1587"/>
      <c r="AX251" s="1588"/>
      <c r="AY251" s="1589"/>
      <c r="AZ251" s="1584"/>
      <c r="BA251" s="1590"/>
      <c r="BB251" s="1590"/>
    </row>
    <row r="252" spans="1:54" ht="63.75" customHeight="1">
      <c r="A252" s="356" t="s">
        <v>672</v>
      </c>
      <c r="B252" s="460" t="s">
        <v>845</v>
      </c>
      <c r="C252" s="1672">
        <v>1</v>
      </c>
      <c r="D252" s="410">
        <v>1</v>
      </c>
      <c r="E252" s="410">
        <v>1</v>
      </c>
      <c r="F252" s="1673">
        <v>0.7</v>
      </c>
      <c r="G252" s="872">
        <v>1</v>
      </c>
      <c r="H252" s="182">
        <v>1</v>
      </c>
      <c r="I252" s="872">
        <v>0.15</v>
      </c>
      <c r="J252" s="872"/>
      <c r="K252" s="872"/>
      <c r="L252" s="1010">
        <f t="shared" ref="L252:M256" si="262">IF((F252+I252)/C252&gt;=100%,100%,(F252+I252)/C252)</f>
        <v>0.85</v>
      </c>
      <c r="M252" s="1090">
        <f t="shared" si="262"/>
        <v>1</v>
      </c>
      <c r="N252" s="821">
        <f t="shared" ref="N252:N259" si="263">IF((H252/E252)&gt;=100%,100%,(H252/E252))</f>
        <v>1</v>
      </c>
      <c r="O252" s="2165" t="s">
        <v>2398</v>
      </c>
      <c r="P252" s="1525"/>
      <c r="Q252" s="2041" t="s">
        <v>2183</v>
      </c>
      <c r="R252" s="1015"/>
      <c r="S252" s="1013" t="s">
        <v>2182</v>
      </c>
      <c r="T252" s="2038" t="s">
        <v>2229</v>
      </c>
      <c r="U252" s="1526"/>
      <c r="V252" s="1526"/>
      <c r="W252" s="1017"/>
      <c r="X252" s="1526"/>
      <c r="Y252" s="1674">
        <v>4</v>
      </c>
      <c r="Z252" s="1010">
        <f t="shared" si="205"/>
        <v>2.85</v>
      </c>
      <c r="AA252" s="1438">
        <f t="shared" ref="AA252:AA256" si="264">IF(Z252/Y252&gt;=100%,100%,Z252/Y252)</f>
        <v>0.71250000000000002</v>
      </c>
      <c r="AB252" s="480">
        <v>0.25</v>
      </c>
      <c r="AC252" s="480">
        <v>0.25</v>
      </c>
      <c r="AD252" s="472">
        <v>0.25</v>
      </c>
      <c r="AE252" s="624">
        <v>154000000</v>
      </c>
      <c r="AF252" s="378">
        <v>105061300</v>
      </c>
      <c r="AG252" s="2095">
        <v>98248570</v>
      </c>
      <c r="AH252" s="2148">
        <v>152980472</v>
      </c>
      <c r="AI252" s="1993">
        <f t="shared" si="200"/>
        <v>0.99337968831168832</v>
      </c>
      <c r="AJ252" s="378">
        <v>0</v>
      </c>
      <c r="AK252" s="624">
        <v>62456946</v>
      </c>
      <c r="AL252" s="1978">
        <v>111305141</v>
      </c>
      <c r="AM252" s="1134">
        <f t="shared" si="201"/>
        <v>0.72276065584415583</v>
      </c>
      <c r="AN252" s="997">
        <f t="shared" ref="AN252:AN256" si="265">+AH252-AL252</f>
        <v>41675331</v>
      </c>
      <c r="AO252" s="1632">
        <v>105061300</v>
      </c>
      <c r="AP252" s="378">
        <v>105061300</v>
      </c>
      <c r="AQ252" s="1972">
        <v>35791624</v>
      </c>
      <c r="AR252" s="1972">
        <v>34895802</v>
      </c>
      <c r="AS252" s="1089">
        <f t="shared" si="202"/>
        <v>0.97497118320196929</v>
      </c>
      <c r="AT252" s="1118">
        <f>1896000000/4</f>
        <v>474000000</v>
      </c>
      <c r="AU252" s="993">
        <f t="shared" ref="AU252:AU256" si="266">SUM(AJ252:AL252)+AR252+AP252</f>
        <v>313719189</v>
      </c>
      <c r="AV252" s="1139">
        <f t="shared" si="209"/>
        <v>0.66185482911392401</v>
      </c>
      <c r="AW252" s="173"/>
      <c r="AX252" s="157"/>
      <c r="AY252" s="152" t="s">
        <v>302</v>
      </c>
      <c r="AZ252" s="1613" t="s">
        <v>890</v>
      </c>
      <c r="BA252" s="93"/>
      <c r="BB252" s="93"/>
    </row>
    <row r="253" spans="1:54" ht="39.75" customHeight="1">
      <c r="A253" s="353" t="s">
        <v>673</v>
      </c>
      <c r="B253" s="458" t="s">
        <v>846</v>
      </c>
      <c r="C253" s="1672">
        <v>1</v>
      </c>
      <c r="D253" s="410">
        <v>1</v>
      </c>
      <c r="E253" s="410">
        <v>1</v>
      </c>
      <c r="F253" s="309">
        <v>1</v>
      </c>
      <c r="G253" s="872">
        <v>1</v>
      </c>
      <c r="H253" s="182">
        <v>1</v>
      </c>
      <c r="I253" s="859"/>
      <c r="J253" s="859"/>
      <c r="K253" s="859"/>
      <c r="L253" s="1010">
        <f t="shared" si="262"/>
        <v>1</v>
      </c>
      <c r="M253" s="1090">
        <f t="shared" si="262"/>
        <v>1</v>
      </c>
      <c r="N253" s="821">
        <f t="shared" si="263"/>
        <v>1</v>
      </c>
      <c r="O253" s="2165" t="s">
        <v>2399</v>
      </c>
      <c r="P253" s="1525"/>
      <c r="Q253" s="2041" t="s">
        <v>2183</v>
      </c>
      <c r="R253" s="1015"/>
      <c r="S253" s="1013" t="s">
        <v>2182</v>
      </c>
      <c r="T253" s="2037" t="s">
        <v>2230</v>
      </c>
      <c r="U253" s="1526"/>
      <c r="V253" s="1526"/>
      <c r="W253" s="1017"/>
      <c r="X253" s="1526"/>
      <c r="Y253" s="309">
        <v>4</v>
      </c>
      <c r="Z253" s="1010">
        <f t="shared" si="205"/>
        <v>3</v>
      </c>
      <c r="AA253" s="1438">
        <f t="shared" si="264"/>
        <v>0.75</v>
      </c>
      <c r="AB253" s="479">
        <v>0.25</v>
      </c>
      <c r="AC253" s="479">
        <v>0.25</v>
      </c>
      <c r="AD253" s="472">
        <v>0.25</v>
      </c>
      <c r="AE253" s="624">
        <v>100000000</v>
      </c>
      <c r="AF253" s="378">
        <v>0</v>
      </c>
      <c r="AG253" s="2095">
        <v>32857008</v>
      </c>
      <c r="AH253" s="2148">
        <v>99948316</v>
      </c>
      <c r="AI253" s="1993">
        <f t="shared" si="200"/>
        <v>0.99948316000000004</v>
      </c>
      <c r="AJ253" s="378">
        <v>0</v>
      </c>
      <c r="AK253" s="624">
        <v>11887325</v>
      </c>
      <c r="AL253" s="1978">
        <v>98457207</v>
      </c>
      <c r="AM253" s="1139">
        <f t="shared" si="201"/>
        <v>0.98457207000000002</v>
      </c>
      <c r="AN253" s="997">
        <f t="shared" si="265"/>
        <v>1491109</v>
      </c>
      <c r="AO253" s="1632">
        <v>0</v>
      </c>
      <c r="AP253" s="378">
        <v>0</v>
      </c>
      <c r="AQ253" s="1972">
        <v>20969683</v>
      </c>
      <c r="AR253" s="1972">
        <v>20006213</v>
      </c>
      <c r="AS253" s="1089">
        <f t="shared" si="202"/>
        <v>0.95405414569214042</v>
      </c>
      <c r="AT253" s="1118">
        <f t="shared" ref="AT253:AT255" si="267">1896000000/4</f>
        <v>474000000</v>
      </c>
      <c r="AU253" s="993">
        <f t="shared" si="266"/>
        <v>130350745</v>
      </c>
      <c r="AV253" s="1139">
        <f t="shared" si="209"/>
        <v>0.27500157172995782</v>
      </c>
      <c r="AW253" s="173"/>
      <c r="AX253" s="157"/>
      <c r="AY253" s="152" t="s">
        <v>302</v>
      </c>
      <c r="AZ253" s="1613" t="s">
        <v>890</v>
      </c>
      <c r="BA253" s="93"/>
      <c r="BB253" s="93"/>
    </row>
    <row r="254" spans="1:54" ht="56.25" customHeight="1">
      <c r="A254" s="353" t="s">
        <v>674</v>
      </c>
      <c r="B254" s="458" t="s">
        <v>847</v>
      </c>
      <c r="C254" s="1611">
        <v>0</v>
      </c>
      <c r="D254" s="409">
        <v>0.1</v>
      </c>
      <c r="E254" s="409">
        <v>1</v>
      </c>
      <c r="F254" s="1009">
        <v>0</v>
      </c>
      <c r="G254" s="409">
        <v>0.1</v>
      </c>
      <c r="H254" s="147">
        <v>1</v>
      </c>
      <c r="I254" s="859"/>
      <c r="J254" s="859">
        <v>0.1</v>
      </c>
      <c r="K254" s="859"/>
      <c r="L254" s="1010" t="e">
        <f t="shared" si="262"/>
        <v>#DIV/0!</v>
      </c>
      <c r="M254" s="1090">
        <f t="shared" si="262"/>
        <v>1</v>
      </c>
      <c r="N254" s="821">
        <f t="shared" si="263"/>
        <v>1</v>
      </c>
      <c r="O254" s="2165" t="s">
        <v>2400</v>
      </c>
      <c r="P254" s="1525"/>
      <c r="Q254" s="2041" t="s">
        <v>2183</v>
      </c>
      <c r="R254" s="1015"/>
      <c r="S254" s="1013" t="s">
        <v>2182</v>
      </c>
      <c r="T254" s="2037" t="s">
        <v>2231</v>
      </c>
      <c r="U254" s="1526"/>
      <c r="V254" s="1526"/>
      <c r="W254" s="1017"/>
      <c r="X254" s="1526"/>
      <c r="Y254" s="2051">
        <v>1.2</v>
      </c>
      <c r="Z254" s="2051">
        <f t="shared" si="205"/>
        <v>1.2000000000000002</v>
      </c>
      <c r="AA254" s="1438">
        <f t="shared" si="264"/>
        <v>1</v>
      </c>
      <c r="AB254" s="479">
        <v>0.2</v>
      </c>
      <c r="AC254" s="479">
        <v>0.2</v>
      </c>
      <c r="AD254" s="472">
        <v>0.2</v>
      </c>
      <c r="AE254" s="1675">
        <v>100000000</v>
      </c>
      <c r="AF254" s="378">
        <v>0</v>
      </c>
      <c r="AG254" s="2095">
        <v>98116308</v>
      </c>
      <c r="AH254" s="2148">
        <v>99897816</v>
      </c>
      <c r="AI254" s="1993">
        <f t="shared" si="200"/>
        <v>0.99897815999999995</v>
      </c>
      <c r="AJ254" s="378">
        <v>0</v>
      </c>
      <c r="AK254" s="624">
        <v>91887325</v>
      </c>
      <c r="AL254" s="1978">
        <v>98024897</v>
      </c>
      <c r="AM254" s="1134">
        <f t="shared" si="201"/>
        <v>0.98024897</v>
      </c>
      <c r="AN254" s="997">
        <f t="shared" si="265"/>
        <v>1872919</v>
      </c>
      <c r="AO254" s="1632">
        <v>0</v>
      </c>
      <c r="AP254" s="378">
        <v>0</v>
      </c>
      <c r="AQ254" s="1972">
        <v>6228983</v>
      </c>
      <c r="AR254" s="1972">
        <v>5265507</v>
      </c>
      <c r="AS254" s="1089">
        <f t="shared" si="202"/>
        <v>0.84532370693578707</v>
      </c>
      <c r="AT254" s="1118">
        <f t="shared" si="267"/>
        <v>474000000</v>
      </c>
      <c r="AU254" s="993">
        <f t="shared" si="266"/>
        <v>195177729</v>
      </c>
      <c r="AV254" s="1139">
        <f t="shared" si="209"/>
        <v>0.41176736075949366</v>
      </c>
      <c r="AW254" s="173"/>
      <c r="AX254" s="157"/>
      <c r="AY254" s="152" t="s">
        <v>302</v>
      </c>
      <c r="AZ254" s="2292" t="s">
        <v>890</v>
      </c>
      <c r="BA254" s="93"/>
      <c r="BB254" s="93"/>
    </row>
    <row r="255" spans="1:54" ht="65.25" customHeight="1">
      <c r="A255" s="353" t="s">
        <v>675</v>
      </c>
      <c r="B255" s="458" t="s">
        <v>847</v>
      </c>
      <c r="C255" s="1611">
        <v>0</v>
      </c>
      <c r="D255" s="409">
        <v>0.1</v>
      </c>
      <c r="E255" s="409">
        <v>1</v>
      </c>
      <c r="F255" s="1009">
        <v>0</v>
      </c>
      <c r="G255" s="409">
        <v>0.1</v>
      </c>
      <c r="H255" s="678">
        <v>1</v>
      </c>
      <c r="I255" s="859"/>
      <c r="J255" s="859">
        <v>0.1</v>
      </c>
      <c r="K255" s="859"/>
      <c r="L255" s="1010" t="e">
        <f t="shared" si="262"/>
        <v>#DIV/0!</v>
      </c>
      <c r="M255" s="1090">
        <f t="shared" si="262"/>
        <v>1</v>
      </c>
      <c r="N255" s="821">
        <f t="shared" si="263"/>
        <v>1</v>
      </c>
      <c r="O255" s="2165" t="s">
        <v>2401</v>
      </c>
      <c r="P255" s="1525"/>
      <c r="Q255" s="2041" t="s">
        <v>2183</v>
      </c>
      <c r="R255" s="1015"/>
      <c r="S255" s="1013" t="s">
        <v>2182</v>
      </c>
      <c r="T255" s="2037" t="s">
        <v>2232</v>
      </c>
      <c r="U255" s="1526"/>
      <c r="V255" s="1526"/>
      <c r="W255" s="1017"/>
      <c r="X255" s="1526"/>
      <c r="Y255" s="2051">
        <v>1.2</v>
      </c>
      <c r="Z255" s="2051">
        <f t="shared" si="205"/>
        <v>1.2000000000000002</v>
      </c>
      <c r="AA255" s="1438">
        <f t="shared" si="264"/>
        <v>1</v>
      </c>
      <c r="AB255" s="479">
        <v>0.2</v>
      </c>
      <c r="AC255" s="479">
        <v>0.2</v>
      </c>
      <c r="AD255" s="472">
        <v>0.2</v>
      </c>
      <c r="AE255" s="1675">
        <v>100000000</v>
      </c>
      <c r="AF255" s="378">
        <v>0</v>
      </c>
      <c r="AG255" s="2095">
        <v>98116308</v>
      </c>
      <c r="AH255" s="2148">
        <v>99897816</v>
      </c>
      <c r="AI255" s="1993">
        <f t="shared" si="200"/>
        <v>0.99897815999999995</v>
      </c>
      <c r="AJ255" s="378">
        <v>0</v>
      </c>
      <c r="AK255" s="624">
        <v>91887325</v>
      </c>
      <c r="AL255" s="1978">
        <v>95887886</v>
      </c>
      <c r="AM255" s="1134">
        <f t="shared" si="201"/>
        <v>0.95887886</v>
      </c>
      <c r="AN255" s="997">
        <f t="shared" si="265"/>
        <v>4009930</v>
      </c>
      <c r="AO255" s="1632">
        <v>0</v>
      </c>
      <c r="AP255" s="378">
        <v>0</v>
      </c>
      <c r="AQ255" s="1972">
        <v>6228983</v>
      </c>
      <c r="AR255" s="1972">
        <v>5265513</v>
      </c>
      <c r="AS255" s="1089">
        <f t="shared" si="202"/>
        <v>0.84532467017489055</v>
      </c>
      <c r="AT255" s="1118">
        <f t="shared" si="267"/>
        <v>474000000</v>
      </c>
      <c r="AU255" s="993">
        <f t="shared" si="266"/>
        <v>193040724</v>
      </c>
      <c r="AV255" s="1139">
        <f t="shared" si="209"/>
        <v>0.40725891139240505</v>
      </c>
      <c r="AW255" s="173"/>
      <c r="AX255" s="157"/>
      <c r="AY255" s="152" t="s">
        <v>302</v>
      </c>
      <c r="AZ255" s="2290"/>
      <c r="BA255" s="93"/>
      <c r="BB255" s="93"/>
    </row>
    <row r="256" spans="1:54" ht="52.5" customHeight="1" thickBot="1">
      <c r="A256" s="353" t="s">
        <v>676</v>
      </c>
      <c r="B256" s="458" t="s">
        <v>848</v>
      </c>
      <c r="C256" s="1611">
        <v>0</v>
      </c>
      <c r="D256" s="409">
        <v>1</v>
      </c>
      <c r="E256" s="409">
        <v>1</v>
      </c>
      <c r="F256" s="1009">
        <v>0</v>
      </c>
      <c r="G256" s="859">
        <v>0</v>
      </c>
      <c r="H256" s="678">
        <v>1</v>
      </c>
      <c r="I256" s="859"/>
      <c r="J256" s="859">
        <v>1</v>
      </c>
      <c r="K256" s="859"/>
      <c r="L256" s="1010" t="e">
        <f t="shared" si="262"/>
        <v>#DIV/0!</v>
      </c>
      <c r="M256" s="1090">
        <f t="shared" si="262"/>
        <v>1</v>
      </c>
      <c r="N256" s="821">
        <f t="shared" si="263"/>
        <v>1</v>
      </c>
      <c r="O256" s="2165" t="s">
        <v>2402</v>
      </c>
      <c r="P256" s="1525"/>
      <c r="Q256" s="2041" t="s">
        <v>2183</v>
      </c>
      <c r="R256" s="1015"/>
      <c r="S256" s="1013" t="s">
        <v>2182</v>
      </c>
      <c r="T256" s="2038" t="s">
        <v>2233</v>
      </c>
      <c r="U256" s="1526"/>
      <c r="V256" s="1526"/>
      <c r="W256" s="1017"/>
      <c r="X256" s="1526"/>
      <c r="Y256" s="307">
        <v>3</v>
      </c>
      <c r="Z256" s="307">
        <f t="shared" si="205"/>
        <v>2</v>
      </c>
      <c r="AA256" s="1438">
        <f t="shared" si="264"/>
        <v>0.66666666666666663</v>
      </c>
      <c r="AB256" s="479">
        <v>0.1</v>
      </c>
      <c r="AC256" s="881">
        <v>0.1</v>
      </c>
      <c r="AD256" s="472">
        <v>0.1</v>
      </c>
      <c r="AE256" s="1676">
        <v>50000000</v>
      </c>
      <c r="AF256" s="378">
        <v>0</v>
      </c>
      <c r="AG256" s="2095">
        <v>87537426</v>
      </c>
      <c r="AH256" s="2148">
        <v>49974158</v>
      </c>
      <c r="AI256" s="1993">
        <f t="shared" si="200"/>
        <v>0.99948316000000004</v>
      </c>
      <c r="AJ256" s="378">
        <v>0</v>
      </c>
      <c r="AK256" s="624">
        <v>82040996</v>
      </c>
      <c r="AL256" s="1978">
        <v>47921302</v>
      </c>
      <c r="AM256" s="1134">
        <f t="shared" si="201"/>
        <v>0.95842603999999998</v>
      </c>
      <c r="AN256" s="997">
        <f t="shared" si="265"/>
        <v>2052856</v>
      </c>
      <c r="AO256" s="1632">
        <v>0</v>
      </c>
      <c r="AP256" s="378">
        <v>0</v>
      </c>
      <c r="AQ256" s="1972">
        <v>5496430</v>
      </c>
      <c r="AR256" s="1972">
        <v>4646065</v>
      </c>
      <c r="AS256" s="1089">
        <f t="shared" si="202"/>
        <v>0.84528775950935431</v>
      </c>
      <c r="AT256" s="1118">
        <v>200000000</v>
      </c>
      <c r="AU256" s="993">
        <f t="shared" si="266"/>
        <v>134608363</v>
      </c>
      <c r="AV256" s="1139">
        <f t="shared" si="209"/>
        <v>0.67304181500000004</v>
      </c>
      <c r="AW256" s="173"/>
      <c r="AX256" s="157"/>
      <c r="AY256" s="152" t="s">
        <v>302</v>
      </c>
      <c r="AZ256" s="1613" t="s">
        <v>890</v>
      </c>
      <c r="BA256" s="93"/>
      <c r="BB256" s="93"/>
    </row>
    <row r="257" spans="1:54" ht="50.25" customHeight="1" thickBot="1">
      <c r="A257" s="315" t="s">
        <v>497</v>
      </c>
      <c r="B257" s="138"/>
      <c r="C257" s="139"/>
      <c r="D257" s="223"/>
      <c r="E257" s="223"/>
      <c r="F257" s="212"/>
      <c r="G257" s="139"/>
      <c r="H257" s="139"/>
      <c r="I257" s="139"/>
      <c r="J257" s="139"/>
      <c r="K257" s="139"/>
      <c r="L257" s="140">
        <f>+SUMPRODUCT(L258:L259,AB258:AB259)</f>
        <v>0.98399999999999999</v>
      </c>
      <c r="M257" s="161">
        <f>+SUMPRODUCT(M258:M259,AC258:AC259)</f>
        <v>1</v>
      </c>
      <c r="N257" s="161">
        <f>+SUMPRODUCT(N258:N259,AD258:AD259)</f>
        <v>0.82857142857142851</v>
      </c>
      <c r="O257" s="965"/>
      <c r="P257" s="1619"/>
      <c r="Q257" s="141"/>
      <c r="R257" s="142"/>
      <c r="S257" s="142"/>
      <c r="T257" s="194"/>
      <c r="U257" s="194"/>
      <c r="V257" s="194"/>
      <c r="W257" s="163"/>
      <c r="X257" s="194"/>
      <c r="Y257" s="303"/>
      <c r="Z257" s="261">
        <f t="shared" si="205"/>
        <v>0</v>
      </c>
      <c r="AA257" s="177">
        <f>+SUMPRODUCT(AA258:AA259,AB258:AB259)</f>
        <v>0.59599999999999997</v>
      </c>
      <c r="AB257" s="140">
        <v>0.4</v>
      </c>
      <c r="AC257" s="471">
        <v>0.4</v>
      </c>
      <c r="AD257" s="471">
        <v>0.4</v>
      </c>
      <c r="AE257" s="1453">
        <v>232500000</v>
      </c>
      <c r="AF257" s="1453">
        <f>SUM(AF258:AF259)</f>
        <v>58000000</v>
      </c>
      <c r="AG257" s="138">
        <f>SUM(AG258:AG259)</f>
        <v>221576882</v>
      </c>
      <c r="AH257" s="2115">
        <f>SUM(AH258:AH259)</f>
        <v>232379942</v>
      </c>
      <c r="AI257" s="1990">
        <f t="shared" si="200"/>
        <v>0.9994836215053764</v>
      </c>
      <c r="AJ257" s="1453">
        <f>SUM(AJ258:AJ259)</f>
        <v>44000000</v>
      </c>
      <c r="AK257" s="1453">
        <f>SUM(AK258:AK259)</f>
        <v>149150353</v>
      </c>
      <c r="AL257" s="1975">
        <f>SUM(AL258:AL259)</f>
        <v>228122671</v>
      </c>
      <c r="AM257" s="1454">
        <f t="shared" si="201"/>
        <v>0.9811727784946237</v>
      </c>
      <c r="AN257" s="145">
        <f>SUM(AN258:AN259)</f>
        <v>4257271</v>
      </c>
      <c r="AO257" s="142">
        <f>SUM(AO258:AO259)</f>
        <v>14000000</v>
      </c>
      <c r="AP257" s="1453">
        <f>SUM(AP258:AP259)</f>
        <v>14000000</v>
      </c>
      <c r="AQ257" s="1581">
        <f>SUM(AQ258:AQ259)</f>
        <v>72426529</v>
      </c>
      <c r="AR257" s="1581">
        <f>SUM(AR258:AR259)</f>
        <v>60729505</v>
      </c>
      <c r="AS257" s="613">
        <f t="shared" si="202"/>
        <v>0.83849807299201096</v>
      </c>
      <c r="AT257" s="1453">
        <f t="shared" ref="AT257" si="268">SUM(AT258:AT259)</f>
        <v>1550000000</v>
      </c>
      <c r="AU257" s="1453">
        <f>SUM(AU258:AU259)</f>
        <v>496002529</v>
      </c>
      <c r="AV257" s="1455">
        <f t="shared" si="209"/>
        <v>0.32000163161290324</v>
      </c>
      <c r="AW257" s="179"/>
      <c r="AX257" s="165"/>
      <c r="AY257" s="553"/>
      <c r="AZ257" s="145"/>
      <c r="BA257" s="98"/>
      <c r="BB257" s="98"/>
    </row>
    <row r="258" spans="1:54" ht="65.25" customHeight="1">
      <c r="A258" s="354" t="s">
        <v>677</v>
      </c>
      <c r="B258" s="461" t="s">
        <v>849</v>
      </c>
      <c r="C258" s="1677">
        <v>0.2</v>
      </c>
      <c r="D258" s="411">
        <v>0.5</v>
      </c>
      <c r="E258" s="411">
        <v>0.7</v>
      </c>
      <c r="F258" s="311">
        <v>0.2</v>
      </c>
      <c r="G258" s="872">
        <v>0.5</v>
      </c>
      <c r="H258" s="182">
        <v>0.5</v>
      </c>
      <c r="I258" s="859"/>
      <c r="J258" s="859"/>
      <c r="K258" s="859"/>
      <c r="L258" s="1010">
        <f>IF((F258+I258)/C258&gt;=100%,100%,(F258+I258)/C258)</f>
        <v>1</v>
      </c>
      <c r="M258" s="1090">
        <f>IF((G258+J258)/D258&gt;=100%,100%,(G258+J258)/D258)</f>
        <v>1</v>
      </c>
      <c r="N258" s="821">
        <f t="shared" si="263"/>
        <v>0.7142857142857143</v>
      </c>
      <c r="O258" s="2165" t="s">
        <v>2403</v>
      </c>
      <c r="P258" s="1525"/>
      <c r="Q258" s="1014"/>
      <c r="R258" s="1015"/>
      <c r="S258" s="1013"/>
      <c r="T258" s="1526"/>
      <c r="U258" s="1526"/>
      <c r="V258" s="1526"/>
      <c r="W258" s="1017"/>
      <c r="X258" s="1526"/>
      <c r="Y258" s="309">
        <v>2.4</v>
      </c>
      <c r="Z258" s="1010">
        <f t="shared" si="205"/>
        <v>1.2</v>
      </c>
      <c r="AA258" s="1438">
        <f t="shared" ref="AA258:AA259" si="269">IF(Z258/Y258&gt;=100%,100%,Z258/Y258)</f>
        <v>0.5</v>
      </c>
      <c r="AB258" s="1636">
        <v>0.6</v>
      </c>
      <c r="AC258" s="901">
        <v>0.6</v>
      </c>
      <c r="AD258" s="476">
        <v>0.6</v>
      </c>
      <c r="AE258" s="1675">
        <v>130000000</v>
      </c>
      <c r="AF258" s="378">
        <v>12000000</v>
      </c>
      <c r="AG258" s="2101">
        <v>127819314</v>
      </c>
      <c r="AH258" s="2152">
        <v>129932703</v>
      </c>
      <c r="AI258" s="1993">
        <f t="shared" si="200"/>
        <v>0.99948233076923076</v>
      </c>
      <c r="AJ258" s="378">
        <v>12000000</v>
      </c>
      <c r="AK258" s="1675">
        <v>61201252</v>
      </c>
      <c r="AL258" s="1682">
        <v>127377913</v>
      </c>
      <c r="AM258" s="1139">
        <f t="shared" si="201"/>
        <v>0.97983010000000004</v>
      </c>
      <c r="AN258" s="997">
        <f t="shared" ref="AN258:AN259" si="270">+AH258-AL258</f>
        <v>2554790</v>
      </c>
      <c r="AO258" s="1632">
        <v>0</v>
      </c>
      <c r="AP258" s="378">
        <v>0</v>
      </c>
      <c r="AQ258" s="1972">
        <v>66618062</v>
      </c>
      <c r="AR258" s="1972">
        <v>55504320</v>
      </c>
      <c r="AS258" s="1089">
        <f t="shared" si="202"/>
        <v>0.83317224088566255</v>
      </c>
      <c r="AT258" s="1118">
        <v>1100000000</v>
      </c>
      <c r="AU258" s="993">
        <f t="shared" ref="AU258:AU259" si="271">SUM(AJ258:AL258)+AR258+AP258</f>
        <v>256083485</v>
      </c>
      <c r="AV258" s="1139">
        <f t="shared" si="209"/>
        <v>0.23280316818181818</v>
      </c>
      <c r="AW258" s="1140"/>
      <c r="AX258" s="1119"/>
      <c r="AY258" s="152" t="s">
        <v>302</v>
      </c>
      <c r="AZ258" s="1678" t="s">
        <v>890</v>
      </c>
      <c r="BA258" s="93"/>
      <c r="BB258" s="93"/>
    </row>
    <row r="259" spans="1:54" ht="72" customHeight="1" thickBot="1">
      <c r="A259" s="1620" t="s">
        <v>678</v>
      </c>
      <c r="B259" s="1679" t="s">
        <v>29</v>
      </c>
      <c r="C259" s="1680">
        <v>1</v>
      </c>
      <c r="D259" s="854">
        <v>1</v>
      </c>
      <c r="E259" s="411">
        <v>1</v>
      </c>
      <c r="F259" s="1681">
        <v>0.8</v>
      </c>
      <c r="G259" s="874">
        <v>1</v>
      </c>
      <c r="H259" s="182">
        <v>1</v>
      </c>
      <c r="I259" s="874">
        <v>0.16</v>
      </c>
      <c r="J259" s="874"/>
      <c r="K259" s="874"/>
      <c r="L259" s="1139">
        <f>IF((F259+I259)/C259&gt;=100%,100%,(F259+I259)/C259)</f>
        <v>0.96000000000000008</v>
      </c>
      <c r="M259" s="1090">
        <f>IF((G259+J259)/D259&gt;=100%,100%,(G259+J259)/D259)</f>
        <v>1</v>
      </c>
      <c r="N259" s="821">
        <f t="shared" si="263"/>
        <v>1</v>
      </c>
      <c r="O259" s="2165" t="s">
        <v>2404</v>
      </c>
      <c r="P259" s="1525"/>
      <c r="Q259" s="2041" t="s">
        <v>2183</v>
      </c>
      <c r="R259" s="1015"/>
      <c r="S259" s="1013" t="s">
        <v>2182</v>
      </c>
      <c r="T259" s="2037" t="s">
        <v>2234</v>
      </c>
      <c r="U259" s="1526"/>
      <c r="V259" s="1526"/>
      <c r="W259" s="1223"/>
      <c r="X259" s="1526"/>
      <c r="Y259" s="1648">
        <v>4</v>
      </c>
      <c r="Z259" s="1139">
        <f t="shared" si="205"/>
        <v>2.96</v>
      </c>
      <c r="AA259" s="1430">
        <f t="shared" si="269"/>
        <v>0.74</v>
      </c>
      <c r="AB259" s="1263">
        <v>0.4</v>
      </c>
      <c r="AC259" s="892">
        <v>0.4</v>
      </c>
      <c r="AD259" s="476">
        <v>0.4</v>
      </c>
      <c r="AE259" s="1682">
        <v>102500000</v>
      </c>
      <c r="AF259" s="1627">
        <v>46000000</v>
      </c>
      <c r="AG259" s="2102">
        <v>93757568</v>
      </c>
      <c r="AH259" s="2152">
        <v>102447239</v>
      </c>
      <c r="AI259" s="1997">
        <f t="shared" si="200"/>
        <v>0.99948525853658532</v>
      </c>
      <c r="AJ259" s="1627">
        <v>32000000</v>
      </c>
      <c r="AK259" s="1682">
        <v>87949101</v>
      </c>
      <c r="AL259" s="1682">
        <v>100744758</v>
      </c>
      <c r="AM259" s="1134">
        <f t="shared" si="201"/>
        <v>0.982875687804878</v>
      </c>
      <c r="AN259" s="997">
        <f t="shared" si="270"/>
        <v>1702481</v>
      </c>
      <c r="AO259" s="1628">
        <v>14000000</v>
      </c>
      <c r="AP259" s="1627">
        <v>14000000</v>
      </c>
      <c r="AQ259" s="1972">
        <v>5808467</v>
      </c>
      <c r="AR259" s="1972">
        <v>5225185</v>
      </c>
      <c r="AS259" s="1136">
        <f t="shared" si="202"/>
        <v>0.89958073274755623</v>
      </c>
      <c r="AT259" s="1138">
        <v>450000000</v>
      </c>
      <c r="AU259" s="993">
        <f t="shared" si="271"/>
        <v>239919044</v>
      </c>
      <c r="AV259" s="1139">
        <f t="shared" si="209"/>
        <v>0.53315343111111113</v>
      </c>
      <c r="AW259" s="1140"/>
      <c r="AX259" s="1140"/>
      <c r="AY259" s="189" t="s">
        <v>29</v>
      </c>
      <c r="AZ259" s="1629" t="s">
        <v>890</v>
      </c>
      <c r="BA259" s="1037"/>
      <c r="BB259" s="1037"/>
    </row>
    <row r="260" spans="1:54" s="617" customFormat="1" ht="42.75" customHeight="1" thickBot="1">
      <c r="A260" s="1065" t="s">
        <v>443</v>
      </c>
      <c r="B260" s="1066"/>
      <c r="C260" s="862"/>
      <c r="D260" s="835"/>
      <c r="E260" s="222"/>
      <c r="F260" s="1067"/>
      <c r="G260" s="862"/>
      <c r="H260" s="129"/>
      <c r="I260" s="1246"/>
      <c r="J260" s="1246"/>
      <c r="K260" s="1246"/>
      <c r="L260" s="1077">
        <f>+(L261*100%)</f>
        <v>1</v>
      </c>
      <c r="M260" s="1068">
        <f>+(M261*AC261)+(M266*AC266)+(M268*AC268)</f>
        <v>0.8</v>
      </c>
      <c r="N260" s="1068">
        <f>+(N261*AD261)+(N266*AD266)+(N268*AD268)</f>
        <v>0.6</v>
      </c>
      <c r="O260" s="948"/>
      <c r="P260" s="1463"/>
      <c r="Q260" s="1071"/>
      <c r="R260" s="1069"/>
      <c r="S260" s="1069"/>
      <c r="T260" s="1464"/>
      <c r="U260" s="1464"/>
      <c r="V260" s="1464"/>
      <c r="W260" s="1072"/>
      <c r="X260" s="1464"/>
      <c r="Y260" s="1465"/>
      <c r="Z260" s="1075">
        <f t="shared" si="205"/>
        <v>0</v>
      </c>
      <c r="AA260" s="1246">
        <f>+(AA261*AB261)+(AA266*AB266)+(AA268*AB268)</f>
        <v>0.62250000000000005</v>
      </c>
      <c r="AB260" s="1077">
        <v>0.09</v>
      </c>
      <c r="AC260" s="883">
        <v>0.09</v>
      </c>
      <c r="AD260" s="470">
        <v>0.09</v>
      </c>
      <c r="AE260" s="1078">
        <v>410000000</v>
      </c>
      <c r="AF260" s="1078">
        <f>+AF261+AF266+AF268</f>
        <v>211626200</v>
      </c>
      <c r="AG260" s="1066">
        <f>+AG261+AG266+AG268</f>
        <v>253384705</v>
      </c>
      <c r="AH260" s="2114">
        <f>+AH261+AH266+AH268</f>
        <v>406467635</v>
      </c>
      <c r="AI260" s="1986">
        <f t="shared" si="200"/>
        <v>0.99138447560975607</v>
      </c>
      <c r="AJ260" s="1078">
        <f>+AJ261+AJ266+AJ268</f>
        <v>94226200</v>
      </c>
      <c r="AK260" s="1078">
        <f>+AK261+AK266+AK268</f>
        <v>163299560</v>
      </c>
      <c r="AL260" s="1078">
        <f>+AL261+AL266+AL268</f>
        <v>362624429.89999998</v>
      </c>
      <c r="AM260" s="1077">
        <f t="shared" si="201"/>
        <v>0.88444982902439018</v>
      </c>
      <c r="AN260" s="1066">
        <f>+AN261+AN266+AN268</f>
        <v>43843205.099999994</v>
      </c>
      <c r="AO260" s="1069">
        <f>+AO261+AO266+AO268</f>
        <v>117400000</v>
      </c>
      <c r="AP260" s="1078">
        <f>+AP261+AP266+AP268</f>
        <v>115536666</v>
      </c>
      <c r="AQ260" s="1078">
        <f>+AQ261+AQ266+AQ268</f>
        <v>90085145</v>
      </c>
      <c r="AR260" s="1078">
        <f>+AR261+AR266+AR268</f>
        <v>87045441</v>
      </c>
      <c r="AS260" s="1080">
        <f t="shared" si="202"/>
        <v>0.966257433453651</v>
      </c>
      <c r="AT260" s="1078">
        <f t="shared" ref="AT260" si="272">+AT261+AT266+AT268</f>
        <v>1750000000</v>
      </c>
      <c r="AU260" s="1078">
        <f>+AU261+AU266+AU268</f>
        <v>822732296.89999998</v>
      </c>
      <c r="AV260" s="1077">
        <f t="shared" si="209"/>
        <v>0.47013274108571429</v>
      </c>
      <c r="AW260" s="1071"/>
      <c r="AX260" s="1071" t="s">
        <v>301</v>
      </c>
      <c r="AY260" s="1069"/>
      <c r="AZ260" s="1066"/>
      <c r="BA260" s="1082"/>
      <c r="BB260" s="1082"/>
    </row>
    <row r="261" spans="1:54" ht="51.75" customHeight="1" thickBot="1">
      <c r="A261" s="331" t="s">
        <v>498</v>
      </c>
      <c r="B261" s="437"/>
      <c r="C261" s="873"/>
      <c r="D261" s="849"/>
      <c r="E261" s="223"/>
      <c r="F261" s="1572"/>
      <c r="G261" s="873"/>
      <c r="H261" s="139"/>
      <c r="I261" s="873"/>
      <c r="J261" s="873"/>
      <c r="K261" s="873"/>
      <c r="L261" s="1573">
        <f>+SUMPRODUCT(L262:L265,AB262:AB265)</f>
        <v>1</v>
      </c>
      <c r="M261" s="1608">
        <f>+SUMPRODUCT(M262:M265,AC262:AC265)</f>
        <v>1</v>
      </c>
      <c r="N261" s="1608">
        <f>+SUMPRODUCT(N262:N265,AD262:AD265)</f>
        <v>1</v>
      </c>
      <c r="O261" s="965"/>
      <c r="P261" s="1575"/>
      <c r="Q261" s="243"/>
      <c r="R261" s="1576"/>
      <c r="S261" s="1576"/>
      <c r="T261" s="1577"/>
      <c r="U261" s="1577"/>
      <c r="V261" s="1577"/>
      <c r="W261" s="1578"/>
      <c r="X261" s="1577"/>
      <c r="Y261" s="1579"/>
      <c r="Z261" s="261">
        <f t="shared" si="205"/>
        <v>0</v>
      </c>
      <c r="AA261" s="1580">
        <f>+SUMPRODUCT(AA262:AA265,AB262:AB265)</f>
        <v>0.9375</v>
      </c>
      <c r="AB261" s="294">
        <v>0.6</v>
      </c>
      <c r="AC261" s="294">
        <v>0.6</v>
      </c>
      <c r="AD261" s="471">
        <v>0.6</v>
      </c>
      <c r="AE261" s="1581">
        <v>200000000</v>
      </c>
      <c r="AF261" s="1581">
        <f>SUM(AF262:AF265)</f>
        <v>201626200</v>
      </c>
      <c r="AG261" s="437">
        <f>SUM(AG262:AG265)</f>
        <v>163189902</v>
      </c>
      <c r="AH261" s="2115">
        <f>SUM(AH262:AH265)</f>
        <v>197655050</v>
      </c>
      <c r="AI261" s="1992">
        <f t="shared" si="200"/>
        <v>0.98827525000000005</v>
      </c>
      <c r="AJ261" s="1581">
        <f>SUM(AJ262:AJ265)</f>
        <v>84226200</v>
      </c>
      <c r="AK261" s="1581">
        <f>SUM(AK262:AK265)</f>
        <v>133732128</v>
      </c>
      <c r="AL261" s="1976">
        <f>SUM(AL262:AL265)</f>
        <v>176365430</v>
      </c>
      <c r="AM261" s="1595">
        <f t="shared" si="201"/>
        <v>0.88182715</v>
      </c>
      <c r="AN261" s="1584">
        <f>SUM(AN262:AN265)</f>
        <v>21289620</v>
      </c>
      <c r="AO261" s="1576">
        <f>SUM(AO262:AO265)</f>
        <v>117400000</v>
      </c>
      <c r="AP261" s="1581">
        <f>SUM(AP262:AP265)</f>
        <v>115536666</v>
      </c>
      <c r="AQ261" s="1581">
        <f>SUM(AQ262:AQ265)</f>
        <v>29457774</v>
      </c>
      <c r="AR261" s="1581">
        <f>SUM(AR262:AR265)</f>
        <v>28061863</v>
      </c>
      <c r="AS261" s="613">
        <f t="shared" si="202"/>
        <v>0.95261315400138513</v>
      </c>
      <c r="AT261" s="1581">
        <f t="shared" ref="AT261" si="273">SUM(AT262:AT265)</f>
        <v>1000000000</v>
      </c>
      <c r="AU261" s="1581">
        <f>SUM(AU262:AU265)</f>
        <v>537922287</v>
      </c>
      <c r="AV261" s="1586">
        <f t="shared" si="209"/>
        <v>0.537922287</v>
      </c>
      <c r="AW261" s="1587"/>
      <c r="AX261" s="1588"/>
      <c r="AY261" s="1589"/>
      <c r="AZ261" s="1584"/>
      <c r="BA261" s="1590"/>
      <c r="BB261" s="1590"/>
    </row>
    <row r="262" spans="1:54" ht="60" customHeight="1">
      <c r="A262" s="352" t="s">
        <v>679</v>
      </c>
      <c r="B262" s="457" t="s">
        <v>850</v>
      </c>
      <c r="C262" s="1596">
        <v>1</v>
      </c>
      <c r="D262" s="407">
        <v>1</v>
      </c>
      <c r="E262" s="407">
        <v>1</v>
      </c>
      <c r="F262" s="304">
        <v>1</v>
      </c>
      <c r="G262" s="147">
        <v>1</v>
      </c>
      <c r="H262" s="678">
        <v>1</v>
      </c>
      <c r="I262" s="147"/>
      <c r="J262" s="147"/>
      <c r="K262" s="147"/>
      <c r="L262" s="180">
        <f>IF((F262+I262)/C262&gt;=100%,100%,(F262+I262)/C262)</f>
        <v>1</v>
      </c>
      <c r="M262" s="1090">
        <f>IF((G262+J262)/D262&gt;=100%,100%,(G262+J262)/D262)</f>
        <v>1</v>
      </c>
      <c r="N262" s="821">
        <f t="shared" ref="N262:N265" si="274">IF((H262/E262)&gt;=100%,100%,(H262/E262))</f>
        <v>1</v>
      </c>
      <c r="O262" s="2165" t="s">
        <v>2405</v>
      </c>
      <c r="P262" s="1507"/>
      <c r="Q262" s="2041" t="s">
        <v>2183</v>
      </c>
      <c r="R262" s="1015"/>
      <c r="S262" s="1013" t="s">
        <v>2182</v>
      </c>
      <c r="T262" s="2038" t="s">
        <v>2235</v>
      </c>
      <c r="U262" s="195"/>
      <c r="V262" s="195"/>
      <c r="W262" s="150"/>
      <c r="X262" s="195"/>
      <c r="Y262" s="241">
        <v>4</v>
      </c>
      <c r="Z262" s="242">
        <f t="shared" si="205"/>
        <v>3</v>
      </c>
      <c r="AA262" s="186">
        <f t="shared" ref="AA262:AA265" si="275">IF(Z262/Y262&gt;=100%,100%,Z262/Y262)</f>
        <v>0.75</v>
      </c>
      <c r="AB262" s="1397">
        <v>0.25</v>
      </c>
      <c r="AC262" s="476">
        <v>0.25</v>
      </c>
      <c r="AD262" s="476">
        <v>0.25</v>
      </c>
      <c r="AE262" s="622">
        <v>50000000</v>
      </c>
      <c r="AF262" s="378">
        <v>40800000</v>
      </c>
      <c r="AG262" s="2103">
        <v>36251938</v>
      </c>
      <c r="AH262" s="2149">
        <v>49517290</v>
      </c>
      <c r="AI262" s="1996">
        <f t="shared" si="200"/>
        <v>0.99034580000000005</v>
      </c>
      <c r="AJ262" s="378">
        <v>35700000</v>
      </c>
      <c r="AK262" s="622">
        <v>33612905</v>
      </c>
      <c r="AL262" s="620">
        <v>42800491</v>
      </c>
      <c r="AM262" s="1030">
        <f t="shared" si="201"/>
        <v>0.85600982000000003</v>
      </c>
      <c r="AN262" s="997">
        <f t="shared" ref="AN262:AN265" si="276">+AH262-AL262</f>
        <v>6716799</v>
      </c>
      <c r="AO262" s="1632">
        <v>5100000</v>
      </c>
      <c r="AP262" s="2109">
        <v>5100000</v>
      </c>
      <c r="AQ262" s="2409">
        <v>2639033</v>
      </c>
      <c r="AR262" s="2147">
        <v>2264369</v>
      </c>
      <c r="AS262" s="2406">
        <f t="shared" si="202"/>
        <v>0.85802981622435193</v>
      </c>
      <c r="AT262" s="250">
        <f>1000000000/4</f>
        <v>250000000</v>
      </c>
      <c r="AU262" s="993">
        <f t="shared" ref="AU262:AU265" si="277">SUM(AJ262:AL262)+AR262+AP262</f>
        <v>119477765</v>
      </c>
      <c r="AV262" s="1139">
        <f t="shared" si="209"/>
        <v>0.47791106</v>
      </c>
      <c r="AW262" s="173"/>
      <c r="AX262" s="157"/>
      <c r="AY262" s="152" t="s">
        <v>302</v>
      </c>
      <c r="AZ262" s="2288" t="s">
        <v>890</v>
      </c>
      <c r="BA262" s="93"/>
      <c r="BB262" s="93"/>
    </row>
    <row r="263" spans="1:54" ht="74.25" customHeight="1">
      <c r="A263" s="352" t="s">
        <v>680</v>
      </c>
      <c r="B263" s="457" t="s">
        <v>851</v>
      </c>
      <c r="C263" s="1596">
        <v>1</v>
      </c>
      <c r="D263" s="407">
        <v>1</v>
      </c>
      <c r="E263" s="407">
        <v>1</v>
      </c>
      <c r="F263" s="304">
        <v>1</v>
      </c>
      <c r="G263" s="859">
        <v>1</v>
      </c>
      <c r="H263" s="147">
        <v>1</v>
      </c>
      <c r="I263" s="859"/>
      <c r="J263" s="859"/>
      <c r="K263" s="859"/>
      <c r="L263" s="1010">
        <f>IF((F263+I263)/C263&gt;=100%,100%,(F263+I263)/C263)</f>
        <v>1</v>
      </c>
      <c r="M263" s="1090">
        <f>IF((G263+J263)/D263&gt;=100%,100%,(G263+J263)/D263)</f>
        <v>1</v>
      </c>
      <c r="N263" s="821">
        <f t="shared" si="274"/>
        <v>1</v>
      </c>
      <c r="O263" s="2165" t="s">
        <v>2406</v>
      </c>
      <c r="P263" s="1525"/>
      <c r="Q263" s="2041" t="s">
        <v>2183</v>
      </c>
      <c r="R263" s="1015"/>
      <c r="S263" s="1013" t="s">
        <v>2182</v>
      </c>
      <c r="T263" s="2038" t="s">
        <v>2235</v>
      </c>
      <c r="U263" s="1526"/>
      <c r="V263" s="1526"/>
      <c r="W263" s="1017"/>
      <c r="X263" s="1526"/>
      <c r="Y263" s="1527">
        <v>1</v>
      </c>
      <c r="Z263" s="1008">
        <f t="shared" si="205"/>
        <v>3</v>
      </c>
      <c r="AA263" s="1438">
        <f t="shared" si="275"/>
        <v>1</v>
      </c>
      <c r="AB263" s="1636">
        <v>0.25</v>
      </c>
      <c r="AC263" s="901">
        <v>0.25</v>
      </c>
      <c r="AD263" s="476">
        <v>0.25</v>
      </c>
      <c r="AE263" s="622">
        <v>50000000</v>
      </c>
      <c r="AF263" s="378">
        <v>47326200</v>
      </c>
      <c r="AG263" s="2103">
        <v>44534088</v>
      </c>
      <c r="AH263" s="2149">
        <v>49974158</v>
      </c>
      <c r="AI263" s="1993">
        <f t="shared" si="200"/>
        <v>0.99948316000000004</v>
      </c>
      <c r="AJ263" s="378">
        <v>39326200</v>
      </c>
      <c r="AK263" s="622">
        <v>42993413</v>
      </c>
      <c r="AL263" s="620">
        <v>48121302</v>
      </c>
      <c r="AM263" s="1134">
        <f t="shared" si="201"/>
        <v>0.96242603999999998</v>
      </c>
      <c r="AN263" s="997">
        <f t="shared" si="276"/>
        <v>1852856</v>
      </c>
      <c r="AO263" s="1632">
        <v>8000000</v>
      </c>
      <c r="AP263" s="2109">
        <v>8000000</v>
      </c>
      <c r="AQ263" s="2408">
        <v>1540675</v>
      </c>
      <c r="AR263" s="2407">
        <v>1321944</v>
      </c>
      <c r="AS263" s="2386">
        <f t="shared" si="202"/>
        <v>0.85802911061709963</v>
      </c>
      <c r="AT263" s="1118">
        <f t="shared" ref="AT263:AT265" si="278">1000000000/4</f>
        <v>250000000</v>
      </c>
      <c r="AU263" s="993">
        <f t="shared" si="277"/>
        <v>139762859</v>
      </c>
      <c r="AV263" s="1139">
        <f t="shared" si="209"/>
        <v>0.55905143599999996</v>
      </c>
      <c r="AW263" s="1140"/>
      <c r="AX263" s="1119"/>
      <c r="AY263" s="1012" t="s">
        <v>302</v>
      </c>
      <c r="AZ263" s="2289"/>
      <c r="BA263" s="93"/>
      <c r="BB263" s="93"/>
    </row>
    <row r="264" spans="1:54" ht="77.25" customHeight="1">
      <c r="A264" s="352" t="s">
        <v>681</v>
      </c>
      <c r="B264" s="457" t="s">
        <v>852</v>
      </c>
      <c r="C264" s="1596">
        <v>0.1</v>
      </c>
      <c r="D264" s="407">
        <v>1</v>
      </c>
      <c r="E264" s="407">
        <v>1</v>
      </c>
      <c r="F264" s="1596">
        <v>0.1</v>
      </c>
      <c r="G264" s="859">
        <v>0</v>
      </c>
      <c r="H264" s="147">
        <v>1</v>
      </c>
      <c r="I264" s="859"/>
      <c r="J264" s="859">
        <v>1</v>
      </c>
      <c r="K264" s="859"/>
      <c r="L264" s="1010">
        <v>1</v>
      </c>
      <c r="M264" s="1090">
        <f>IF((G264+J264)/D264&gt;=100%,100%,(G264+J264)/D264)</f>
        <v>1</v>
      </c>
      <c r="N264" s="821">
        <f t="shared" si="274"/>
        <v>1</v>
      </c>
      <c r="O264" s="2165" t="s">
        <v>2407</v>
      </c>
      <c r="P264" s="1525"/>
      <c r="Q264" s="2041" t="s">
        <v>2183</v>
      </c>
      <c r="R264" s="1015"/>
      <c r="S264" s="1013" t="s">
        <v>2182</v>
      </c>
      <c r="T264" s="2038" t="s">
        <v>2236</v>
      </c>
      <c r="U264" s="1526"/>
      <c r="V264" s="1526"/>
      <c r="W264" s="1017"/>
      <c r="X264" s="1526"/>
      <c r="Y264" s="1527">
        <v>1</v>
      </c>
      <c r="Z264" s="1008">
        <f t="shared" si="205"/>
        <v>2.1</v>
      </c>
      <c r="AA264" s="1438">
        <f t="shared" si="275"/>
        <v>1</v>
      </c>
      <c r="AB264" s="1636">
        <v>0.25</v>
      </c>
      <c r="AC264" s="901">
        <v>0.25</v>
      </c>
      <c r="AD264" s="476">
        <v>0.25</v>
      </c>
      <c r="AE264" s="621">
        <v>50000000</v>
      </c>
      <c r="AF264" s="378">
        <v>56750000</v>
      </c>
      <c r="AG264" s="2103">
        <v>40701938</v>
      </c>
      <c r="AH264" s="2149">
        <v>49974158</v>
      </c>
      <c r="AI264" s="1993">
        <f t="shared" si="200"/>
        <v>0.99948316000000004</v>
      </c>
      <c r="AJ264" s="378">
        <v>4900000</v>
      </c>
      <c r="AK264" s="622">
        <v>28062905</v>
      </c>
      <c r="AL264" s="620">
        <v>45099695</v>
      </c>
      <c r="AM264" s="1134">
        <f t="shared" si="201"/>
        <v>0.90199390000000002</v>
      </c>
      <c r="AN264" s="997">
        <f t="shared" si="276"/>
        <v>4874463</v>
      </c>
      <c r="AO264" s="1632">
        <v>51850000</v>
      </c>
      <c r="AP264" s="2109">
        <v>50000000</v>
      </c>
      <c r="AQ264" s="2409">
        <v>12639033</v>
      </c>
      <c r="AR264" s="2147">
        <v>12244710</v>
      </c>
      <c r="AS264" s="2386">
        <f t="shared" si="202"/>
        <v>0.96880117331761062</v>
      </c>
      <c r="AT264" s="1118">
        <f t="shared" si="278"/>
        <v>250000000</v>
      </c>
      <c r="AU264" s="993">
        <f t="shared" si="277"/>
        <v>140307310</v>
      </c>
      <c r="AV264" s="1139">
        <f t="shared" si="209"/>
        <v>0.56122923999999996</v>
      </c>
      <c r="AW264" s="1140"/>
      <c r="AX264" s="1119"/>
      <c r="AY264" s="1012" t="s">
        <v>302</v>
      </c>
      <c r="AZ264" s="2289"/>
      <c r="BA264" s="93"/>
      <c r="BB264" s="93"/>
    </row>
    <row r="265" spans="1:54" ht="74.25" customHeight="1" thickBot="1">
      <c r="A265" s="355" t="s">
        <v>682</v>
      </c>
      <c r="B265" s="310" t="s">
        <v>853</v>
      </c>
      <c r="C265" s="1596">
        <v>0.1</v>
      </c>
      <c r="D265" s="407">
        <v>1</v>
      </c>
      <c r="E265" s="407">
        <v>1</v>
      </c>
      <c r="F265" s="1596">
        <v>0.1</v>
      </c>
      <c r="G265" s="859">
        <v>0</v>
      </c>
      <c r="H265" s="147">
        <v>1</v>
      </c>
      <c r="I265" s="859"/>
      <c r="J265" s="859">
        <v>1</v>
      </c>
      <c r="K265" s="859"/>
      <c r="L265" s="1010">
        <f>IF((F265+I265)/C265&gt;=100%,100%,(F265+I265)/C265)</f>
        <v>1</v>
      </c>
      <c r="M265" s="1090">
        <f>IF((G265+J265)/D265&gt;=100%,100%,(G265+J265)/D265)</f>
        <v>1</v>
      </c>
      <c r="N265" s="821">
        <f t="shared" si="274"/>
        <v>1</v>
      </c>
      <c r="O265" s="2165" t="s">
        <v>2408</v>
      </c>
      <c r="P265" s="1525"/>
      <c r="Q265" s="2041" t="s">
        <v>2183</v>
      </c>
      <c r="R265" s="1015"/>
      <c r="S265" s="1013" t="s">
        <v>2182</v>
      </c>
      <c r="T265" s="2038" t="s">
        <v>2236</v>
      </c>
      <c r="U265" s="1526"/>
      <c r="V265" s="1526"/>
      <c r="W265" s="1017"/>
      <c r="X265" s="1526"/>
      <c r="Y265" s="1527">
        <v>1</v>
      </c>
      <c r="Z265" s="1008">
        <f t="shared" si="205"/>
        <v>2.1</v>
      </c>
      <c r="AA265" s="1438">
        <f t="shared" si="275"/>
        <v>1</v>
      </c>
      <c r="AB265" s="1636">
        <v>0.25</v>
      </c>
      <c r="AC265" s="901">
        <v>0.25</v>
      </c>
      <c r="AD265" s="476">
        <v>0.25</v>
      </c>
      <c r="AE265" s="1649">
        <v>50000000</v>
      </c>
      <c r="AF265" s="378">
        <v>56750000</v>
      </c>
      <c r="AG265" s="2103">
        <v>41701938</v>
      </c>
      <c r="AH265" s="2149">
        <v>48189444</v>
      </c>
      <c r="AI265" s="1993">
        <f t="shared" ref="AI265:AI296" si="279">+AH265/AE265</f>
        <v>0.96378887999999996</v>
      </c>
      <c r="AJ265" s="378">
        <v>4300000</v>
      </c>
      <c r="AK265" s="622">
        <v>29062905</v>
      </c>
      <c r="AL265" s="620">
        <v>40343942</v>
      </c>
      <c r="AM265" s="1134">
        <f t="shared" ref="AM265:AM296" si="280">+AL265/AE265</f>
        <v>0.80687883999999999</v>
      </c>
      <c r="AN265" s="997">
        <f t="shared" si="276"/>
        <v>7845502</v>
      </c>
      <c r="AO265" s="1632">
        <v>52450000</v>
      </c>
      <c r="AP265" s="2109">
        <v>52436666</v>
      </c>
      <c r="AQ265" s="2147">
        <v>12639033</v>
      </c>
      <c r="AR265" s="2407">
        <v>12230840</v>
      </c>
      <c r="AS265" s="2386">
        <f t="shared" ref="AS265:AS296" si="281">+AR265/AQ265</f>
        <v>0.96770377923690842</v>
      </c>
      <c r="AT265" s="1118">
        <f t="shared" si="278"/>
        <v>250000000</v>
      </c>
      <c r="AU265" s="993">
        <f t="shared" si="277"/>
        <v>138374353</v>
      </c>
      <c r="AV265" s="1139">
        <f t="shared" si="209"/>
        <v>0.55349741200000002</v>
      </c>
      <c r="AW265" s="1140"/>
      <c r="AX265" s="1119"/>
      <c r="AY265" s="1012" t="s">
        <v>302</v>
      </c>
      <c r="AZ265" s="2290"/>
      <c r="BA265" s="93"/>
      <c r="BB265" s="93"/>
    </row>
    <row r="266" spans="1:54" ht="36.75" customHeight="1" thickBot="1">
      <c r="A266" s="315" t="s">
        <v>499</v>
      </c>
      <c r="B266" s="138"/>
      <c r="C266" s="139"/>
      <c r="D266" s="223"/>
      <c r="E266" s="223"/>
      <c r="F266" s="212"/>
      <c r="G266" s="139"/>
      <c r="H266" s="139"/>
      <c r="I266" s="139"/>
      <c r="J266" s="139"/>
      <c r="K266" s="139"/>
      <c r="L266" s="140">
        <f>+L267*100%</f>
        <v>1</v>
      </c>
      <c r="M266" s="1617">
        <f>+(M267*AC267)</f>
        <v>0</v>
      </c>
      <c r="N266" s="1617">
        <f>+(N267*AD267)</f>
        <v>0</v>
      </c>
      <c r="O266" s="965"/>
      <c r="P266" s="1619"/>
      <c r="Q266" s="141"/>
      <c r="R266" s="142"/>
      <c r="S266" s="142"/>
      <c r="T266" s="194"/>
      <c r="U266" s="194"/>
      <c r="V266" s="194"/>
      <c r="W266" s="163"/>
      <c r="X266" s="194"/>
      <c r="Y266" s="240"/>
      <c r="Z266" s="261">
        <f t="shared" si="205"/>
        <v>0</v>
      </c>
      <c r="AA266" s="177">
        <f>+(AA267*AB267)</f>
        <v>0.1</v>
      </c>
      <c r="AB266" s="140">
        <v>0.2</v>
      </c>
      <c r="AC266" s="471">
        <v>0.2</v>
      </c>
      <c r="AD266" s="471">
        <v>0.2</v>
      </c>
      <c r="AE266" s="1453">
        <v>85000000</v>
      </c>
      <c r="AF266" s="1453">
        <f>SUM(AF267)</f>
        <v>10000000</v>
      </c>
      <c r="AG266" s="138">
        <f>SUM(AG267)</f>
        <v>17337743</v>
      </c>
      <c r="AH266" s="2115">
        <f>SUM(AH267)</f>
        <v>83877190</v>
      </c>
      <c r="AI266" s="1990">
        <f t="shared" si="279"/>
        <v>0.98679047058823532</v>
      </c>
      <c r="AJ266" s="1453">
        <f>SUM(AJ267)</f>
        <v>10000000</v>
      </c>
      <c r="AK266" s="1453">
        <f>SUM(AK267)</f>
        <v>11840998</v>
      </c>
      <c r="AL266" s="1975">
        <f>SUM(AL267)</f>
        <v>79597592</v>
      </c>
      <c r="AM266" s="1455">
        <f t="shared" si="280"/>
        <v>0.93644225882352938</v>
      </c>
      <c r="AN266" s="145">
        <f>SUM(AN267)</f>
        <v>4279598</v>
      </c>
      <c r="AO266" s="142">
        <f>SUM(AO267)</f>
        <v>0</v>
      </c>
      <c r="AP266" s="1453">
        <f>SUM(AP267)</f>
        <v>0</v>
      </c>
      <c r="AQ266" s="1581">
        <f>SUM(AQ267)</f>
        <v>5496745</v>
      </c>
      <c r="AR266" s="1581">
        <f>SUM(AR267)</f>
        <v>4646533</v>
      </c>
      <c r="AS266" s="613">
        <f t="shared" si="281"/>
        <v>0.84532446020326579</v>
      </c>
      <c r="AT266" s="1453">
        <f t="shared" ref="AT266" si="282">SUM(AT267)</f>
        <v>300000000</v>
      </c>
      <c r="AU266" s="1453">
        <f>SUM(AU267)</f>
        <v>106085123</v>
      </c>
      <c r="AV266" s="1455">
        <f t="shared" si="209"/>
        <v>0.35361707666666664</v>
      </c>
      <c r="AW266" s="179"/>
      <c r="AX266" s="165"/>
      <c r="AY266" s="553"/>
      <c r="AZ266" s="145"/>
      <c r="BA266" s="98"/>
      <c r="BB266" s="98"/>
    </row>
    <row r="267" spans="1:54" ht="53.25" customHeight="1" thickBot="1">
      <c r="A267" s="356" t="s">
        <v>683</v>
      </c>
      <c r="B267" s="460" t="s">
        <v>854</v>
      </c>
      <c r="C267" s="1630">
        <v>0.1</v>
      </c>
      <c r="D267" s="220">
        <v>1</v>
      </c>
      <c r="E267" s="220">
        <v>1</v>
      </c>
      <c r="F267" s="1630">
        <v>0.1</v>
      </c>
      <c r="G267" s="859">
        <v>0</v>
      </c>
      <c r="H267" s="147">
        <v>0</v>
      </c>
      <c r="I267" s="859"/>
      <c r="J267" s="859"/>
      <c r="K267" s="859"/>
      <c r="L267" s="1010">
        <f>IF((F267+I267)/C267&gt;=100%,100%,(F267+I267)/C267)</f>
        <v>1</v>
      </c>
      <c r="M267" s="1090">
        <f>IF((G267+J267)/D267&gt;=100%,100%,(G267+J267)/D267)</f>
        <v>0</v>
      </c>
      <c r="N267" s="821">
        <f t="shared" ref="N267:N269" si="283">IF((H267/E267)&gt;=100%,100%,(H267/E267))</f>
        <v>0</v>
      </c>
      <c r="O267" s="2165" t="s">
        <v>2409</v>
      </c>
      <c r="P267" s="1507"/>
      <c r="Q267" s="206"/>
      <c r="R267" s="207"/>
      <c r="S267" s="146"/>
      <c r="T267" s="195"/>
      <c r="U267" s="195"/>
      <c r="V267" s="195"/>
      <c r="W267" s="150"/>
      <c r="X267" s="195"/>
      <c r="Y267" s="241">
        <v>1</v>
      </c>
      <c r="Z267" s="242">
        <f t="shared" si="205"/>
        <v>0.1</v>
      </c>
      <c r="AA267" s="186">
        <f t="shared" ref="AA267" si="284">IF(Z267/Y267&gt;=100%,100%,Z267/Y267)</f>
        <v>0.1</v>
      </c>
      <c r="AB267" s="1397">
        <v>1</v>
      </c>
      <c r="AC267" s="477">
        <v>1</v>
      </c>
      <c r="AD267" s="477">
        <v>1</v>
      </c>
      <c r="AE267" s="1684">
        <v>85000000</v>
      </c>
      <c r="AF267" s="487">
        <v>10000000</v>
      </c>
      <c r="AG267" s="2104">
        <v>17337743</v>
      </c>
      <c r="AH267" s="2153">
        <v>83877190</v>
      </c>
      <c r="AI267" s="1996">
        <f t="shared" si="279"/>
        <v>0.98679047058823532</v>
      </c>
      <c r="AJ267" s="487">
        <v>10000000</v>
      </c>
      <c r="AK267" s="1684">
        <v>11840998</v>
      </c>
      <c r="AL267" s="1697">
        <v>79597592</v>
      </c>
      <c r="AM267" s="1139">
        <f t="shared" si="280"/>
        <v>0.93644225882352938</v>
      </c>
      <c r="AN267" s="997">
        <f>+AH267-AL267</f>
        <v>4279598</v>
      </c>
      <c r="AO267" s="1685">
        <v>0</v>
      </c>
      <c r="AP267" s="1690">
        <v>0</v>
      </c>
      <c r="AQ267" s="2414">
        <v>5496745</v>
      </c>
      <c r="AR267" s="2013">
        <v>4646533</v>
      </c>
      <c r="AS267" s="1089">
        <f t="shared" si="281"/>
        <v>0.84532446020326579</v>
      </c>
      <c r="AT267" s="1118">
        <v>300000000</v>
      </c>
      <c r="AU267" s="993">
        <f t="shared" ref="AU267" si="285">SUM(AJ267:AL267)+AR267+AP267</f>
        <v>106085123</v>
      </c>
      <c r="AV267" s="1139">
        <f t="shared" si="209"/>
        <v>0.35361707666666664</v>
      </c>
      <c r="AW267" s="1140"/>
      <c r="AX267" s="157"/>
      <c r="AY267" s="152" t="s">
        <v>302</v>
      </c>
      <c r="AZ267" s="1613" t="s">
        <v>890</v>
      </c>
      <c r="BA267" s="93"/>
      <c r="BB267" s="93"/>
    </row>
    <row r="268" spans="1:54" ht="51.75" customHeight="1" thickBot="1">
      <c r="A268" s="315" t="s">
        <v>500</v>
      </c>
      <c r="B268" s="138"/>
      <c r="C268" s="139"/>
      <c r="D268" s="223"/>
      <c r="E268" s="223"/>
      <c r="F268" s="212"/>
      <c r="G268" s="139"/>
      <c r="H268" s="139"/>
      <c r="I268" s="139"/>
      <c r="J268" s="139"/>
      <c r="K268" s="139"/>
      <c r="L268" s="140">
        <v>0</v>
      </c>
      <c r="M268" s="1617">
        <f>+M269*AC269</f>
        <v>1</v>
      </c>
      <c r="N268" s="1617">
        <f>+N269*AD269</f>
        <v>0</v>
      </c>
      <c r="O268" s="965"/>
      <c r="P268" s="1619"/>
      <c r="Q268" s="141"/>
      <c r="R268" s="142"/>
      <c r="S268" s="142"/>
      <c r="T268" s="194"/>
      <c r="U268" s="194"/>
      <c r="V268" s="194"/>
      <c r="W268" s="163"/>
      <c r="X268" s="194"/>
      <c r="Y268" s="240"/>
      <c r="Z268" s="261">
        <f t="shared" ref="Z268:Z295" si="286">SUM(F268:J268)</f>
        <v>0</v>
      </c>
      <c r="AA268" s="177">
        <f>+(AA269*AB269)</f>
        <v>0.2</v>
      </c>
      <c r="AB268" s="140">
        <v>0.2</v>
      </c>
      <c r="AC268" s="471">
        <v>0.2</v>
      </c>
      <c r="AD268" s="471">
        <v>0.2</v>
      </c>
      <c r="AE268" s="1453">
        <v>125000000</v>
      </c>
      <c r="AF268" s="1453">
        <f>SUM(AF269)</f>
        <v>0</v>
      </c>
      <c r="AG268" s="138">
        <f>SUM(AG269)</f>
        <v>72857060</v>
      </c>
      <c r="AH268" s="2115">
        <f>SUM(AH269)</f>
        <v>124935395</v>
      </c>
      <c r="AI268" s="1990">
        <f t="shared" si="279"/>
        <v>0.99948316000000004</v>
      </c>
      <c r="AJ268" s="1453">
        <f>SUM(AJ269)</f>
        <v>0</v>
      </c>
      <c r="AK268" s="1453">
        <f>SUM(AK269)</f>
        <v>17726434</v>
      </c>
      <c r="AL268" s="1975">
        <f>SUM(AL269)</f>
        <v>106661407.90000001</v>
      </c>
      <c r="AM268" s="1455">
        <f t="shared" si="280"/>
        <v>0.85329126320000004</v>
      </c>
      <c r="AN268" s="145">
        <f>SUM(AN269)</f>
        <v>18273987.099999994</v>
      </c>
      <c r="AO268" s="141">
        <f>SUM(AO269)</f>
        <v>0</v>
      </c>
      <c r="AP268" s="2412">
        <f>SUM(AP269)</f>
        <v>0</v>
      </c>
      <c r="AQ268" s="2413">
        <f>SUM(AQ269)</f>
        <v>55130626</v>
      </c>
      <c r="AR268" s="2413">
        <f>SUM(AR269)</f>
        <v>54337045</v>
      </c>
      <c r="AS268" s="2410">
        <f t="shared" si="281"/>
        <v>0.98560544188270238</v>
      </c>
      <c r="AT268" s="1453">
        <f>SUM(AT269)</f>
        <v>450000000</v>
      </c>
      <c r="AU268" s="1453">
        <f>SUM(AU269)</f>
        <v>178724886.90000001</v>
      </c>
      <c r="AV268" s="1455">
        <f t="shared" ref="AV268:AV296" si="287">+AU268/AT268</f>
        <v>0.39716641533333336</v>
      </c>
      <c r="AW268" s="179"/>
      <c r="AX268" s="165"/>
      <c r="AY268" s="553"/>
      <c r="AZ268" s="145"/>
      <c r="BA268" s="98"/>
      <c r="BB268" s="98"/>
    </row>
    <row r="269" spans="1:54" ht="102" customHeight="1" thickBot="1">
      <c r="A269" s="355" t="s">
        <v>684</v>
      </c>
      <c r="B269" s="310" t="s">
        <v>855</v>
      </c>
      <c r="C269" s="1686">
        <v>0</v>
      </c>
      <c r="D269" s="855">
        <v>0.1</v>
      </c>
      <c r="E269" s="220">
        <v>1</v>
      </c>
      <c r="F269" s="1217">
        <v>0</v>
      </c>
      <c r="G269" s="855">
        <v>0.1</v>
      </c>
      <c r="H269" s="678">
        <v>0</v>
      </c>
      <c r="I269" s="866"/>
      <c r="J269" s="2022">
        <v>0.1</v>
      </c>
      <c r="K269" s="2022"/>
      <c r="L269" s="1139" t="e">
        <f>IF((F269+I269)/C269&gt;=100%,100%,(F269+I269)/C269)</f>
        <v>#DIV/0!</v>
      </c>
      <c r="M269" s="1090">
        <f>IF((G269+J269)/D269&gt;=100%,100%,(G269+J269)/D269)</f>
        <v>1</v>
      </c>
      <c r="N269" s="821">
        <f t="shared" si="283"/>
        <v>0</v>
      </c>
      <c r="O269" s="2384" t="s">
        <v>2410</v>
      </c>
      <c r="P269" s="1525"/>
      <c r="Q269" s="2041" t="s">
        <v>2183</v>
      </c>
      <c r="R269" s="1015"/>
      <c r="S269" s="1013" t="s">
        <v>2182</v>
      </c>
      <c r="T269" s="2037" t="s">
        <v>2237</v>
      </c>
      <c r="U269" s="1526"/>
      <c r="V269" s="1526"/>
      <c r="W269" s="1223"/>
      <c r="X269" s="1526"/>
      <c r="Y269" s="1527">
        <v>1</v>
      </c>
      <c r="Z269" s="1130">
        <f t="shared" si="286"/>
        <v>0.2</v>
      </c>
      <c r="AA269" s="1430">
        <f t="shared" ref="AA269" si="288">IF(Z269/Y269&gt;=100%,100%,Z269/Y269)</f>
        <v>0.2</v>
      </c>
      <c r="AB269" s="1263">
        <v>1</v>
      </c>
      <c r="AC269" s="885">
        <v>1</v>
      </c>
      <c r="AD269" s="477">
        <v>1</v>
      </c>
      <c r="AE269" s="1689">
        <v>125000000</v>
      </c>
      <c r="AF269" s="1690">
        <v>0</v>
      </c>
      <c r="AG269" s="2105">
        <v>72857060</v>
      </c>
      <c r="AH269" s="2153">
        <v>124935395</v>
      </c>
      <c r="AI269" s="1997">
        <f t="shared" si="279"/>
        <v>0.99948316000000004</v>
      </c>
      <c r="AJ269" s="1690">
        <v>0</v>
      </c>
      <c r="AK269" s="1691">
        <v>17726434</v>
      </c>
      <c r="AL269" s="1697">
        <v>106661407.90000001</v>
      </c>
      <c r="AM269" s="1139">
        <f t="shared" si="280"/>
        <v>0.85329126320000004</v>
      </c>
      <c r="AN269" s="997">
        <f>+AH269-AL269</f>
        <v>18273987.099999994</v>
      </c>
      <c r="AO269" s="1692">
        <v>0</v>
      </c>
      <c r="AP269" s="2411">
        <v>0</v>
      </c>
      <c r="AQ269" s="2013">
        <v>55130626</v>
      </c>
      <c r="AR269" s="2013">
        <v>54337045</v>
      </c>
      <c r="AS269" s="1136">
        <f t="shared" si="281"/>
        <v>0.98560544188270238</v>
      </c>
      <c r="AT269" s="1138">
        <v>450000000</v>
      </c>
      <c r="AU269" s="993">
        <f t="shared" ref="AU269" si="289">SUM(AJ269:AL269)+AR269+AP269</f>
        <v>178724886.90000001</v>
      </c>
      <c r="AV269" s="1139">
        <f t="shared" si="287"/>
        <v>0.39716641533333336</v>
      </c>
      <c r="AW269" s="1140"/>
      <c r="AX269" s="173"/>
      <c r="AY269" s="189" t="s">
        <v>302</v>
      </c>
      <c r="AZ269" s="1607" t="s">
        <v>890</v>
      </c>
      <c r="BA269" s="1037"/>
      <c r="BB269" s="1037"/>
    </row>
    <row r="270" spans="1:54" s="617" customFormat="1" ht="33.75" customHeight="1" thickBot="1">
      <c r="A270" s="1065" t="s">
        <v>444</v>
      </c>
      <c r="B270" s="1066"/>
      <c r="C270" s="862"/>
      <c r="D270" s="835"/>
      <c r="E270" s="222"/>
      <c r="F270" s="1067"/>
      <c r="G270" s="862"/>
      <c r="H270" s="129"/>
      <c r="I270" s="862"/>
      <c r="J270" s="862"/>
      <c r="K270" s="862"/>
      <c r="L270" s="1077">
        <f>+(L271*AB271)</f>
        <v>1</v>
      </c>
      <c r="M270" s="1068">
        <f>+(M271*AC271)</f>
        <v>0.98</v>
      </c>
      <c r="N270" s="1068">
        <f>+(N271*AD271)</f>
        <v>0.97799999999999998</v>
      </c>
      <c r="O270" s="1069"/>
      <c r="P270" s="1463"/>
      <c r="Q270" s="1071"/>
      <c r="R270" s="1069"/>
      <c r="S270" s="1069"/>
      <c r="T270" s="1464"/>
      <c r="U270" s="1464"/>
      <c r="V270" s="1464"/>
      <c r="W270" s="1072"/>
      <c r="X270" s="1464"/>
      <c r="Y270" s="1465"/>
      <c r="Z270" s="1075">
        <f t="shared" si="286"/>
        <v>0</v>
      </c>
      <c r="AA270" s="1246">
        <f>+(AA271*AB271)</f>
        <v>0.85691641691641696</v>
      </c>
      <c r="AB270" s="1077">
        <v>0.1</v>
      </c>
      <c r="AC270" s="883">
        <v>0.1</v>
      </c>
      <c r="AD270" s="470">
        <v>0.1</v>
      </c>
      <c r="AE270" s="1078">
        <v>720000000</v>
      </c>
      <c r="AF270" s="1078">
        <f>+AF271</f>
        <v>205472200</v>
      </c>
      <c r="AG270" s="1066">
        <f>+AG271</f>
        <v>539083009</v>
      </c>
      <c r="AH270" s="2114">
        <f>+AH271</f>
        <v>714962042</v>
      </c>
      <c r="AI270" s="1986">
        <f t="shared" si="279"/>
        <v>0.99300283611111106</v>
      </c>
      <c r="AJ270" s="1078">
        <f>+AJ271</f>
        <v>107400000</v>
      </c>
      <c r="AK270" s="1078">
        <f>+AK271</f>
        <v>323233127</v>
      </c>
      <c r="AL270" s="1078">
        <f>+AL271</f>
        <v>684579237</v>
      </c>
      <c r="AM270" s="1068">
        <f t="shared" si="280"/>
        <v>0.95080449583333337</v>
      </c>
      <c r="AN270" s="1066">
        <f>+AN271</f>
        <v>30382805</v>
      </c>
      <c r="AO270" s="1069">
        <f>+AO271</f>
        <v>98072200</v>
      </c>
      <c r="AP270" s="1078">
        <f>+AP271</f>
        <v>83395870.770000011</v>
      </c>
      <c r="AQ270" s="1078">
        <f>+AQ271</f>
        <v>215849882</v>
      </c>
      <c r="AR270" s="1078">
        <f>+AR271</f>
        <v>211462179</v>
      </c>
      <c r="AS270" s="1080">
        <f t="shared" si="281"/>
        <v>0.97967243271413973</v>
      </c>
      <c r="AT270" s="1078">
        <f t="shared" ref="AT270:AU270" si="290">+AT271</f>
        <v>3100000000</v>
      </c>
      <c r="AU270" s="1078">
        <f t="shared" si="290"/>
        <v>1410070413.77</v>
      </c>
      <c r="AV270" s="1077">
        <f t="shared" si="287"/>
        <v>0.45486142379677419</v>
      </c>
      <c r="AW270" s="1071"/>
      <c r="AX270" s="1071" t="s">
        <v>301</v>
      </c>
      <c r="AY270" s="1069"/>
      <c r="AZ270" s="1066"/>
      <c r="BA270" s="1082"/>
      <c r="BB270" s="1082"/>
    </row>
    <row r="271" spans="1:54" ht="39" customHeight="1" thickBot="1">
      <c r="A271" s="331" t="s">
        <v>501</v>
      </c>
      <c r="B271" s="437"/>
      <c r="C271" s="873"/>
      <c r="D271" s="849"/>
      <c r="E271" s="223"/>
      <c r="F271" s="1572"/>
      <c r="G271" s="873"/>
      <c r="H271" s="139"/>
      <c r="I271" s="873"/>
      <c r="J271" s="873"/>
      <c r="K271" s="873"/>
      <c r="L271" s="294">
        <f>+(L272*28%)+(L273*28%)+(L275*11%)+(L276*11%)+(L277*22%)</f>
        <v>1</v>
      </c>
      <c r="M271" s="1573">
        <f>+SUMPRODUCT(M272:M277,AC272:AC277)</f>
        <v>0.98</v>
      </c>
      <c r="N271" s="1573">
        <f>+SUMPRODUCT(N272:N277,AD272:AD277)</f>
        <v>0.97799999999999998</v>
      </c>
      <c r="O271" s="965"/>
      <c r="P271" s="1575"/>
      <c r="Q271" s="243"/>
      <c r="R271" s="1576"/>
      <c r="S271" s="1576"/>
      <c r="T271" s="1577"/>
      <c r="U271" s="1577"/>
      <c r="V271" s="1577"/>
      <c r="W271" s="1578"/>
      <c r="X271" s="1577"/>
      <c r="Y271" s="1610"/>
      <c r="Z271" s="261">
        <f t="shared" si="286"/>
        <v>0</v>
      </c>
      <c r="AA271" s="1580">
        <f>+SUMPRODUCT(AA272:AA277,AB272:AB277)</f>
        <v>0.85691641691641696</v>
      </c>
      <c r="AB271" s="294">
        <v>1</v>
      </c>
      <c r="AC271" s="899">
        <v>1</v>
      </c>
      <c r="AD271" s="471">
        <v>1</v>
      </c>
      <c r="AE271" s="1581">
        <v>720000000</v>
      </c>
      <c r="AF271" s="1581">
        <f>SUM(AF272:AF277)</f>
        <v>205472200</v>
      </c>
      <c r="AG271" s="437">
        <f>SUM(AG272:AG277)</f>
        <v>539083009</v>
      </c>
      <c r="AH271" s="2115">
        <f>SUM(AH272:AH277)</f>
        <v>714962042</v>
      </c>
      <c r="AI271" s="1992">
        <f t="shared" si="279"/>
        <v>0.99300283611111106</v>
      </c>
      <c r="AJ271" s="1581">
        <f>SUM(AJ272:AJ277)</f>
        <v>107400000</v>
      </c>
      <c r="AK271" s="1581">
        <f>SUM(AK272:AK277)</f>
        <v>323233127</v>
      </c>
      <c r="AL271" s="1976">
        <f>SUM(AL272:AL277)</f>
        <v>684579237</v>
      </c>
      <c r="AM271" s="1595">
        <f t="shared" si="280"/>
        <v>0.95080449583333337</v>
      </c>
      <c r="AN271" s="1584">
        <f>SUM(AN272:AN277)</f>
        <v>30382805</v>
      </c>
      <c r="AO271" s="1576">
        <f>SUM(AO272:AO277)</f>
        <v>98072200</v>
      </c>
      <c r="AP271" s="1581">
        <f>SUM(AP272:AP277)</f>
        <v>83395870.770000011</v>
      </c>
      <c r="AQ271" s="1581">
        <f>SUM(AQ272:AQ277)</f>
        <v>215849882</v>
      </c>
      <c r="AR271" s="1581">
        <f>SUM(AR272:AR277)</f>
        <v>211462179</v>
      </c>
      <c r="AS271" s="613">
        <f t="shared" si="281"/>
        <v>0.97967243271413973</v>
      </c>
      <c r="AT271" s="1581">
        <f t="shared" ref="AT271:AU271" si="291">SUM(AT272:AT277)</f>
        <v>3100000000</v>
      </c>
      <c r="AU271" s="1581">
        <f t="shared" si="291"/>
        <v>1410070413.77</v>
      </c>
      <c r="AV271" s="1586">
        <f t="shared" si="287"/>
        <v>0.45486142379677419</v>
      </c>
      <c r="AW271" s="1587"/>
      <c r="AX271" s="1588"/>
      <c r="AY271" s="1589"/>
      <c r="AZ271" s="1584"/>
      <c r="BA271" s="1590"/>
      <c r="BB271" s="1590"/>
    </row>
    <row r="272" spans="1:54" ht="75" customHeight="1">
      <c r="A272" s="353" t="s">
        <v>685</v>
      </c>
      <c r="B272" s="458" t="s">
        <v>856</v>
      </c>
      <c r="C272" s="1672">
        <v>0.5</v>
      </c>
      <c r="D272" s="410">
        <v>0.7</v>
      </c>
      <c r="E272" s="410">
        <v>0.7</v>
      </c>
      <c r="F272" s="309">
        <v>0.2</v>
      </c>
      <c r="G272" s="182">
        <v>1</v>
      </c>
      <c r="H272" s="182">
        <v>0.9</v>
      </c>
      <c r="I272" s="182">
        <v>0.3</v>
      </c>
      <c r="J272" s="182"/>
      <c r="K272" s="182"/>
      <c r="L272" s="180">
        <f t="shared" ref="L272:M277" si="292">IF((F272+I272)/C272&gt;=100%,100%,(F272+I272)/C272)</f>
        <v>1</v>
      </c>
      <c r="M272" s="1090">
        <f t="shared" si="292"/>
        <v>1</v>
      </c>
      <c r="N272" s="821">
        <f t="shared" ref="N272:N277" si="293">IF((H272/E272)&gt;=100%,100%,(H272/E272))</f>
        <v>1</v>
      </c>
      <c r="O272" s="2165" t="s">
        <v>2411</v>
      </c>
      <c r="P272" s="1525"/>
      <c r="Q272" s="2041" t="s">
        <v>2183</v>
      </c>
      <c r="R272" s="1015"/>
      <c r="S272" s="1013" t="s">
        <v>2182</v>
      </c>
      <c r="T272" s="2038" t="s">
        <v>2238</v>
      </c>
      <c r="U272" s="1526"/>
      <c r="V272" s="1526"/>
      <c r="W272" s="1017"/>
      <c r="X272" s="1526"/>
      <c r="Y272" s="309">
        <v>2.6</v>
      </c>
      <c r="Z272" s="1010">
        <f t="shared" si="286"/>
        <v>2.4</v>
      </c>
      <c r="AA272" s="1438">
        <f t="shared" ref="AA272:AA277" si="294">IF(Z272/Y272&gt;=100%,100%,Z272/Y272)</f>
        <v>0.92307692307692302</v>
      </c>
      <c r="AB272" s="479">
        <v>0.25</v>
      </c>
      <c r="AC272" s="504">
        <v>0.25</v>
      </c>
      <c r="AD272" s="2383">
        <v>0.27</v>
      </c>
      <c r="AE272" s="1693">
        <v>190000000</v>
      </c>
      <c r="AF272" s="377">
        <v>69472200</v>
      </c>
      <c r="AG272" s="2106">
        <v>97783935</v>
      </c>
      <c r="AH272" s="2153">
        <v>187984459</v>
      </c>
      <c r="AI272" s="1993">
        <f t="shared" si="279"/>
        <v>0.98939188947368417</v>
      </c>
      <c r="AJ272" s="377">
        <v>0</v>
      </c>
      <c r="AK272" s="1693">
        <v>10517463</v>
      </c>
      <c r="AL272" s="1699">
        <v>165461038</v>
      </c>
      <c r="AM272" s="1139">
        <f t="shared" si="280"/>
        <v>0.8708475684210526</v>
      </c>
      <c r="AN272" s="997">
        <f t="shared" ref="AN272:AN277" si="295">+AH272-AL272</f>
        <v>22523421</v>
      </c>
      <c r="AO272" s="1612">
        <v>69472200</v>
      </c>
      <c r="AP272" s="2094">
        <v>63195870.770000003</v>
      </c>
      <c r="AQ272" s="2146">
        <v>87266472</v>
      </c>
      <c r="AR272" s="2146">
        <v>85708098</v>
      </c>
      <c r="AS272" s="2386">
        <f t="shared" si="281"/>
        <v>0.98214235130302963</v>
      </c>
      <c r="AT272" s="1118">
        <f>1500000000/2</f>
        <v>750000000</v>
      </c>
      <c r="AU272" s="993">
        <f t="shared" ref="AU272:AU277" si="296">SUM(AJ272:AL272)+AR272+AP272</f>
        <v>324882469.76999998</v>
      </c>
      <c r="AV272" s="1139">
        <f t="shared" si="287"/>
        <v>0.43317662635999998</v>
      </c>
      <c r="AW272" s="1140"/>
      <c r="AX272" s="1119"/>
      <c r="AY272" s="152" t="s">
        <v>302</v>
      </c>
      <c r="AZ272" s="1694" t="s">
        <v>926</v>
      </c>
      <c r="BA272" s="93"/>
      <c r="BB272" s="93"/>
    </row>
    <row r="273" spans="1:54" ht="54" customHeight="1">
      <c r="A273" s="353" t="s">
        <v>686</v>
      </c>
      <c r="B273" s="458" t="s">
        <v>857</v>
      </c>
      <c r="C273" s="1672">
        <v>0.1</v>
      </c>
      <c r="D273" s="410">
        <v>0.2</v>
      </c>
      <c r="E273" s="410">
        <v>0.2</v>
      </c>
      <c r="F273" s="309">
        <v>0</v>
      </c>
      <c r="G273" s="182">
        <v>0.34</v>
      </c>
      <c r="H273" s="182">
        <v>0.2</v>
      </c>
      <c r="I273" s="182">
        <v>0.1</v>
      </c>
      <c r="J273" s="182"/>
      <c r="K273" s="182"/>
      <c r="L273" s="180">
        <f t="shared" si="292"/>
        <v>1</v>
      </c>
      <c r="M273" s="1090">
        <f t="shared" si="292"/>
        <v>1</v>
      </c>
      <c r="N273" s="821">
        <f t="shared" si="293"/>
        <v>1</v>
      </c>
      <c r="O273" s="2165" t="s">
        <v>2412</v>
      </c>
      <c r="P273" s="1525"/>
      <c r="Q273" s="2041" t="s">
        <v>2183</v>
      </c>
      <c r="R273" s="1015"/>
      <c r="S273" s="1013" t="s">
        <v>2182</v>
      </c>
      <c r="T273" s="2038" t="s">
        <v>2239</v>
      </c>
      <c r="U273" s="1526"/>
      <c r="V273" s="1526"/>
      <c r="W273" s="1017"/>
      <c r="X273" s="1526"/>
      <c r="Y273" s="309">
        <v>0.7</v>
      </c>
      <c r="Z273" s="1010">
        <f t="shared" si="286"/>
        <v>0.64</v>
      </c>
      <c r="AA273" s="1438">
        <f t="shared" si="294"/>
        <v>0.91428571428571437</v>
      </c>
      <c r="AB273" s="479">
        <v>0.25</v>
      </c>
      <c r="AC273" s="504">
        <v>0.25</v>
      </c>
      <c r="AD273" s="2383">
        <v>0.27</v>
      </c>
      <c r="AE273" s="1695">
        <v>180000000</v>
      </c>
      <c r="AF273" s="377">
        <v>24000000</v>
      </c>
      <c r="AG273" s="2106">
        <v>186183935</v>
      </c>
      <c r="AH273" s="2153">
        <v>179908477</v>
      </c>
      <c r="AI273" s="1993">
        <f t="shared" si="279"/>
        <v>0.99949153888888886</v>
      </c>
      <c r="AJ273" s="377">
        <v>18000000</v>
      </c>
      <c r="AK273" s="1693">
        <v>74917463</v>
      </c>
      <c r="AL273" s="1699">
        <v>177267972</v>
      </c>
      <c r="AM273" s="1139">
        <f t="shared" si="280"/>
        <v>0.98482206666666672</v>
      </c>
      <c r="AN273" s="997">
        <f t="shared" si="295"/>
        <v>2640505</v>
      </c>
      <c r="AO273" s="1612">
        <v>6000000</v>
      </c>
      <c r="AP273" s="2094">
        <v>0</v>
      </c>
      <c r="AQ273" s="2146">
        <v>111266472</v>
      </c>
      <c r="AR273" s="2146">
        <v>109708098</v>
      </c>
      <c r="AS273" s="2386">
        <f t="shared" si="281"/>
        <v>0.985994217557289</v>
      </c>
      <c r="AT273" s="1118">
        <f>1500000000/2</f>
        <v>750000000</v>
      </c>
      <c r="AU273" s="993">
        <f t="shared" si="296"/>
        <v>379893533</v>
      </c>
      <c r="AV273" s="1139">
        <f t="shared" si="287"/>
        <v>0.50652471066666671</v>
      </c>
      <c r="AW273" s="1140"/>
      <c r="AX273" s="1119"/>
      <c r="AY273" s="152" t="s">
        <v>302</v>
      </c>
      <c r="AZ273" s="1613" t="s">
        <v>926</v>
      </c>
      <c r="BA273" s="93"/>
      <c r="BB273" s="93"/>
    </row>
    <row r="274" spans="1:54" ht="52.5" customHeight="1">
      <c r="A274" s="353" t="s">
        <v>687</v>
      </c>
      <c r="B274" s="458" t="s">
        <v>858</v>
      </c>
      <c r="C274" s="1611">
        <v>0</v>
      </c>
      <c r="D274" s="409">
        <v>1</v>
      </c>
      <c r="E274" s="409">
        <v>0</v>
      </c>
      <c r="F274" s="307">
        <v>0</v>
      </c>
      <c r="G274" s="147">
        <v>1</v>
      </c>
      <c r="H274" s="147">
        <v>0</v>
      </c>
      <c r="I274" s="147"/>
      <c r="J274" s="147"/>
      <c r="K274" s="147"/>
      <c r="L274" s="180" t="e">
        <f t="shared" si="292"/>
        <v>#DIV/0!</v>
      </c>
      <c r="M274" s="1090">
        <f t="shared" si="292"/>
        <v>1</v>
      </c>
      <c r="N274" s="864" t="s">
        <v>2163</v>
      </c>
      <c r="O274" s="2165"/>
      <c r="P274" s="1525"/>
      <c r="Q274" s="1220"/>
      <c r="R274" s="1221"/>
      <c r="S274" s="1013"/>
      <c r="T274" s="1013"/>
      <c r="U274" s="1526"/>
      <c r="V274" s="1526"/>
      <c r="W274" s="1017"/>
      <c r="X274" s="1526"/>
      <c r="Y274" s="2051">
        <v>1.1000000000000001</v>
      </c>
      <c r="Z274" s="1008">
        <f t="shared" si="286"/>
        <v>1</v>
      </c>
      <c r="AA274" s="1438">
        <f t="shared" si="294"/>
        <v>0.90909090909090906</v>
      </c>
      <c r="AB274" s="479">
        <v>0.1</v>
      </c>
      <c r="AC274" s="504">
        <v>0.1</v>
      </c>
      <c r="AD274" s="2383">
        <v>0</v>
      </c>
      <c r="AE274" s="1693">
        <v>0</v>
      </c>
      <c r="AF274" s="377">
        <v>0</v>
      </c>
      <c r="AG274" s="2106">
        <v>17289393</v>
      </c>
      <c r="AH274" s="2153">
        <v>0</v>
      </c>
      <c r="AI274" s="1993" t="e">
        <f t="shared" si="279"/>
        <v>#DIV/0!</v>
      </c>
      <c r="AJ274" s="377">
        <v>0</v>
      </c>
      <c r="AK274" s="1693">
        <v>13862275</v>
      </c>
      <c r="AL274" s="1699">
        <v>0</v>
      </c>
      <c r="AM274" s="1134" t="e">
        <f t="shared" si="280"/>
        <v>#DIV/0!</v>
      </c>
      <c r="AN274" s="997">
        <f t="shared" si="295"/>
        <v>0</v>
      </c>
      <c r="AO274" s="1612">
        <v>0</v>
      </c>
      <c r="AP274" s="2094">
        <v>0</v>
      </c>
      <c r="AQ274" s="2146">
        <v>3427118</v>
      </c>
      <c r="AR274" s="2146">
        <v>3268249</v>
      </c>
      <c r="AS274" s="2386">
        <f t="shared" si="281"/>
        <v>0.95364355706456561</v>
      </c>
      <c r="AT274" s="1118">
        <f>600000000/3</f>
        <v>200000000</v>
      </c>
      <c r="AU274" s="993">
        <f t="shared" si="296"/>
        <v>17130524</v>
      </c>
      <c r="AV274" s="1139">
        <f t="shared" si="287"/>
        <v>8.5652619999999999E-2</v>
      </c>
      <c r="AW274" s="1140"/>
      <c r="AX274" s="1119"/>
      <c r="AY274" s="152" t="s">
        <v>302</v>
      </c>
      <c r="AZ274" s="2292" t="s">
        <v>926</v>
      </c>
      <c r="BA274" s="93"/>
      <c r="BB274" s="93"/>
    </row>
    <row r="275" spans="1:54" ht="51" customHeight="1">
      <c r="A275" s="353" t="s">
        <v>688</v>
      </c>
      <c r="B275" s="458" t="s">
        <v>859</v>
      </c>
      <c r="C275" s="1611">
        <v>3</v>
      </c>
      <c r="D275" s="409">
        <v>2</v>
      </c>
      <c r="E275" s="409">
        <v>2</v>
      </c>
      <c r="F275" s="307">
        <v>3</v>
      </c>
      <c r="G275" s="147">
        <v>3</v>
      </c>
      <c r="H275" s="147">
        <v>2</v>
      </c>
      <c r="I275" s="147"/>
      <c r="J275" s="147"/>
      <c r="K275" s="147"/>
      <c r="L275" s="180">
        <f t="shared" si="292"/>
        <v>1</v>
      </c>
      <c r="M275" s="1090">
        <f t="shared" si="292"/>
        <v>1</v>
      </c>
      <c r="N275" s="821">
        <f t="shared" si="293"/>
        <v>1</v>
      </c>
      <c r="O275" s="2165" t="s">
        <v>2413</v>
      </c>
      <c r="P275" s="1525"/>
      <c r="Q275" s="2041" t="s">
        <v>2183</v>
      </c>
      <c r="R275" s="1015"/>
      <c r="S275" s="1013" t="s">
        <v>2182</v>
      </c>
      <c r="T275" s="2037" t="s">
        <v>2240</v>
      </c>
      <c r="U275" s="1526"/>
      <c r="V275" s="1526"/>
      <c r="W275" s="1017"/>
      <c r="X275" s="1526"/>
      <c r="Y275" s="307">
        <v>8</v>
      </c>
      <c r="Z275" s="1008">
        <f t="shared" si="286"/>
        <v>8</v>
      </c>
      <c r="AA275" s="1438">
        <f t="shared" si="294"/>
        <v>1</v>
      </c>
      <c r="AB275" s="479">
        <v>0.1</v>
      </c>
      <c r="AC275" s="504">
        <v>0.1</v>
      </c>
      <c r="AD275" s="2383">
        <v>0.12</v>
      </c>
      <c r="AE275" s="1693">
        <v>50000000</v>
      </c>
      <c r="AF275" s="377">
        <v>10800000</v>
      </c>
      <c r="AG275" s="2106">
        <v>19689393</v>
      </c>
      <c r="AH275" s="2153">
        <v>49150353</v>
      </c>
      <c r="AI275" s="1993">
        <f t="shared" si="279"/>
        <v>0.98300706000000004</v>
      </c>
      <c r="AJ275" s="377">
        <v>10800000</v>
      </c>
      <c r="AK275" s="1693">
        <v>18662275</v>
      </c>
      <c r="AL275" s="1699">
        <v>48404799</v>
      </c>
      <c r="AM275" s="1134">
        <f t="shared" si="280"/>
        <v>0.96809597999999997</v>
      </c>
      <c r="AN275" s="997">
        <f t="shared" si="295"/>
        <v>745554</v>
      </c>
      <c r="AO275" s="1612">
        <v>0</v>
      </c>
      <c r="AP275" s="2094">
        <v>0</v>
      </c>
      <c r="AQ275" s="2146">
        <v>1027118</v>
      </c>
      <c r="AR275" s="2146">
        <v>868249</v>
      </c>
      <c r="AS275" s="2386">
        <f t="shared" si="281"/>
        <v>0.84532546406547249</v>
      </c>
      <c r="AT275" s="1118">
        <f t="shared" ref="AT275:AT276" si="297">600000000/3</f>
        <v>200000000</v>
      </c>
      <c r="AU275" s="993">
        <f t="shared" si="296"/>
        <v>78735323</v>
      </c>
      <c r="AV275" s="1139">
        <f t="shared" si="287"/>
        <v>0.39367661500000001</v>
      </c>
      <c r="AW275" s="1140"/>
      <c r="AX275" s="1119"/>
      <c r="AY275" s="152" t="s">
        <v>302</v>
      </c>
      <c r="AZ275" s="2289"/>
      <c r="BA275" s="93"/>
      <c r="BB275" s="93"/>
    </row>
    <row r="276" spans="1:54" ht="51" customHeight="1">
      <c r="A276" s="353" t="s">
        <v>689</v>
      </c>
      <c r="B276" s="458" t="s">
        <v>860</v>
      </c>
      <c r="C276" s="1611">
        <v>3</v>
      </c>
      <c r="D276" s="409">
        <v>4</v>
      </c>
      <c r="E276" s="409">
        <v>7</v>
      </c>
      <c r="F276" s="307">
        <v>2</v>
      </c>
      <c r="G276" s="147">
        <v>4</v>
      </c>
      <c r="H276" s="147">
        <v>7</v>
      </c>
      <c r="I276" s="147">
        <v>1</v>
      </c>
      <c r="J276" s="147"/>
      <c r="K276" s="147"/>
      <c r="L276" s="180">
        <f t="shared" si="292"/>
        <v>1</v>
      </c>
      <c r="M276" s="1090">
        <f t="shared" si="292"/>
        <v>1</v>
      </c>
      <c r="N276" s="821">
        <f t="shared" si="293"/>
        <v>1</v>
      </c>
      <c r="O276" s="2165" t="s">
        <v>2414</v>
      </c>
      <c r="P276" s="1525"/>
      <c r="Q276" s="2041" t="s">
        <v>2183</v>
      </c>
      <c r="R276" s="1015"/>
      <c r="S276" s="1013" t="s">
        <v>2182</v>
      </c>
      <c r="T276" s="2046" t="s">
        <v>2241</v>
      </c>
      <c r="U276" s="1526"/>
      <c r="V276" s="1526"/>
      <c r="W276" s="1017"/>
      <c r="X276" s="1526"/>
      <c r="Y276" s="307">
        <v>21</v>
      </c>
      <c r="Z276" s="1008">
        <f t="shared" si="286"/>
        <v>14</v>
      </c>
      <c r="AA276" s="1438">
        <f t="shared" si="294"/>
        <v>0.66666666666666663</v>
      </c>
      <c r="AB276" s="479">
        <v>0.1</v>
      </c>
      <c r="AC276" s="504">
        <v>0.1</v>
      </c>
      <c r="AD276" s="2383">
        <v>0.12</v>
      </c>
      <c r="AE276" s="1693">
        <v>80000000</v>
      </c>
      <c r="AF276" s="377">
        <v>22800000</v>
      </c>
      <c r="AG276" s="2106">
        <v>19689393</v>
      </c>
      <c r="AH276" s="2153">
        <v>79282350</v>
      </c>
      <c r="AI276" s="1993">
        <f t="shared" si="279"/>
        <v>0.99102937499999999</v>
      </c>
      <c r="AJ276" s="377">
        <v>18000000</v>
      </c>
      <c r="AK276" s="1693">
        <v>18662275</v>
      </c>
      <c r="AL276" s="1699">
        <v>78086357</v>
      </c>
      <c r="AM276" s="1134">
        <f t="shared" si="280"/>
        <v>0.97607946249999999</v>
      </c>
      <c r="AN276" s="997">
        <f t="shared" si="295"/>
        <v>1195993</v>
      </c>
      <c r="AO276" s="1612">
        <v>4800000</v>
      </c>
      <c r="AP276" s="2094">
        <v>2400000</v>
      </c>
      <c r="AQ276" s="2146">
        <v>1027118</v>
      </c>
      <c r="AR276" s="2146">
        <v>868249</v>
      </c>
      <c r="AS276" s="2386">
        <f t="shared" si="281"/>
        <v>0.84532546406547249</v>
      </c>
      <c r="AT276" s="1118">
        <f t="shared" si="297"/>
        <v>200000000</v>
      </c>
      <c r="AU276" s="993">
        <f t="shared" si="296"/>
        <v>118016881</v>
      </c>
      <c r="AV276" s="1139">
        <f t="shared" si="287"/>
        <v>0.59008440500000003</v>
      </c>
      <c r="AW276" s="1140"/>
      <c r="AX276" s="1119"/>
      <c r="AY276" s="152" t="s">
        <v>302</v>
      </c>
      <c r="AZ276" s="2290"/>
      <c r="BA276" s="93"/>
      <c r="BB276" s="93"/>
    </row>
    <row r="277" spans="1:54" ht="67.5" customHeight="1" thickBot="1">
      <c r="A277" s="1645" t="s">
        <v>690</v>
      </c>
      <c r="B277" s="1646" t="s">
        <v>861</v>
      </c>
      <c r="C277" s="1647">
        <v>1</v>
      </c>
      <c r="D277" s="853">
        <v>1</v>
      </c>
      <c r="E277" s="410">
        <v>1</v>
      </c>
      <c r="F277" s="1648">
        <v>0.59</v>
      </c>
      <c r="G277" s="208">
        <v>0.9</v>
      </c>
      <c r="H277" s="182">
        <v>0.9</v>
      </c>
      <c r="I277" s="208">
        <v>0.41</v>
      </c>
      <c r="J277" s="208"/>
      <c r="K277" s="208"/>
      <c r="L277" s="1021">
        <f t="shared" si="292"/>
        <v>1</v>
      </c>
      <c r="M277" s="1090">
        <f t="shared" si="292"/>
        <v>0.9</v>
      </c>
      <c r="N277" s="821">
        <f t="shared" si="293"/>
        <v>0.9</v>
      </c>
      <c r="O277" s="2384" t="s">
        <v>2415</v>
      </c>
      <c r="P277" s="1525"/>
      <c r="Q277" s="2041" t="s">
        <v>2183</v>
      </c>
      <c r="R277" s="1015"/>
      <c r="S277" s="1013" t="s">
        <v>2182</v>
      </c>
      <c r="T277" s="2038" t="s">
        <v>2242</v>
      </c>
      <c r="U277" s="1526"/>
      <c r="V277" s="1526"/>
      <c r="W277" s="1223"/>
      <c r="X277" s="1526"/>
      <c r="Y277" s="1648">
        <v>4</v>
      </c>
      <c r="Z277" s="1139">
        <f t="shared" si="286"/>
        <v>2.8000000000000003</v>
      </c>
      <c r="AA277" s="1430">
        <f t="shared" si="294"/>
        <v>0.70000000000000007</v>
      </c>
      <c r="AB277" s="1696">
        <v>0.2</v>
      </c>
      <c r="AC277" s="902">
        <v>0.2</v>
      </c>
      <c r="AD277" s="2383">
        <v>0.22</v>
      </c>
      <c r="AE277" s="1697">
        <v>220000000</v>
      </c>
      <c r="AF277" s="1698">
        <v>78400000</v>
      </c>
      <c r="AG277" s="2107">
        <v>198446960</v>
      </c>
      <c r="AH277" s="2153">
        <v>218636403</v>
      </c>
      <c r="AI277" s="1997">
        <f t="shared" si="279"/>
        <v>0.99380183181818182</v>
      </c>
      <c r="AJ277" s="1698">
        <v>60600000</v>
      </c>
      <c r="AK277" s="1699">
        <v>186611376</v>
      </c>
      <c r="AL277" s="1699">
        <v>215359071</v>
      </c>
      <c r="AM277" s="1134">
        <f t="shared" si="280"/>
        <v>0.97890486818181821</v>
      </c>
      <c r="AN277" s="997">
        <f t="shared" si="295"/>
        <v>3277332</v>
      </c>
      <c r="AO277" s="1700">
        <v>17800000</v>
      </c>
      <c r="AP277" s="2385">
        <v>17800000</v>
      </c>
      <c r="AQ277" s="2146">
        <v>11835584</v>
      </c>
      <c r="AR277" s="2146">
        <v>11041236</v>
      </c>
      <c r="AS277" s="2387">
        <f t="shared" si="281"/>
        <v>0.93288476512861551</v>
      </c>
      <c r="AT277" s="1138">
        <v>1000000000</v>
      </c>
      <c r="AU277" s="993">
        <f t="shared" si="296"/>
        <v>491411683</v>
      </c>
      <c r="AV277" s="1139">
        <f t="shared" si="287"/>
        <v>0.49141168299999999</v>
      </c>
      <c r="AW277" s="1140"/>
      <c r="AX277" s="1140"/>
      <c r="AY277" s="189" t="s">
        <v>302</v>
      </c>
      <c r="AZ277" s="1694" t="s">
        <v>926</v>
      </c>
      <c r="BA277" s="1037"/>
      <c r="BB277" s="1037"/>
    </row>
    <row r="278" spans="1:54" s="617" customFormat="1" ht="38.25" customHeight="1" thickBot="1">
      <c r="A278" s="1065" t="s">
        <v>445</v>
      </c>
      <c r="B278" s="1066"/>
      <c r="C278" s="862"/>
      <c r="D278" s="835"/>
      <c r="E278" s="222"/>
      <c r="F278" s="1067"/>
      <c r="G278" s="862"/>
      <c r="H278" s="129"/>
      <c r="I278" s="862"/>
      <c r="J278" s="862"/>
      <c r="K278" s="862"/>
      <c r="L278" s="1077">
        <f>+(L279*AB279)+(L282*AB282)+(L284*AB284)</f>
        <v>1</v>
      </c>
      <c r="M278" s="1068">
        <f>+(M279*AC279)+(M282*AC282)+(M284*AC284)</f>
        <v>1</v>
      </c>
      <c r="N278" s="1068">
        <f>+(N279*AD279)+(N282*AD282)+(N284*AD284)</f>
        <v>0.97836000000000001</v>
      </c>
      <c r="O278" s="1069"/>
      <c r="P278" s="1463"/>
      <c r="Q278" s="1071"/>
      <c r="R278" s="1069"/>
      <c r="S278" s="1069"/>
      <c r="T278" s="1464"/>
      <c r="U278" s="1464"/>
      <c r="V278" s="1464"/>
      <c r="W278" s="1072"/>
      <c r="X278" s="1464"/>
      <c r="Y278" s="1465"/>
      <c r="Z278" s="1075">
        <f t="shared" si="286"/>
        <v>0</v>
      </c>
      <c r="AA278" s="1246">
        <f>+(AA279*AB279)+(AA282*AB282)+(AA284*AB284)</f>
        <v>0.73957333333333342</v>
      </c>
      <c r="AB278" s="1077">
        <v>0.1</v>
      </c>
      <c r="AC278" s="883">
        <v>0.1</v>
      </c>
      <c r="AD278" s="470">
        <v>0.1</v>
      </c>
      <c r="AE278" s="1078">
        <v>705000000</v>
      </c>
      <c r="AF278" s="1078">
        <f>+AF279+AF282+AF284</f>
        <v>591605825</v>
      </c>
      <c r="AG278" s="1066">
        <f>+AG279+AG282+AG284</f>
        <v>635300006.66000009</v>
      </c>
      <c r="AH278" s="2114">
        <f>+AH279+AH282+AH284</f>
        <v>704630138</v>
      </c>
      <c r="AI278" s="1986">
        <f t="shared" si="279"/>
        <v>0.9994753730496454</v>
      </c>
      <c r="AJ278" s="1078">
        <f>+AJ279+AJ282+AJ284</f>
        <v>393646071</v>
      </c>
      <c r="AK278" s="1078">
        <f>+AK279+AK282+AK284</f>
        <v>609235528</v>
      </c>
      <c r="AL278" s="1078">
        <f>+AL279+AL282+AL284</f>
        <v>693090185</v>
      </c>
      <c r="AM278" s="1068">
        <f t="shared" si="280"/>
        <v>0.98310664539007098</v>
      </c>
      <c r="AN278" s="1066">
        <f>+AN279+AN282+AN284</f>
        <v>11539953</v>
      </c>
      <c r="AO278" s="1069">
        <f>+AO279+AO282+AO284</f>
        <v>197959754</v>
      </c>
      <c r="AP278" s="1078">
        <f>+AP279+AP282+AP284</f>
        <v>160182330</v>
      </c>
      <c r="AQ278" s="2388">
        <f>+AQ279+AQ282+AQ284</f>
        <v>26064478.66</v>
      </c>
      <c r="AR278" s="2388">
        <f>+AR279+AR282+AR284</f>
        <v>21146435</v>
      </c>
      <c r="AS278" s="1080">
        <f t="shared" si="281"/>
        <v>0.81131241011363475</v>
      </c>
      <c r="AT278" s="1078">
        <f t="shared" ref="AT278:AU278" si="298">+AT279+AT282+AT284</f>
        <v>3000000000</v>
      </c>
      <c r="AU278" s="1078">
        <f t="shared" si="298"/>
        <v>1877300549</v>
      </c>
      <c r="AV278" s="1077">
        <f t="shared" si="287"/>
        <v>0.62576684966666662</v>
      </c>
      <c r="AW278" s="1071"/>
      <c r="AX278" s="1071" t="s">
        <v>301</v>
      </c>
      <c r="AY278" s="1069"/>
      <c r="AZ278" s="1066"/>
      <c r="BA278" s="1082"/>
      <c r="BB278" s="1082"/>
    </row>
    <row r="279" spans="1:54" ht="36" customHeight="1" thickBot="1">
      <c r="A279" s="331" t="s">
        <v>502</v>
      </c>
      <c r="B279" s="437"/>
      <c r="C279" s="873"/>
      <c r="D279" s="849"/>
      <c r="E279" s="223"/>
      <c r="F279" s="1572"/>
      <c r="G279" s="873"/>
      <c r="H279" s="139"/>
      <c r="I279" s="873"/>
      <c r="J279" s="873"/>
      <c r="K279" s="873"/>
      <c r="L279" s="294">
        <f>+SUMPRODUCT(L280:L281,AB280:AB281)</f>
        <v>1</v>
      </c>
      <c r="M279" s="1573">
        <f>+SUMPRODUCT(M280:M281,AC280:AC281)</f>
        <v>1</v>
      </c>
      <c r="N279" s="1573">
        <f>+SUMPRODUCT(N280:N281,AD280:AD281)</f>
        <v>1</v>
      </c>
      <c r="O279" s="965"/>
      <c r="P279" s="1575"/>
      <c r="Q279" s="243"/>
      <c r="R279" s="1576"/>
      <c r="S279" s="1576"/>
      <c r="T279" s="1577"/>
      <c r="U279" s="1577"/>
      <c r="V279" s="1577"/>
      <c r="W279" s="1578"/>
      <c r="X279" s="1577"/>
      <c r="Y279" s="2415"/>
      <c r="Z279" s="261">
        <f t="shared" si="286"/>
        <v>0</v>
      </c>
      <c r="AA279" s="1580">
        <f>+SUMPRODUCT(AA280:AA281,AB280:AB281)</f>
        <v>0.73333333333333339</v>
      </c>
      <c r="AB279" s="294">
        <v>0.4</v>
      </c>
      <c r="AC279" s="899">
        <v>0.4</v>
      </c>
      <c r="AD279" s="471">
        <v>0.4</v>
      </c>
      <c r="AE279" s="1581">
        <v>325000000</v>
      </c>
      <c r="AF279" s="1581">
        <f>SUM(AF280:AF281)</f>
        <v>296655825</v>
      </c>
      <c r="AG279" s="437">
        <f>SUM(AG280:AG281)</f>
        <v>276893920</v>
      </c>
      <c r="AH279" s="2115">
        <f>SUM(AH280:AH281)</f>
        <v>324832028</v>
      </c>
      <c r="AI279" s="1992">
        <f t="shared" si="279"/>
        <v>0.99948316307692309</v>
      </c>
      <c r="AJ279" s="1581">
        <f>SUM(AJ280:AJ281)</f>
        <v>193096071</v>
      </c>
      <c r="AK279" s="1581">
        <f>SUM(AK280:AK281)</f>
        <v>266622752</v>
      </c>
      <c r="AL279" s="1976">
        <f>SUM(AL280:AL281)</f>
        <v>319554566</v>
      </c>
      <c r="AM279" s="1595">
        <f t="shared" si="280"/>
        <v>0.98324481846153844</v>
      </c>
      <c r="AN279" s="1584">
        <f>SUM(AN280:AN281)</f>
        <v>5277462</v>
      </c>
      <c r="AO279" s="1576">
        <f>SUM(AO280:AO281)</f>
        <v>103559754</v>
      </c>
      <c r="AP279" s="1581">
        <f>SUM(AP280:AP281)</f>
        <v>95782330</v>
      </c>
      <c r="AQ279" s="2421">
        <f>SUM(AQ280:AQ281)</f>
        <v>10271168</v>
      </c>
      <c r="AR279" s="1581">
        <f>SUM(AR280:AR281)</f>
        <v>8682472</v>
      </c>
      <c r="AS279" s="613">
        <f t="shared" si="281"/>
        <v>0.84532469919681963</v>
      </c>
      <c r="AT279" s="1581">
        <f t="shared" ref="AT279:AU279" si="299">SUM(AT280:AT281)</f>
        <v>1400000000</v>
      </c>
      <c r="AU279" s="1581">
        <f t="shared" si="299"/>
        <v>883738191</v>
      </c>
      <c r="AV279" s="1586">
        <f t="shared" si="287"/>
        <v>0.63124156499999995</v>
      </c>
      <c r="AW279" s="1587"/>
      <c r="AX279" s="1588"/>
      <c r="AY279" s="1589"/>
      <c r="AZ279" s="1584"/>
      <c r="BA279" s="1590"/>
      <c r="BB279" s="1590"/>
    </row>
    <row r="280" spans="1:54" ht="55.5" customHeight="1">
      <c r="A280" s="352" t="s">
        <v>691</v>
      </c>
      <c r="B280" s="457" t="s">
        <v>862</v>
      </c>
      <c r="C280" s="1600">
        <v>1</v>
      </c>
      <c r="D280" s="408">
        <v>1</v>
      </c>
      <c r="E280" s="408">
        <v>1</v>
      </c>
      <c r="F280" s="305">
        <v>1</v>
      </c>
      <c r="G280" s="182">
        <v>1</v>
      </c>
      <c r="H280" s="182">
        <v>1</v>
      </c>
      <c r="I280" s="147"/>
      <c r="J280" s="147"/>
      <c r="K280" s="147"/>
      <c r="L280" s="180">
        <f>IF((F280+I280)/C280&gt;=100%,100%,(F280+I280)/C280)</f>
        <v>1</v>
      </c>
      <c r="M280" s="1090">
        <f>IF((G280+J280)/D280&gt;=100%,100%,(G280+J280)/D280)</f>
        <v>1</v>
      </c>
      <c r="N280" s="821">
        <f t="shared" ref="N280:N285" si="300">IF((H280/E280)&gt;=100%,100%,(H280/E280))</f>
        <v>1</v>
      </c>
      <c r="O280" s="2165" t="s">
        <v>2416</v>
      </c>
      <c r="P280" s="1507"/>
      <c r="Q280" s="2041" t="s">
        <v>2183</v>
      </c>
      <c r="R280" s="1015"/>
      <c r="S280" s="1013" t="s">
        <v>2182</v>
      </c>
      <c r="T280" s="195" t="s">
        <v>2243</v>
      </c>
      <c r="U280" s="195"/>
      <c r="V280" s="195"/>
      <c r="W280" s="150"/>
      <c r="X280" s="195"/>
      <c r="Y280" s="2416">
        <v>4</v>
      </c>
      <c r="Z280" s="1010">
        <f t="shared" si="286"/>
        <v>3</v>
      </c>
      <c r="AA280" s="1438">
        <f t="shared" ref="AA280:AA281" si="301">IF(Z280/Y280&gt;=100%,100%,Z280/Y280)</f>
        <v>0.75</v>
      </c>
      <c r="AB280" s="1636">
        <v>0.8</v>
      </c>
      <c r="AC280" s="901">
        <v>0.8</v>
      </c>
      <c r="AD280" s="476">
        <v>0.8</v>
      </c>
      <c r="AE280" s="1702">
        <v>185000000</v>
      </c>
      <c r="AF280" s="377">
        <f>199350000+47994825</f>
        <v>247344825</v>
      </c>
      <c r="AG280" s="2108">
        <v>138446960</v>
      </c>
      <c r="AH280" s="2154">
        <v>184904170</v>
      </c>
      <c r="AI280" s="1993">
        <f t="shared" si="279"/>
        <v>0.99948199999999998</v>
      </c>
      <c r="AJ280" s="377">
        <v>159996071</v>
      </c>
      <c r="AK280" s="1702">
        <v>133311376</v>
      </c>
      <c r="AL280" s="1981">
        <v>181801172</v>
      </c>
      <c r="AM280" s="1134">
        <f t="shared" si="280"/>
        <v>0.98270903783783781</v>
      </c>
      <c r="AN280" s="997">
        <f t="shared" ref="AN280:AN281" si="302">+AH280-AL280</f>
        <v>3102998</v>
      </c>
      <c r="AO280" s="1612">
        <f>28998754+58350000</f>
        <v>87348754</v>
      </c>
      <c r="AP280" s="377">
        <f>25221330+54350000</f>
        <v>79571330</v>
      </c>
      <c r="AQ280" s="2422">
        <v>5135584</v>
      </c>
      <c r="AR280" s="2012">
        <v>4341236</v>
      </c>
      <c r="AS280" s="1089">
        <f t="shared" si="281"/>
        <v>0.84532469919681963</v>
      </c>
      <c r="AT280" s="1118">
        <f>1400000000/2</f>
        <v>700000000</v>
      </c>
      <c r="AU280" s="993">
        <f t="shared" ref="AU280:AU281" si="303">SUM(AJ280:AL280)+AR280+AP280</f>
        <v>559021185</v>
      </c>
      <c r="AV280" s="1134">
        <f t="shared" si="287"/>
        <v>0.79860169285714289</v>
      </c>
      <c r="AW280" s="1140"/>
      <c r="AX280" s="157"/>
      <c r="AY280" s="152" t="s">
        <v>302</v>
      </c>
      <c r="AZ280" s="1599" t="s">
        <v>890</v>
      </c>
      <c r="BA280" s="93"/>
      <c r="BB280" s="93"/>
    </row>
    <row r="281" spans="1:54" ht="59.25" customHeight="1" thickBot="1">
      <c r="A281" s="352" t="s">
        <v>692</v>
      </c>
      <c r="B281" s="457" t="s">
        <v>863</v>
      </c>
      <c r="C281" s="1600">
        <v>0.5</v>
      </c>
      <c r="D281" s="408">
        <v>1</v>
      </c>
      <c r="E281" s="408">
        <v>0.5</v>
      </c>
      <c r="F281" s="305">
        <v>0.5</v>
      </c>
      <c r="G281" s="182">
        <v>1</v>
      </c>
      <c r="H281" s="182">
        <v>0.5</v>
      </c>
      <c r="I281" s="147"/>
      <c r="J281" s="147"/>
      <c r="K281" s="147"/>
      <c r="L281" s="180">
        <f>IF((F281+I281)/C281&gt;=100%,100%,(F281+I281)/C281)</f>
        <v>1</v>
      </c>
      <c r="M281" s="1090">
        <f>IF((G281+J281)/D281&gt;=100%,100%,(G281+J281)/D281)</f>
        <v>1</v>
      </c>
      <c r="N281" s="821">
        <f t="shared" si="300"/>
        <v>1</v>
      </c>
      <c r="O281" s="2165" t="s">
        <v>2417</v>
      </c>
      <c r="P281" s="1507"/>
      <c r="Q281" s="2041" t="s">
        <v>2183</v>
      </c>
      <c r="R281" s="1015"/>
      <c r="S281" s="1013" t="s">
        <v>2182</v>
      </c>
      <c r="T281" s="195" t="s">
        <v>2244</v>
      </c>
      <c r="U281" s="195"/>
      <c r="V281" s="195"/>
      <c r="W281" s="150"/>
      <c r="X281" s="195"/>
      <c r="Y281" s="2416">
        <v>3</v>
      </c>
      <c r="Z281" s="1010">
        <f t="shared" si="286"/>
        <v>2</v>
      </c>
      <c r="AA281" s="1438">
        <f t="shared" si="301"/>
        <v>0.66666666666666663</v>
      </c>
      <c r="AB281" s="1636">
        <v>0.2</v>
      </c>
      <c r="AC281" s="901">
        <v>0.2</v>
      </c>
      <c r="AD281" s="476">
        <v>0.2</v>
      </c>
      <c r="AE281" s="1702">
        <v>140000000</v>
      </c>
      <c r="AF281" s="377">
        <v>49311000</v>
      </c>
      <c r="AG281" s="2108">
        <v>138446960</v>
      </c>
      <c r="AH281" s="2154">
        <v>139927858</v>
      </c>
      <c r="AI281" s="1993">
        <f t="shared" si="279"/>
        <v>0.9994847</v>
      </c>
      <c r="AJ281" s="377">
        <v>33100000</v>
      </c>
      <c r="AK281" s="1702">
        <v>133311376</v>
      </c>
      <c r="AL281" s="1981">
        <v>137753394</v>
      </c>
      <c r="AM281" s="1134">
        <f t="shared" si="280"/>
        <v>0.98395281428571424</v>
      </c>
      <c r="AN281" s="997">
        <f t="shared" si="302"/>
        <v>2174464</v>
      </c>
      <c r="AO281" s="1612">
        <v>16211000</v>
      </c>
      <c r="AP281" s="2094">
        <v>16211000</v>
      </c>
      <c r="AQ281" s="2146">
        <v>5135584</v>
      </c>
      <c r="AR281" s="2420">
        <v>4341236</v>
      </c>
      <c r="AS281" s="2386">
        <f t="shared" si="281"/>
        <v>0.84532469919681963</v>
      </c>
      <c r="AT281" s="1118">
        <f>1400000000/2</f>
        <v>700000000</v>
      </c>
      <c r="AU281" s="993">
        <f t="shared" si="303"/>
        <v>324717006</v>
      </c>
      <c r="AV281" s="1139">
        <f t="shared" si="287"/>
        <v>0.46388143714285712</v>
      </c>
      <c r="AW281" s="1140"/>
      <c r="AX281" s="157"/>
      <c r="AY281" s="152" t="s">
        <v>302</v>
      </c>
      <c r="AZ281" s="1599" t="s">
        <v>890</v>
      </c>
      <c r="BA281" s="93"/>
      <c r="BB281" s="93"/>
    </row>
    <row r="282" spans="1:54" ht="33.75" customHeight="1" thickBot="1">
      <c r="A282" s="315" t="s">
        <v>503</v>
      </c>
      <c r="B282" s="138"/>
      <c r="C282" s="139"/>
      <c r="D282" s="223"/>
      <c r="E282" s="223"/>
      <c r="F282" s="212"/>
      <c r="G282" s="139"/>
      <c r="H282" s="139"/>
      <c r="I282" s="139"/>
      <c r="J282" s="139"/>
      <c r="K282" s="139"/>
      <c r="L282" s="140">
        <f>+SUMPRODUCT(L283:L283,AB283:AB283)</f>
        <v>1</v>
      </c>
      <c r="M282" s="161">
        <f>+SUMPRODUCT(M283:M283,AC283:AC283)</f>
        <v>1</v>
      </c>
      <c r="N282" s="161">
        <f>+SUMPRODUCT(N283:N283,AD283:AD283)</f>
        <v>0.89180000000000004</v>
      </c>
      <c r="O282" s="965"/>
      <c r="P282" s="1619"/>
      <c r="Q282" s="141"/>
      <c r="R282" s="142"/>
      <c r="S282" s="142"/>
      <c r="T282" s="194"/>
      <c r="U282" s="194"/>
      <c r="V282" s="194"/>
      <c r="W282" s="163"/>
      <c r="X282" s="194"/>
      <c r="Y282" s="2417"/>
      <c r="Z282" s="261">
        <f t="shared" si="286"/>
        <v>0</v>
      </c>
      <c r="AA282" s="177">
        <f>+SUMPRODUCT(AA283:AA283,AB283:AB283)</f>
        <v>0.73120000000000007</v>
      </c>
      <c r="AB282" s="140">
        <v>0.2</v>
      </c>
      <c r="AC282" s="471">
        <v>0.2</v>
      </c>
      <c r="AD282" s="471">
        <v>0.2</v>
      </c>
      <c r="AE282" s="1453">
        <v>100000000</v>
      </c>
      <c r="AF282" s="1453">
        <f>SUM(AF283)</f>
        <v>79200000</v>
      </c>
      <c r="AG282" s="138">
        <f>SUM(AG283)</f>
        <v>84068979</v>
      </c>
      <c r="AH282" s="2115">
        <f>SUM(AH283)</f>
        <v>99948316</v>
      </c>
      <c r="AI282" s="1990">
        <f t="shared" si="279"/>
        <v>0.99948316000000004</v>
      </c>
      <c r="AJ282" s="1453">
        <f>SUM(AJ283)</f>
        <v>63100000</v>
      </c>
      <c r="AK282" s="138">
        <f>SUM(AK283)</f>
        <v>80987179</v>
      </c>
      <c r="AL282" s="2115">
        <f>SUM(AL283)</f>
        <v>98274789</v>
      </c>
      <c r="AM282" s="2426">
        <f t="shared" si="280"/>
        <v>0.98274788999999996</v>
      </c>
      <c r="AN282" s="145">
        <f>SUM(AN283)</f>
        <v>1673527</v>
      </c>
      <c r="AO282" s="142">
        <f>SUM(AO283)</f>
        <v>16100000</v>
      </c>
      <c r="AP282" s="138">
        <f>SUM(AP283)</f>
        <v>16100000</v>
      </c>
      <c r="AQ282" s="2423">
        <f>SUM(AQ283)</f>
        <v>3081800</v>
      </c>
      <c r="AR282" s="2419">
        <f>SUM(AR283)</f>
        <v>2605226</v>
      </c>
      <c r="AS282" s="2410">
        <f t="shared" si="281"/>
        <v>0.84535855668765003</v>
      </c>
      <c r="AT282" s="1453">
        <f t="shared" ref="AT282:AU282" si="304">SUM(AT283)</f>
        <v>400000000</v>
      </c>
      <c r="AU282" s="1453">
        <f t="shared" si="304"/>
        <v>261067194</v>
      </c>
      <c r="AV282" s="1455">
        <f t="shared" si="287"/>
        <v>0.65266798500000001</v>
      </c>
      <c r="AW282" s="179"/>
      <c r="AX282" s="165"/>
      <c r="AY282" s="553"/>
      <c r="AZ282" s="145"/>
      <c r="BA282" s="98"/>
      <c r="BB282" s="98"/>
    </row>
    <row r="283" spans="1:54" ht="47.25" customHeight="1" thickBot="1">
      <c r="A283" s="353" t="s">
        <v>693</v>
      </c>
      <c r="B283" s="458" t="s">
        <v>864</v>
      </c>
      <c r="C283" s="1600">
        <v>1</v>
      </c>
      <c r="D283" s="408">
        <v>1</v>
      </c>
      <c r="E283" s="408">
        <v>1</v>
      </c>
      <c r="F283" s="305">
        <v>0.88</v>
      </c>
      <c r="G283" s="182">
        <v>0.91300000000000003</v>
      </c>
      <c r="H283" s="682">
        <v>0.89180000000000004</v>
      </c>
      <c r="I283" s="182">
        <v>0.12</v>
      </c>
      <c r="J283" s="182">
        <v>0.12</v>
      </c>
      <c r="K283" s="182"/>
      <c r="L283" s="180">
        <f>IF((F283+I283)/C283&gt;=100%,100%,(F283+I283)/C283)</f>
        <v>1</v>
      </c>
      <c r="M283" s="1090">
        <f t="shared" ref="M283" si="305">IF((G283+J283)/D283&gt;=100%,100%,(G283+J283)/D283)</f>
        <v>1</v>
      </c>
      <c r="N283" s="821">
        <f t="shared" si="300"/>
        <v>0.89180000000000004</v>
      </c>
      <c r="O283" s="2165" t="s">
        <v>2418</v>
      </c>
      <c r="P283" s="1507"/>
      <c r="Q283" s="2041" t="s">
        <v>2183</v>
      </c>
      <c r="R283" s="1015"/>
      <c r="S283" s="1013" t="s">
        <v>2182</v>
      </c>
      <c r="T283" s="2038" t="s">
        <v>2245</v>
      </c>
      <c r="U283" s="195"/>
      <c r="V283" s="195"/>
      <c r="W283" s="150"/>
      <c r="X283" s="195"/>
      <c r="Y283" s="2418">
        <v>4</v>
      </c>
      <c r="Z283" s="1010">
        <f t="shared" si="286"/>
        <v>2.9248000000000003</v>
      </c>
      <c r="AA283" s="1438">
        <f t="shared" ref="AA283" si="306">IF(Z283/Y283&gt;=100%,100%,Z283/Y283)</f>
        <v>0.73120000000000007</v>
      </c>
      <c r="AB283" s="410">
        <v>1</v>
      </c>
      <c r="AC283" s="505">
        <v>1</v>
      </c>
      <c r="AD283" s="505">
        <v>1</v>
      </c>
      <c r="AE283" s="545">
        <v>100000000</v>
      </c>
      <c r="AF283" s="377">
        <v>79200000</v>
      </c>
      <c r="AG283" s="2094">
        <v>84068979</v>
      </c>
      <c r="AH283" s="2146">
        <v>99948316</v>
      </c>
      <c r="AI283" s="1993">
        <f t="shared" si="279"/>
        <v>0.99948316000000004</v>
      </c>
      <c r="AJ283" s="377">
        <v>63100000</v>
      </c>
      <c r="AK283" s="545">
        <v>80987179</v>
      </c>
      <c r="AL283" s="1971">
        <v>98274789</v>
      </c>
      <c r="AM283" s="1134">
        <f t="shared" si="280"/>
        <v>0.98274788999999996</v>
      </c>
      <c r="AN283" s="997">
        <f>+AH283-AL283</f>
        <v>1673527</v>
      </c>
      <c r="AO283" s="1612">
        <v>16100000</v>
      </c>
      <c r="AP283" s="2094">
        <v>16100000</v>
      </c>
      <c r="AQ283" s="2146">
        <v>3081800</v>
      </c>
      <c r="AR283" s="2420">
        <v>2605226</v>
      </c>
      <c r="AS283" s="2386">
        <f t="shared" si="281"/>
        <v>0.84535855668765003</v>
      </c>
      <c r="AT283" s="1118">
        <v>400000000</v>
      </c>
      <c r="AU283" s="993">
        <f t="shared" ref="AU283" si="307">SUM(AJ283:AL283)+AR283+AP283</f>
        <v>261067194</v>
      </c>
      <c r="AV283" s="1139">
        <f t="shared" si="287"/>
        <v>0.65266798500000001</v>
      </c>
      <c r="AW283" s="1140"/>
      <c r="AX283" s="157"/>
      <c r="AY283" s="152" t="s">
        <v>302</v>
      </c>
      <c r="AZ283" s="1694" t="s">
        <v>926</v>
      </c>
      <c r="BA283" s="93"/>
      <c r="BB283" s="93"/>
    </row>
    <row r="284" spans="1:54" ht="32.25" customHeight="1" thickBot="1">
      <c r="A284" s="315" t="s">
        <v>504</v>
      </c>
      <c r="B284" s="138"/>
      <c r="C284" s="139"/>
      <c r="D284" s="223"/>
      <c r="E284" s="223"/>
      <c r="F284" s="212"/>
      <c r="G284" s="139"/>
      <c r="H284" s="139"/>
      <c r="I284" s="139"/>
      <c r="J284" s="139"/>
      <c r="K284" s="139"/>
      <c r="L284" s="140">
        <f>+SUMPRODUCT(L285:L285,AB285:AB285)</f>
        <v>1</v>
      </c>
      <c r="M284" s="161">
        <f>+SUMPRODUCT(M285:M285,AC285:AC285)</f>
        <v>1</v>
      </c>
      <c r="N284" s="161">
        <f>+SUMPRODUCT(N285:N285,AD285:AD285)</f>
        <v>1</v>
      </c>
      <c r="O284" s="965"/>
      <c r="P284" s="1619"/>
      <c r="Q284" s="141"/>
      <c r="R284" s="142"/>
      <c r="S284" s="142"/>
      <c r="T284" s="194"/>
      <c r="U284" s="194"/>
      <c r="V284" s="194"/>
      <c r="W284" s="163"/>
      <c r="X284" s="194"/>
      <c r="Y284" s="240"/>
      <c r="Z284" s="261">
        <f t="shared" si="286"/>
        <v>0</v>
      </c>
      <c r="AA284" s="177">
        <f>+SUMPRODUCT(AA285:AA285,AB285:AB285)</f>
        <v>0.75</v>
      </c>
      <c r="AB284" s="140">
        <v>0.4</v>
      </c>
      <c r="AC284" s="471">
        <v>0.4</v>
      </c>
      <c r="AD284" s="471">
        <v>0.4</v>
      </c>
      <c r="AE284" s="1453">
        <v>280000000</v>
      </c>
      <c r="AF284" s="1453">
        <f>SUM(AF285)</f>
        <v>215750000</v>
      </c>
      <c r="AG284" s="138">
        <f>SUM(AG285)</f>
        <v>274337107.66000003</v>
      </c>
      <c r="AH284" s="2115">
        <f>SUM(AH285)</f>
        <v>279849794</v>
      </c>
      <c r="AI284" s="1990">
        <f t="shared" si="279"/>
        <v>0.99946354999999998</v>
      </c>
      <c r="AJ284" s="1453">
        <f>SUM(AJ285)</f>
        <v>137450000</v>
      </c>
      <c r="AK284" s="1453">
        <f>SUM(AK285)</f>
        <v>261625597</v>
      </c>
      <c r="AL284" s="1975">
        <f>SUM(AL285)</f>
        <v>275260830</v>
      </c>
      <c r="AM284" s="1454">
        <f t="shared" si="280"/>
        <v>0.98307439285714282</v>
      </c>
      <c r="AN284" s="145">
        <f>SUM(AN285)</f>
        <v>4588964</v>
      </c>
      <c r="AO284" s="142">
        <f>SUM(AO285)</f>
        <v>78300000</v>
      </c>
      <c r="AP284" s="1453">
        <f>SUM(AP285)</f>
        <v>48300000</v>
      </c>
      <c r="AQ284" s="1581">
        <f>SUM(AQ285)</f>
        <v>12711510.66</v>
      </c>
      <c r="AR284" s="1581">
        <f>SUM(AR285)</f>
        <v>9858737</v>
      </c>
      <c r="AS284" s="613">
        <f t="shared" si="281"/>
        <v>0.77557556011206619</v>
      </c>
      <c r="AT284" s="1453">
        <f>SUM(AT285)</f>
        <v>1200000000</v>
      </c>
      <c r="AU284" s="1453">
        <f>SUM(AU285)</f>
        <v>732495164</v>
      </c>
      <c r="AV284" s="1455">
        <f t="shared" si="287"/>
        <v>0.61041263666666667</v>
      </c>
      <c r="AW284" s="179"/>
      <c r="AX284" s="165"/>
      <c r="AY284" s="553"/>
      <c r="AZ284" s="145"/>
      <c r="BA284" s="98"/>
      <c r="BB284" s="98"/>
    </row>
    <row r="285" spans="1:54" ht="74.25" customHeight="1" thickBot="1">
      <c r="A285" s="355" t="s">
        <v>694</v>
      </c>
      <c r="B285" s="310" t="s">
        <v>865</v>
      </c>
      <c r="C285" s="1703">
        <v>1</v>
      </c>
      <c r="D285" s="856">
        <v>1</v>
      </c>
      <c r="E285" s="408">
        <v>1</v>
      </c>
      <c r="F285" s="1704">
        <v>1</v>
      </c>
      <c r="G285" s="208">
        <v>1</v>
      </c>
      <c r="H285" s="182">
        <v>1</v>
      </c>
      <c r="I285" s="860"/>
      <c r="J285" s="860"/>
      <c r="K285" s="860"/>
      <c r="L285" s="1021">
        <f>IF((F285+I285)/C285&gt;=100%,100%,(F285+I285)/C285)</f>
        <v>1</v>
      </c>
      <c r="M285" s="1090">
        <f t="shared" ref="M285" si="308">IF((G285+J285)/D285&gt;=100%,100%,(G285+J285)/D285)</f>
        <v>1</v>
      </c>
      <c r="N285" s="821">
        <f t="shared" si="300"/>
        <v>1</v>
      </c>
      <c r="O285" s="2384" t="s">
        <v>2419</v>
      </c>
      <c r="P285" s="1507"/>
      <c r="Q285" s="2041" t="s">
        <v>2183</v>
      </c>
      <c r="R285" s="1015"/>
      <c r="S285" s="1013" t="s">
        <v>2182</v>
      </c>
      <c r="T285" s="2038" t="s">
        <v>2246</v>
      </c>
      <c r="U285" s="195"/>
      <c r="V285" s="195"/>
      <c r="W285" s="1024"/>
      <c r="X285" s="195"/>
      <c r="Y285" s="1648">
        <v>4</v>
      </c>
      <c r="Z285" s="1139">
        <f t="shared" si="286"/>
        <v>3</v>
      </c>
      <c r="AA285" s="1430">
        <f t="shared" ref="AA285" si="309">IF(Z285/Y285&gt;=100%,100%,Z285/Y285)</f>
        <v>0.75</v>
      </c>
      <c r="AB285" s="853">
        <v>1</v>
      </c>
      <c r="AC285" s="903">
        <v>1</v>
      </c>
      <c r="AD285" s="505">
        <v>1</v>
      </c>
      <c r="AE285" s="1604">
        <v>280000000</v>
      </c>
      <c r="AF285" s="1605">
        <v>215750000</v>
      </c>
      <c r="AG285" s="2011">
        <v>274337107.66000003</v>
      </c>
      <c r="AH285" s="2145">
        <v>279849794</v>
      </c>
      <c r="AI285" s="1997">
        <f t="shared" si="279"/>
        <v>0.99946354999999998</v>
      </c>
      <c r="AJ285" s="1605">
        <v>137450000</v>
      </c>
      <c r="AK285" s="2424">
        <v>261625597</v>
      </c>
      <c r="AL285" s="2145">
        <v>275260830</v>
      </c>
      <c r="AM285" s="2425">
        <f t="shared" si="280"/>
        <v>0.98307439285714282</v>
      </c>
      <c r="AN285" s="997">
        <f>+AH285-AL285</f>
        <v>4588964</v>
      </c>
      <c r="AO285" s="1606">
        <v>78300000</v>
      </c>
      <c r="AP285" s="1605">
        <v>48300000</v>
      </c>
      <c r="AQ285" s="2011">
        <v>12711510.66</v>
      </c>
      <c r="AR285" s="2145">
        <v>9858737</v>
      </c>
      <c r="AS285" s="2387">
        <f t="shared" si="281"/>
        <v>0.77557556011206619</v>
      </c>
      <c r="AT285" s="1138">
        <v>1200000000</v>
      </c>
      <c r="AU285" s="993">
        <f t="shared" ref="AU285" si="310">SUM(AJ285:AL285)+AR285+AP285</f>
        <v>732495164</v>
      </c>
      <c r="AV285" s="1139">
        <f t="shared" si="287"/>
        <v>0.61041263666666667</v>
      </c>
      <c r="AW285" s="173"/>
      <c r="AX285" s="173"/>
      <c r="AY285" s="189" t="s">
        <v>302</v>
      </c>
      <c r="AZ285" s="1607" t="s">
        <v>890</v>
      </c>
      <c r="BA285" s="1037"/>
      <c r="BB285" s="1037"/>
    </row>
    <row r="286" spans="1:54" s="617" customFormat="1" ht="57.75" customHeight="1" thickBot="1">
      <c r="A286" s="1065" t="s">
        <v>446</v>
      </c>
      <c r="B286" s="1066"/>
      <c r="C286" s="862"/>
      <c r="D286" s="835"/>
      <c r="E286" s="222"/>
      <c r="F286" s="1067"/>
      <c r="G286" s="862"/>
      <c r="H286" s="129"/>
      <c r="I286" s="862"/>
      <c r="J286" s="862"/>
      <c r="K286" s="862"/>
      <c r="L286" s="1077">
        <f>+(L287*0%)+(L289*100%)</f>
        <v>1</v>
      </c>
      <c r="M286" s="1068">
        <f>+(M287*AC287)+(M289*AC289)</f>
        <v>1</v>
      </c>
      <c r="N286" s="1068">
        <f>+(N287*AD287)+(N289*AD289)</f>
        <v>0.93337499999999984</v>
      </c>
      <c r="O286" s="1069"/>
      <c r="P286" s="1463"/>
      <c r="Q286" s="1071"/>
      <c r="R286" s="1069"/>
      <c r="S286" s="1069"/>
      <c r="T286" s="1464"/>
      <c r="U286" s="1464"/>
      <c r="V286" s="1464"/>
      <c r="W286" s="1072"/>
      <c r="X286" s="1464"/>
      <c r="Y286" s="1465"/>
      <c r="Z286" s="1075">
        <f t="shared" si="286"/>
        <v>0</v>
      </c>
      <c r="AA286" s="1246">
        <f>+(AA287*AB287)+(AA289*AB289)</f>
        <v>0.78167500000000001</v>
      </c>
      <c r="AB286" s="1077">
        <v>0.1</v>
      </c>
      <c r="AC286" s="883">
        <v>0.1</v>
      </c>
      <c r="AD286" s="470">
        <v>0.1</v>
      </c>
      <c r="AE286" s="1078">
        <v>1196990838</v>
      </c>
      <c r="AF286" s="1078">
        <f>+AF287+AF289</f>
        <v>516510025</v>
      </c>
      <c r="AG286" s="1066">
        <f>+AG287+AG289</f>
        <v>767376643.79999995</v>
      </c>
      <c r="AH286" s="2114">
        <f>+AH287+AH289</f>
        <v>1194059194.74</v>
      </c>
      <c r="AI286" s="1986">
        <f t="shared" si="279"/>
        <v>0.9975508223062941</v>
      </c>
      <c r="AJ286" s="1078">
        <f>+AJ287+AJ289</f>
        <v>462195502</v>
      </c>
      <c r="AK286" s="1078">
        <f>+AK287+AK289</f>
        <v>342271445</v>
      </c>
      <c r="AL286" s="2388">
        <f>+AL287+AL289</f>
        <v>1145881107.95</v>
      </c>
      <c r="AM286" s="1077">
        <f t="shared" si="280"/>
        <v>0.95730148600352116</v>
      </c>
      <c r="AN286" s="1066">
        <f>+AN287+AN289</f>
        <v>48178086.789999962</v>
      </c>
      <c r="AO286" s="1069">
        <f>+AO287+AO289</f>
        <v>54314523</v>
      </c>
      <c r="AP286" s="1078">
        <f>+AP287+AP289</f>
        <v>51321583</v>
      </c>
      <c r="AQ286" s="1078">
        <f>+AQ287+AQ289</f>
        <v>425105198.80000001</v>
      </c>
      <c r="AR286" s="2388">
        <f>+AR287+AR289</f>
        <v>419514621.80000001</v>
      </c>
      <c r="AS286" s="1080">
        <f t="shared" si="281"/>
        <v>0.98684895640942227</v>
      </c>
      <c r="AT286" s="1078">
        <f>+AT287+AT289</f>
        <v>9285000000</v>
      </c>
      <c r="AU286" s="1078">
        <f>+AU287+AU289</f>
        <v>2421184259.75</v>
      </c>
      <c r="AV286" s="1306">
        <f t="shared" si="287"/>
        <v>0.26076297897145934</v>
      </c>
      <c r="AW286" s="1071"/>
      <c r="AX286" s="1071" t="s">
        <v>301</v>
      </c>
      <c r="AY286" s="1069"/>
      <c r="AZ286" s="1066"/>
      <c r="BA286" s="1082"/>
      <c r="BB286" s="1082"/>
    </row>
    <row r="287" spans="1:54" ht="51.75" customHeight="1" thickBot="1">
      <c r="A287" s="331" t="s">
        <v>505</v>
      </c>
      <c r="B287" s="437"/>
      <c r="C287" s="873"/>
      <c r="D287" s="849"/>
      <c r="E287" s="223"/>
      <c r="F287" s="1572"/>
      <c r="G287" s="873"/>
      <c r="H287" s="139"/>
      <c r="I287" s="873"/>
      <c r="J287" s="873"/>
      <c r="K287" s="873"/>
      <c r="L287" s="294">
        <v>0</v>
      </c>
      <c r="M287" s="1573">
        <f>+SUMPRODUCT(M288:M288,AC288:AC288)</f>
        <v>1</v>
      </c>
      <c r="N287" s="1573">
        <f>+SUMPRODUCT(N288:N288,AD288:AD288)</f>
        <v>0</v>
      </c>
      <c r="O287" s="965"/>
      <c r="P287" s="1575"/>
      <c r="Q287" s="243"/>
      <c r="R287" s="1576"/>
      <c r="S287" s="1576"/>
      <c r="T287" s="1577"/>
      <c r="U287" s="1577"/>
      <c r="V287" s="1577"/>
      <c r="W287" s="1578"/>
      <c r="X287" s="1577"/>
      <c r="Y287" s="1579"/>
      <c r="Z287" s="261">
        <f t="shared" si="286"/>
        <v>0</v>
      </c>
      <c r="AA287" s="1580">
        <f>+SUMPRODUCT(AA288:AA288,AB288:AB288)</f>
        <v>0.5</v>
      </c>
      <c r="AB287" s="294">
        <v>0.05</v>
      </c>
      <c r="AC287" s="899">
        <v>0.05</v>
      </c>
      <c r="AD287" s="471">
        <v>0.05</v>
      </c>
      <c r="AE287" s="1581">
        <v>0</v>
      </c>
      <c r="AF287" s="1581">
        <f>SUM(AF288)</f>
        <v>0</v>
      </c>
      <c r="AG287" s="437">
        <f>SUM(AG288)</f>
        <v>13303871</v>
      </c>
      <c r="AH287" s="2115">
        <f>SUM(AH288)</f>
        <v>0</v>
      </c>
      <c r="AI287" s="1992" t="e">
        <f t="shared" si="279"/>
        <v>#DIV/0!</v>
      </c>
      <c r="AJ287" s="1581">
        <f>SUM(AJ288)</f>
        <v>0</v>
      </c>
      <c r="AK287" s="1581">
        <f>SUM(AK288)</f>
        <v>3262173</v>
      </c>
      <c r="AL287" s="1976">
        <f>SUM(AL288)</f>
        <v>0</v>
      </c>
      <c r="AM287" s="1586" t="e">
        <f t="shared" si="280"/>
        <v>#DIV/0!</v>
      </c>
      <c r="AN287" s="1584">
        <f>SUM(AN288)</f>
        <v>0</v>
      </c>
      <c r="AO287" s="1576">
        <f>SUM(AO288)</f>
        <v>0</v>
      </c>
      <c r="AP287" s="1581">
        <f>SUM(AP288)</f>
        <v>0</v>
      </c>
      <c r="AQ287" s="1581">
        <f>SUM(AQ288)</f>
        <v>10041698</v>
      </c>
      <c r="AR287" s="1581">
        <f>SUM(AR288)</f>
        <v>9285978</v>
      </c>
      <c r="AS287" s="613">
        <f t="shared" si="281"/>
        <v>0.92474181159401525</v>
      </c>
      <c r="AT287" s="1581">
        <f>SUM(AT288)</f>
        <v>240000000</v>
      </c>
      <c r="AU287" s="1581">
        <f>SUM(AU288)</f>
        <v>12548151</v>
      </c>
      <c r="AV287" s="1586">
        <f t="shared" si="287"/>
        <v>5.2283962500000003E-2</v>
      </c>
      <c r="AW287" s="1587"/>
      <c r="AX287" s="1588"/>
      <c r="AY287" s="1589"/>
      <c r="AZ287" s="1584"/>
      <c r="BA287" s="1590"/>
      <c r="BB287" s="1590"/>
    </row>
    <row r="288" spans="1:54" ht="66" customHeight="1" thickBot="1">
      <c r="A288" s="353" t="s">
        <v>695</v>
      </c>
      <c r="B288" s="458" t="s">
        <v>866</v>
      </c>
      <c r="C288" s="1630">
        <v>0</v>
      </c>
      <c r="D288" s="220">
        <v>1</v>
      </c>
      <c r="E288" s="220">
        <v>0</v>
      </c>
      <c r="F288" s="213">
        <v>0</v>
      </c>
      <c r="G288" s="147">
        <v>0</v>
      </c>
      <c r="H288" s="147">
        <v>0</v>
      </c>
      <c r="I288" s="147"/>
      <c r="J288" s="147">
        <v>1</v>
      </c>
      <c r="K288" s="147"/>
      <c r="L288" s="180" t="e">
        <f>IF((F288+I288)/C288&gt;=100%,100%,(F288+I288)/C288)</f>
        <v>#DIV/0!</v>
      </c>
      <c r="M288" s="1090">
        <f t="shared" ref="M288" si="311">IF((G288+J288)/D288&gt;=100%,100%,(G288+J288)/D288)</f>
        <v>1</v>
      </c>
      <c r="N288" s="1030" t="s">
        <v>2163</v>
      </c>
      <c r="O288" s="2165"/>
      <c r="P288" s="1507"/>
      <c r="Q288" s="206"/>
      <c r="R288" s="207"/>
      <c r="S288" s="146"/>
      <c r="T288" s="195"/>
      <c r="U288" s="195"/>
      <c r="V288" s="195"/>
      <c r="W288" s="150"/>
      <c r="X288" s="195"/>
      <c r="Y288" s="241">
        <v>2</v>
      </c>
      <c r="Z288" s="242">
        <f t="shared" si="286"/>
        <v>1</v>
      </c>
      <c r="AA288" s="186">
        <f t="shared" ref="AA288" si="312">IF(Z288/Y288&gt;=100%,100%,Z288/Y288)</f>
        <v>0.5</v>
      </c>
      <c r="AB288" s="410">
        <v>1</v>
      </c>
      <c r="AC288" s="505">
        <v>1</v>
      </c>
      <c r="AD288" s="505">
        <v>0</v>
      </c>
      <c r="AE288" s="545">
        <v>0</v>
      </c>
      <c r="AF288" s="377">
        <v>0</v>
      </c>
      <c r="AG288" s="2094">
        <v>13303871</v>
      </c>
      <c r="AH288" s="2146">
        <v>0</v>
      </c>
      <c r="AI288" s="1993" t="e">
        <f t="shared" si="279"/>
        <v>#DIV/0!</v>
      </c>
      <c r="AJ288" s="377">
        <v>0</v>
      </c>
      <c r="AK288" s="545">
        <v>3262173</v>
      </c>
      <c r="AL288" s="1971">
        <v>0</v>
      </c>
      <c r="AM288" s="1139" t="e">
        <f t="shared" si="280"/>
        <v>#DIV/0!</v>
      </c>
      <c r="AN288" s="997">
        <f>+AH288-AL288</f>
        <v>0</v>
      </c>
      <c r="AO288" s="1612">
        <v>0</v>
      </c>
      <c r="AP288" s="377">
        <v>0</v>
      </c>
      <c r="AQ288" s="2012">
        <v>10041698</v>
      </c>
      <c r="AR288" s="2012">
        <v>9285978</v>
      </c>
      <c r="AS288" s="1089">
        <f t="shared" si="281"/>
        <v>0.92474181159401525</v>
      </c>
      <c r="AT288" s="1118">
        <v>240000000</v>
      </c>
      <c r="AU288" s="993">
        <f t="shared" ref="AU288" si="313">SUM(AJ288:AL288)+AR288+AP288</f>
        <v>12548151</v>
      </c>
      <c r="AV288" s="1139">
        <f t="shared" si="287"/>
        <v>5.2283962500000003E-2</v>
      </c>
      <c r="AW288" s="1140"/>
      <c r="AX288" s="157"/>
      <c r="AY288" s="152" t="s">
        <v>302</v>
      </c>
      <c r="AZ288" s="1613" t="s">
        <v>914</v>
      </c>
      <c r="BA288" s="93"/>
      <c r="BB288" s="93"/>
    </row>
    <row r="289" spans="1:54" ht="51.75" customHeight="1" thickBot="1">
      <c r="A289" s="315" t="s">
        <v>506</v>
      </c>
      <c r="B289" s="138"/>
      <c r="C289" s="139"/>
      <c r="D289" s="223"/>
      <c r="E289" s="223"/>
      <c r="F289" s="212"/>
      <c r="G289" s="139"/>
      <c r="H289" s="139"/>
      <c r="I289" s="139"/>
      <c r="J289" s="139"/>
      <c r="K289" s="139"/>
      <c r="L289" s="140">
        <f>+(L290*50%)+(L291*50%)</f>
        <v>1</v>
      </c>
      <c r="M289" s="161">
        <f>+SUMPRODUCT(M290:M292,AC290:AC292)</f>
        <v>1</v>
      </c>
      <c r="N289" s="161">
        <f>+SUMPRODUCT(N290:N292,AD290:AD292)</f>
        <v>0.98249999999999993</v>
      </c>
      <c r="O289" s="965"/>
      <c r="P289" s="1619"/>
      <c r="Q289" s="141"/>
      <c r="R289" s="142"/>
      <c r="S289" s="142"/>
      <c r="T289" s="194"/>
      <c r="U289" s="194"/>
      <c r="V289" s="194"/>
      <c r="W289" s="163"/>
      <c r="X289" s="194"/>
      <c r="Y289" s="240"/>
      <c r="Z289" s="261">
        <f t="shared" si="286"/>
        <v>0</v>
      </c>
      <c r="AA289" s="177">
        <f>+SUMPRODUCT(AA290:AA292,AB290:AB292)</f>
        <v>0.79649999999999999</v>
      </c>
      <c r="AB289" s="140">
        <v>0.95</v>
      </c>
      <c r="AC289" s="471">
        <v>0.95</v>
      </c>
      <c r="AD289" s="471">
        <v>0.95</v>
      </c>
      <c r="AE289" s="1453">
        <v>1196990838</v>
      </c>
      <c r="AF289" s="1453">
        <f>SUM(AF290:AF292)</f>
        <v>516510025</v>
      </c>
      <c r="AG289" s="138">
        <f>SUM(AG290:AG292)</f>
        <v>754072772.79999995</v>
      </c>
      <c r="AH289" s="2115">
        <f>SUM(AH290:AH292)</f>
        <v>1194059194.74</v>
      </c>
      <c r="AI289" s="1990">
        <f t="shared" si="279"/>
        <v>0.9975508223062941</v>
      </c>
      <c r="AJ289" s="1453">
        <f>SUM(AJ290:AJ292)</f>
        <v>462195502</v>
      </c>
      <c r="AK289" s="1453">
        <f>SUM(AK290:AK292)</f>
        <v>339009272</v>
      </c>
      <c r="AL289" s="1975">
        <f>SUM(AL290:AL292)</f>
        <v>1145881107.95</v>
      </c>
      <c r="AM289" s="1455">
        <f t="shared" si="280"/>
        <v>0.95730148600352116</v>
      </c>
      <c r="AN289" s="145">
        <f>SUM(AN290:AN292)</f>
        <v>48178086.789999962</v>
      </c>
      <c r="AO289" s="553">
        <f>SUM(AO290:AO292)</f>
        <v>54314523</v>
      </c>
      <c r="AP289" s="144">
        <f>SUM(AP290:AP292)</f>
        <v>51321583</v>
      </c>
      <c r="AQ289" s="1585">
        <f>SUM(AQ290:AQ292)</f>
        <v>415063500.80000001</v>
      </c>
      <c r="AR289" s="1585">
        <f>SUM(AR290:AR292)</f>
        <v>410228643.80000001</v>
      </c>
      <c r="AS289" s="613">
        <f t="shared" si="281"/>
        <v>0.98835152454821684</v>
      </c>
      <c r="AT289" s="1453">
        <f t="shared" ref="AT289:AU289" si="314">SUM(AT290:AT292)</f>
        <v>9045000000</v>
      </c>
      <c r="AU289" s="1453">
        <f t="shared" si="314"/>
        <v>2408636108.75</v>
      </c>
      <c r="AV289" s="1455">
        <f t="shared" si="287"/>
        <v>0.26629476050304035</v>
      </c>
      <c r="AW289" s="179"/>
      <c r="AX289" s="165"/>
      <c r="AY289" s="553"/>
      <c r="AZ289" s="145"/>
      <c r="BA289" s="98"/>
      <c r="BB289" s="98"/>
    </row>
    <row r="290" spans="1:54" ht="54.75" customHeight="1">
      <c r="A290" s="354" t="s">
        <v>696</v>
      </c>
      <c r="B290" s="459" t="s">
        <v>883</v>
      </c>
      <c r="C290" s="1677">
        <v>1</v>
      </c>
      <c r="D290" s="411">
        <v>1</v>
      </c>
      <c r="E290" s="411">
        <v>1</v>
      </c>
      <c r="F290" s="311">
        <v>0.78</v>
      </c>
      <c r="G290" s="872">
        <v>1</v>
      </c>
      <c r="H290" s="681">
        <v>0.96499999999999997</v>
      </c>
      <c r="I290" s="182">
        <v>0.22</v>
      </c>
      <c r="J290" s="182"/>
      <c r="K290" s="182"/>
      <c r="L290" s="180">
        <f t="shared" ref="L290:M292" si="315">IF((F290+I290)/C290&gt;=100%,100%,(F290+I290)/C290)</f>
        <v>1</v>
      </c>
      <c r="M290" s="1090">
        <f t="shared" si="315"/>
        <v>1</v>
      </c>
      <c r="N290" s="821">
        <f t="shared" ref="N290:N291" si="316">IF((H290/E290)&gt;=100%,100%,(H290/E290))</f>
        <v>0.96499999999999997</v>
      </c>
      <c r="O290" s="2165" t="s">
        <v>2420</v>
      </c>
      <c r="P290" s="1525"/>
      <c r="Q290" s="2041" t="s">
        <v>2183</v>
      </c>
      <c r="R290" s="1015"/>
      <c r="S290" s="1013" t="s">
        <v>2182</v>
      </c>
      <c r="T290" s="2038" t="s">
        <v>2247</v>
      </c>
      <c r="U290" s="1526"/>
      <c r="V290" s="1526"/>
      <c r="W290" s="1017"/>
      <c r="X290" s="1526"/>
      <c r="Y290" s="311">
        <v>4</v>
      </c>
      <c r="Z290" s="1010">
        <f t="shared" si="286"/>
        <v>2.9650000000000003</v>
      </c>
      <c r="AA290" s="1438">
        <f t="shared" ref="AA290:AA292" si="317">IF(Z290/Y290&gt;=100%,100%,Z290/Y290)</f>
        <v>0.74125000000000008</v>
      </c>
      <c r="AB290" s="1705">
        <v>0.4</v>
      </c>
      <c r="AC290" s="506">
        <v>0.4</v>
      </c>
      <c r="AD290" s="506">
        <v>0.5</v>
      </c>
      <c r="AE290" s="546">
        <v>596990838</v>
      </c>
      <c r="AF290" s="378">
        <f>51250000+465260025</f>
        <v>516510025</v>
      </c>
      <c r="AG290" s="2109">
        <v>163961645</v>
      </c>
      <c r="AH290" s="2147">
        <v>596890161.70000005</v>
      </c>
      <c r="AI290" s="1993">
        <f t="shared" si="279"/>
        <v>0.99983136039350751</v>
      </c>
      <c r="AJ290" s="378">
        <v>462195502</v>
      </c>
      <c r="AK290" s="546">
        <v>132837706</v>
      </c>
      <c r="AL290" s="1626">
        <v>592985606</v>
      </c>
      <c r="AM290" s="1134">
        <f t="shared" si="280"/>
        <v>0.99329096571495457</v>
      </c>
      <c r="AN290" s="997">
        <f t="shared" ref="AN290:AN292" si="318">+AH290-AL290</f>
        <v>3904555.7000000477</v>
      </c>
      <c r="AO290" s="1632">
        <f>38664523+15650000</f>
        <v>54314523</v>
      </c>
      <c r="AP290" s="378">
        <f>35671583+15650000</f>
        <v>51321583</v>
      </c>
      <c r="AQ290" s="1972">
        <v>31123939</v>
      </c>
      <c r="AR290" s="1972">
        <v>29864543</v>
      </c>
      <c r="AS290" s="1089">
        <f t="shared" si="281"/>
        <v>0.9595360985638739</v>
      </c>
      <c r="AT290" s="1118">
        <v>845000000</v>
      </c>
      <c r="AU290" s="993">
        <f t="shared" ref="AU290:AU292" si="319">SUM(AJ290:AL290)+AR290+AP290</f>
        <v>1269204940</v>
      </c>
      <c r="AV290" s="1134">
        <f t="shared" si="287"/>
        <v>1.5020176804733727</v>
      </c>
      <c r="AW290" s="1140"/>
      <c r="AX290" s="157"/>
      <c r="AY290" s="152" t="s">
        <v>302</v>
      </c>
      <c r="AZ290" s="1678" t="s">
        <v>890</v>
      </c>
      <c r="BA290" s="93"/>
      <c r="BB290" s="93"/>
    </row>
    <row r="291" spans="1:54" ht="65.25" customHeight="1">
      <c r="A291" s="354" t="s">
        <v>697</v>
      </c>
      <c r="B291" s="459" t="s">
        <v>884</v>
      </c>
      <c r="C291" s="1677">
        <v>1</v>
      </c>
      <c r="D291" s="411">
        <v>1</v>
      </c>
      <c r="E291" s="411">
        <v>1</v>
      </c>
      <c r="F291" s="311">
        <v>0.93</v>
      </c>
      <c r="G291" s="182">
        <v>1</v>
      </c>
      <c r="H291" s="182">
        <v>1</v>
      </c>
      <c r="I291" s="182">
        <v>7.0000000000000007E-2</v>
      </c>
      <c r="J291" s="182"/>
      <c r="K291" s="182"/>
      <c r="L291" s="180">
        <f t="shared" si="315"/>
        <v>1</v>
      </c>
      <c r="M291" s="1090">
        <f t="shared" si="315"/>
        <v>1</v>
      </c>
      <c r="N291" s="821">
        <f t="shared" si="316"/>
        <v>1</v>
      </c>
      <c r="O291" s="2165" t="s">
        <v>2421</v>
      </c>
      <c r="P291" s="1525"/>
      <c r="Q291" s="2041" t="s">
        <v>2183</v>
      </c>
      <c r="R291" s="1015"/>
      <c r="S291" s="1013" t="s">
        <v>2182</v>
      </c>
      <c r="T291" s="2038" t="s">
        <v>2248</v>
      </c>
      <c r="U291" s="1526"/>
      <c r="V291" s="1526"/>
      <c r="W291" s="1017"/>
      <c r="X291" s="1526"/>
      <c r="Y291" s="311">
        <v>4</v>
      </c>
      <c r="Z291" s="1010">
        <f t="shared" si="286"/>
        <v>3</v>
      </c>
      <c r="AA291" s="1438">
        <f t="shared" si="317"/>
        <v>0.75</v>
      </c>
      <c r="AB291" s="1705">
        <v>0.4</v>
      </c>
      <c r="AC291" s="506">
        <v>0.4</v>
      </c>
      <c r="AD291" s="506">
        <v>0.5</v>
      </c>
      <c r="AE291" s="546">
        <v>600000000</v>
      </c>
      <c r="AF291" s="378">
        <v>0</v>
      </c>
      <c r="AG291" s="2109">
        <v>590111127.79999995</v>
      </c>
      <c r="AH291" s="2147">
        <v>597169033.03999996</v>
      </c>
      <c r="AI291" s="1993">
        <f t="shared" si="279"/>
        <v>0.99528172173333329</v>
      </c>
      <c r="AJ291" s="378">
        <v>0</v>
      </c>
      <c r="AK291" s="546">
        <v>206171566</v>
      </c>
      <c r="AL291" s="1626">
        <v>552895501.95000005</v>
      </c>
      <c r="AM291" s="1139">
        <f t="shared" si="280"/>
        <v>0.92149250325000009</v>
      </c>
      <c r="AN291" s="997">
        <f t="shared" si="318"/>
        <v>44273531.089999914</v>
      </c>
      <c r="AO291" s="1632">
        <v>0</v>
      </c>
      <c r="AP291" s="378">
        <v>0</v>
      </c>
      <c r="AQ291" s="1972">
        <v>383939561.80000001</v>
      </c>
      <c r="AR291" s="1972">
        <v>380364100.80000001</v>
      </c>
      <c r="AS291" s="1089">
        <f t="shared" si="281"/>
        <v>0.99068743793101866</v>
      </c>
      <c r="AT291" s="1118">
        <v>7500000000</v>
      </c>
      <c r="AU291" s="993">
        <f t="shared" si="319"/>
        <v>1139431168.75</v>
      </c>
      <c r="AV291" s="1139">
        <f t="shared" si="287"/>
        <v>0.15192415583333332</v>
      </c>
      <c r="AW291" s="1140"/>
      <c r="AX291" s="157"/>
      <c r="AY291" s="152" t="s">
        <v>302</v>
      </c>
      <c r="AZ291" s="1678" t="s">
        <v>890</v>
      </c>
      <c r="BA291" s="93"/>
      <c r="BB291" s="93"/>
    </row>
    <row r="292" spans="1:54" ht="67.5" customHeight="1" thickBot="1">
      <c r="A292" s="1620" t="s">
        <v>698</v>
      </c>
      <c r="B292" s="1621" t="s">
        <v>867</v>
      </c>
      <c r="C292" s="1706">
        <v>0</v>
      </c>
      <c r="D292" s="857">
        <v>4</v>
      </c>
      <c r="E292" s="412">
        <v>0</v>
      </c>
      <c r="F292" s="1707">
        <v>0</v>
      </c>
      <c r="G292" s="860">
        <v>4</v>
      </c>
      <c r="H292" s="147">
        <v>0</v>
      </c>
      <c r="I292" s="860"/>
      <c r="J292" s="860"/>
      <c r="K292" s="860"/>
      <c r="L292" s="1021" t="e">
        <f t="shared" si="315"/>
        <v>#DIV/0!</v>
      </c>
      <c r="M292" s="1090">
        <f t="shared" si="315"/>
        <v>1</v>
      </c>
      <c r="N292" s="821" t="s">
        <v>2163</v>
      </c>
      <c r="O292" s="2384"/>
      <c r="P292" s="1525"/>
      <c r="Q292" s="1220"/>
      <c r="R292" s="1221"/>
      <c r="S292" s="1219"/>
      <c r="T292" s="1526"/>
      <c r="U292" s="1526"/>
      <c r="V292" s="1526"/>
      <c r="W292" s="1223"/>
      <c r="X292" s="1526"/>
      <c r="Y292" s="1707">
        <v>4</v>
      </c>
      <c r="Z292" s="1130">
        <f t="shared" si="286"/>
        <v>4</v>
      </c>
      <c r="AA292" s="1430">
        <f t="shared" si="317"/>
        <v>1</v>
      </c>
      <c r="AB292" s="1708">
        <v>0.2</v>
      </c>
      <c r="AC292" s="904">
        <v>0.2</v>
      </c>
      <c r="AD292" s="507">
        <v>0</v>
      </c>
      <c r="AE292" s="1626">
        <v>0</v>
      </c>
      <c r="AF292" s="1627">
        <v>0</v>
      </c>
      <c r="AG292" s="1972"/>
      <c r="AH292" s="2147"/>
      <c r="AI292" s="1997" t="e">
        <f t="shared" si="279"/>
        <v>#DIV/0!</v>
      </c>
      <c r="AJ292" s="1627">
        <v>0</v>
      </c>
      <c r="AK292" s="1709"/>
      <c r="AL292" s="1709"/>
      <c r="AM292" s="1130" t="e">
        <f t="shared" si="280"/>
        <v>#DIV/0!</v>
      </c>
      <c r="AN292" s="997">
        <f t="shared" si="318"/>
        <v>0</v>
      </c>
      <c r="AO292" s="1628">
        <v>0</v>
      </c>
      <c r="AP292" s="1627">
        <v>0</v>
      </c>
      <c r="AQ292" s="1972"/>
      <c r="AR292" s="1972"/>
      <c r="AS292" s="1136" t="e">
        <f t="shared" si="281"/>
        <v>#DIV/0!</v>
      </c>
      <c r="AT292" s="1138">
        <v>700000000</v>
      </c>
      <c r="AU292" s="993">
        <f t="shared" si="319"/>
        <v>0</v>
      </c>
      <c r="AV292" s="1139">
        <f t="shared" si="287"/>
        <v>0</v>
      </c>
      <c r="AW292" s="1140"/>
      <c r="AX292" s="1710"/>
      <c r="AY292" s="189" t="s">
        <v>302</v>
      </c>
      <c r="AZ292" s="1711" t="s">
        <v>890</v>
      </c>
      <c r="BA292" s="1037"/>
      <c r="BB292" s="1037"/>
    </row>
    <row r="293" spans="1:54" s="617" customFormat="1" ht="39.75" customHeight="1" thickBot="1">
      <c r="A293" s="1065" t="s">
        <v>1607</v>
      </c>
      <c r="B293" s="1066"/>
      <c r="C293" s="862"/>
      <c r="D293" s="835"/>
      <c r="E293" s="835"/>
      <c r="F293" s="1067"/>
      <c r="G293" s="862"/>
      <c r="H293" s="862"/>
      <c r="I293" s="862"/>
      <c r="J293" s="862"/>
      <c r="K293" s="862"/>
      <c r="L293" s="1077">
        <f>+L294*AB294</f>
        <v>0.8666666666666667</v>
      </c>
      <c r="M293" s="1077">
        <f>+M294*AC294</f>
        <v>1</v>
      </c>
      <c r="N293" s="1077">
        <f>+N294*AD294</f>
        <v>0.98039215686274506</v>
      </c>
      <c r="O293" s="1069"/>
      <c r="P293" s="1463"/>
      <c r="Q293" s="1071"/>
      <c r="R293" s="1069"/>
      <c r="S293" s="1069"/>
      <c r="T293" s="1464"/>
      <c r="U293" s="1464"/>
      <c r="V293" s="1464"/>
      <c r="W293" s="1072"/>
      <c r="X293" s="1464"/>
      <c r="Y293" s="1465"/>
      <c r="Z293" s="1075">
        <f t="shared" si="286"/>
        <v>0</v>
      </c>
      <c r="AA293" s="1077">
        <f>+AA294*AB294</f>
        <v>0.77</v>
      </c>
      <c r="AB293" s="1077">
        <v>0.01</v>
      </c>
      <c r="AC293" s="883">
        <v>0.01</v>
      </c>
      <c r="AD293" s="470">
        <v>0.01</v>
      </c>
      <c r="AE293" s="1078">
        <f>+AE294</f>
        <v>24223450000</v>
      </c>
      <c r="AF293" s="1078">
        <f>+AF294</f>
        <v>6107311808</v>
      </c>
      <c r="AG293" s="1066">
        <f>+AG294</f>
        <v>6515110547</v>
      </c>
      <c r="AH293" s="1066">
        <f>+AH294</f>
        <v>23747240643</v>
      </c>
      <c r="AI293" s="1986">
        <f t="shared" si="279"/>
        <v>0.98034097715230495</v>
      </c>
      <c r="AJ293" s="1078">
        <f>+AJ294</f>
        <v>6005320167</v>
      </c>
      <c r="AK293" s="1078">
        <f t="shared" ref="AK293:AL294" si="320">+AK294</f>
        <v>6500860547</v>
      </c>
      <c r="AL293" s="1078">
        <f t="shared" si="320"/>
        <v>20520865554.009998</v>
      </c>
      <c r="AM293" s="1068">
        <f t="shared" si="280"/>
        <v>0.84714875684553592</v>
      </c>
      <c r="AN293" s="1066">
        <f>+AG293-AK293</f>
        <v>14250000</v>
      </c>
      <c r="AO293" s="1069">
        <f>+AO294</f>
        <v>101991641</v>
      </c>
      <c r="AP293" s="1078">
        <f>+AP294</f>
        <v>2218394</v>
      </c>
      <c r="AQ293" s="1078">
        <f t="shared" ref="AQ293:AR294" si="321">+AQ294</f>
        <v>14250000</v>
      </c>
      <c r="AR293" s="1078">
        <f t="shared" si="321"/>
        <v>0</v>
      </c>
      <c r="AS293" s="1080">
        <f t="shared" si="281"/>
        <v>0</v>
      </c>
      <c r="AT293" s="1078"/>
      <c r="AU293" s="1078">
        <f t="shared" ref="AU293:AU294" si="322">+SUM(AF293:AG293)</f>
        <v>12622422355</v>
      </c>
      <c r="AV293" s="1077" t="e">
        <f t="shared" si="287"/>
        <v>#DIV/0!</v>
      </c>
      <c r="AW293" s="1071"/>
      <c r="AX293" s="1071"/>
      <c r="AY293" s="1069"/>
      <c r="AZ293" s="1066"/>
      <c r="BA293" s="1082"/>
      <c r="BB293" s="1082"/>
    </row>
    <row r="294" spans="1:54" ht="41.25" customHeight="1" thickBot="1">
      <c r="A294" s="331" t="s">
        <v>1608</v>
      </c>
      <c r="B294" s="437"/>
      <c r="C294" s="873"/>
      <c r="D294" s="849"/>
      <c r="E294" s="849"/>
      <c r="F294" s="1712"/>
      <c r="G294" s="1712"/>
      <c r="H294" s="1712"/>
      <c r="I294" s="873"/>
      <c r="J294" s="873"/>
      <c r="K294" s="873"/>
      <c r="L294" s="294">
        <f>+L295*AB294</f>
        <v>0.8666666666666667</v>
      </c>
      <c r="M294" s="294">
        <f>+M295*AC294</f>
        <v>1</v>
      </c>
      <c r="N294" s="294">
        <f>+N295*AD294</f>
        <v>0.98039215686274506</v>
      </c>
      <c r="O294" s="965"/>
      <c r="P294" s="1575"/>
      <c r="Q294" s="243"/>
      <c r="R294" s="1576"/>
      <c r="S294" s="1576"/>
      <c r="T294" s="1577"/>
      <c r="U294" s="1577"/>
      <c r="V294" s="1577"/>
      <c r="W294" s="1578"/>
      <c r="X294" s="1577"/>
      <c r="Y294" s="1579"/>
      <c r="Z294" s="261">
        <f t="shared" si="286"/>
        <v>0</v>
      </c>
      <c r="AA294" s="294">
        <f>+AA295*AB295</f>
        <v>0.77</v>
      </c>
      <c r="AB294" s="294">
        <v>1</v>
      </c>
      <c r="AC294" s="899">
        <v>1</v>
      </c>
      <c r="AD294" s="899">
        <v>1</v>
      </c>
      <c r="AE294" s="1581">
        <f>+AE295</f>
        <v>24223450000</v>
      </c>
      <c r="AF294" s="1581">
        <f t="shared" ref="AF294:AJ294" si="323">+AF295</f>
        <v>6107311808</v>
      </c>
      <c r="AG294" s="1581">
        <f t="shared" si="323"/>
        <v>6515110547</v>
      </c>
      <c r="AH294" s="1581">
        <f t="shared" si="323"/>
        <v>23747240643</v>
      </c>
      <c r="AI294" s="1582">
        <f t="shared" si="279"/>
        <v>0.98034097715230495</v>
      </c>
      <c r="AJ294" s="1581">
        <f t="shared" si="323"/>
        <v>6005320167</v>
      </c>
      <c r="AK294" s="1581">
        <f t="shared" si="320"/>
        <v>6500860547</v>
      </c>
      <c r="AL294" s="1581">
        <f t="shared" si="320"/>
        <v>20520865554.009998</v>
      </c>
      <c r="AM294" s="1573">
        <f t="shared" si="280"/>
        <v>0.84714875684553592</v>
      </c>
      <c r="AN294" s="1584">
        <f>+AG294-AK294</f>
        <v>14250000</v>
      </c>
      <c r="AO294" s="1589">
        <f>+AO295</f>
        <v>101991641</v>
      </c>
      <c r="AP294" s="1585">
        <f>+AP295</f>
        <v>2218394</v>
      </c>
      <c r="AQ294" s="1585">
        <f t="shared" si="321"/>
        <v>14250000</v>
      </c>
      <c r="AR294" s="1585">
        <f t="shared" si="321"/>
        <v>0</v>
      </c>
      <c r="AS294" s="613">
        <f t="shared" si="281"/>
        <v>0</v>
      </c>
      <c r="AT294" s="1581">
        <f>+AT295</f>
        <v>47060000000</v>
      </c>
      <c r="AU294" s="1581">
        <f t="shared" si="322"/>
        <v>12622422355</v>
      </c>
      <c r="AV294" s="294">
        <f t="shared" si="287"/>
        <v>0.26821976954951127</v>
      </c>
      <c r="AW294" s="1587"/>
      <c r="AX294" s="1588"/>
      <c r="AY294" s="1589"/>
      <c r="AZ294" s="1584"/>
      <c r="BA294" s="1590"/>
      <c r="BB294" s="1590"/>
    </row>
    <row r="295" spans="1:54" s="1520" customFormat="1" ht="51.75" customHeight="1" thickBot="1">
      <c r="A295" s="1713" t="s">
        <v>1609</v>
      </c>
      <c r="B295" s="1013" t="s">
        <v>1610</v>
      </c>
      <c r="C295" s="872">
        <v>0.15</v>
      </c>
      <c r="D295" s="1010">
        <v>0.14000000000000001</v>
      </c>
      <c r="E295" s="1010">
        <v>0.51</v>
      </c>
      <c r="F295" s="1010">
        <v>0.13</v>
      </c>
      <c r="G295" s="1673">
        <v>0.14000000000000001</v>
      </c>
      <c r="H295" s="1010">
        <v>0.5</v>
      </c>
      <c r="I295" s="859"/>
      <c r="J295" s="859"/>
      <c r="K295" s="859"/>
      <c r="L295" s="1010">
        <f>IF((F295+I295)/C295&gt;=100%,100%,(F295+I295)/C295)</f>
        <v>0.8666666666666667</v>
      </c>
      <c r="M295" s="1090">
        <f>IF((G295+J295)/D295&gt;=100%,100%,(G295+J295)/D295)</f>
        <v>1</v>
      </c>
      <c r="N295" s="821">
        <f t="shared" ref="N295" si="324">IF((H295/E295)&gt;=100%,100%,(H295/E295))</f>
        <v>0.98039215686274506</v>
      </c>
      <c r="O295" s="2165"/>
      <c r="P295" s="1525"/>
      <c r="Q295" s="1016"/>
      <c r="R295" s="1012"/>
      <c r="S295" s="1012"/>
      <c r="T295" s="1526"/>
      <c r="U295" s="1526"/>
      <c r="V295" s="1526"/>
      <c r="W295" s="1017"/>
      <c r="X295" s="1526"/>
      <c r="Y295" s="1714">
        <v>1</v>
      </c>
      <c r="Z295" s="1010">
        <f t="shared" si="286"/>
        <v>0.77</v>
      </c>
      <c r="AA295" s="872">
        <f>IF(Z295/Y295&gt;=100%,100%,Z295/Y295)</f>
        <v>0.77</v>
      </c>
      <c r="AB295" s="1010">
        <v>1</v>
      </c>
      <c r="AC295" s="881">
        <v>1</v>
      </c>
      <c r="AD295" s="881">
        <v>1</v>
      </c>
      <c r="AE295" s="1715">
        <v>24223450000</v>
      </c>
      <c r="AF295" s="1715">
        <v>6107311808</v>
      </c>
      <c r="AG295" s="1715">
        <v>6515110547</v>
      </c>
      <c r="AH295" s="1715">
        <v>23747240643</v>
      </c>
      <c r="AI295" s="1114">
        <f t="shared" si="279"/>
        <v>0.98034097715230495</v>
      </c>
      <c r="AJ295" s="1715">
        <v>6005320167</v>
      </c>
      <c r="AK295" s="1715">
        <v>6500860547</v>
      </c>
      <c r="AL295" s="1715">
        <v>20520865554.009998</v>
      </c>
      <c r="AM295" s="1115">
        <f t="shared" si="280"/>
        <v>0.84714875684553592</v>
      </c>
      <c r="AN295" s="997">
        <f>+AH295-AL295</f>
        <v>3226375088.9900017</v>
      </c>
      <c r="AO295" s="1012">
        <v>101991641</v>
      </c>
      <c r="AP295" s="1715">
        <v>2218394</v>
      </c>
      <c r="AQ295" s="2014">
        <v>14250000</v>
      </c>
      <c r="AR295" s="2014">
        <v>0</v>
      </c>
      <c r="AS295" s="1089">
        <f t="shared" si="281"/>
        <v>0</v>
      </c>
      <c r="AT295" s="1715">
        <v>47060000000</v>
      </c>
      <c r="AU295" s="993">
        <f t="shared" ref="AU295" si="325">SUM(AJ295:AL295)+AR295+AP295</f>
        <v>33029264662.009998</v>
      </c>
      <c r="AV295" s="1010">
        <f t="shared" si="287"/>
        <v>0.70185432770951972</v>
      </c>
      <c r="AW295" s="1222"/>
      <c r="AX295" s="1016"/>
      <c r="AY295" s="1012"/>
      <c r="AZ295" s="1013"/>
      <c r="BA295" s="1210"/>
      <c r="BB295" s="1210"/>
    </row>
    <row r="296" spans="1:54" ht="42.75" customHeight="1" thickBot="1">
      <c r="A296" s="2293" t="s">
        <v>35</v>
      </c>
      <c r="B296" s="2294"/>
      <c r="C296" s="1716"/>
      <c r="D296" s="1716"/>
      <c r="E296" s="1716"/>
      <c r="F296" s="1717"/>
      <c r="G296" s="1716"/>
      <c r="H296" s="1716"/>
      <c r="I296" s="1716"/>
      <c r="J296" s="1716"/>
      <c r="K296" s="1716"/>
      <c r="L296" s="1718">
        <f>(L8*AB8)+(L56*AB56)+(L99*AB99)+(L146*AB146)+(L211*AB211)</f>
        <v>0.93548660000000006</v>
      </c>
      <c r="M296" s="1719">
        <f>(M8*AC8)+(M56*AC56)+(M99*AC99)+(M146*AC146)+(M211*AC211)</f>
        <v>0.87917640337826075</v>
      </c>
      <c r="N296" s="1719">
        <f>(N8*AD8)+(N56*AD56)+(N99*AD99)+(N146*AD146)+(N211*AD211)</f>
        <v>0.88584474180672268</v>
      </c>
      <c r="O296" s="948"/>
      <c r="P296" s="1716"/>
      <c r="Q296" s="1716"/>
      <c r="R296" s="1716"/>
      <c r="S296" s="1716"/>
      <c r="T296" s="1716"/>
      <c r="U296" s="1716"/>
      <c r="V296" s="1716"/>
      <c r="W296" s="1716"/>
      <c r="X296" s="1720"/>
      <c r="Y296" s="1716"/>
      <c r="Z296" s="1717"/>
      <c r="AA296" s="1718">
        <f>(AA8*AB8)+(AA56*AB56)+(AA99*AB99)+(AA146*AB146)+(AA211*AB211)</f>
        <v>0.77942950562291413</v>
      </c>
      <c r="AB296" s="1721"/>
      <c r="AC296" s="1720"/>
      <c r="AD296" s="1720"/>
      <c r="AE296" s="1722">
        <f>+AE8+AE56+AE99+AE146+AE211+AE293</f>
        <v>155439506138</v>
      </c>
      <c r="AF296" s="1722">
        <f>+AF8+AF56+AF99+AF146+AF211+AF293</f>
        <v>63560805671.059998</v>
      </c>
      <c r="AG296" s="1722">
        <f>+AG8+AG56+AG99+AG146+AG211+AG293</f>
        <v>95329855301.670013</v>
      </c>
      <c r="AH296" s="1722">
        <f>+AH8+AH56+AH99+AH146+AH211+AH293</f>
        <v>154291387964.76001</v>
      </c>
      <c r="AI296" s="1079">
        <f t="shared" si="279"/>
        <v>0.99261372992126795</v>
      </c>
      <c r="AJ296" s="1722">
        <f>+AJ8+AJ56+AJ99+AJ146+AJ211+AJ293</f>
        <v>43891586590</v>
      </c>
      <c r="AK296" s="1722">
        <f>+AK8+AK56+AK99+AK146+AK211+AK293</f>
        <v>78914531319.630005</v>
      </c>
      <c r="AL296" s="1722">
        <f>+AL8+AL56+AL99+AL146+AL211+AL293</f>
        <v>122471350821.31</v>
      </c>
      <c r="AM296" s="1068">
        <f t="shared" si="280"/>
        <v>0.78790362800419156</v>
      </c>
      <c r="AN296" s="1722">
        <f>+AN8+AN56+AN99+AN146+AN211+AN293</f>
        <v>28607912054.459995</v>
      </c>
      <c r="AO296" s="1954">
        <f>+AO8+AO56+AO99+AO146+AO211</f>
        <v>19969575271.959999</v>
      </c>
      <c r="AP296" s="1722">
        <f>+AP8+AP56+AP99+AP146+AP211</f>
        <v>17292544809.439999</v>
      </c>
      <c r="AQ296" s="1722">
        <f t="shared" ref="AQ296:AR296" si="326">+AQ8+AQ56+AQ99+AQ146+AQ211</f>
        <v>16415323982.040003</v>
      </c>
      <c r="AR296" s="1722">
        <f t="shared" si="326"/>
        <v>6432597740.8399992</v>
      </c>
      <c r="AS296" s="1080">
        <f t="shared" si="281"/>
        <v>0.39186541477206915</v>
      </c>
      <c r="AT296" s="1722">
        <f>+AT8+AT56+AT99+AT146+AT211+AT293</f>
        <v>354924908891.20001</v>
      </c>
      <c r="AU296" s="1722">
        <f>+AU8+AU56+AU99+AU146+AU211+AU293</f>
        <v>248595768974.20999</v>
      </c>
      <c r="AV296" s="1725">
        <f t="shared" si="287"/>
        <v>0.70041792713516049</v>
      </c>
      <c r="AW296" s="1069"/>
      <c r="AX296" s="1651"/>
      <c r="AY296" s="1315"/>
      <c r="AZ296" s="1652"/>
      <c r="BA296" s="1315"/>
      <c r="BB296" s="1726"/>
    </row>
    <row r="297" spans="1:54" ht="51.75" customHeight="1">
      <c r="A297" s="2389" t="s">
        <v>36</v>
      </c>
      <c r="B297" s="2389"/>
      <c r="C297" s="2389"/>
      <c r="D297" s="2389"/>
      <c r="E297" s="2389"/>
      <c r="F297" s="2389"/>
      <c r="G297" s="2389"/>
      <c r="H297" s="2389"/>
      <c r="I297" s="2389"/>
      <c r="J297" s="2389"/>
      <c r="K297" s="2389"/>
      <c r="L297" s="2389"/>
      <c r="M297" s="2389"/>
      <c r="N297" s="2389"/>
      <c r="O297" s="2389"/>
      <c r="P297" s="2389"/>
      <c r="Q297" s="2389"/>
      <c r="R297" s="2389"/>
      <c r="S297" s="2389"/>
      <c r="T297" s="2389"/>
      <c r="U297" s="2389"/>
      <c r="V297" s="2389"/>
      <c r="W297" s="2389"/>
      <c r="X297" s="2389"/>
      <c r="Y297" s="2389"/>
      <c r="Z297" s="2389"/>
      <c r="AA297" s="2389"/>
      <c r="AB297" s="2389"/>
      <c r="AC297" s="2389"/>
      <c r="AD297" s="2389"/>
      <c r="AE297" s="2389"/>
      <c r="AF297" s="2389"/>
      <c r="AG297" s="2389"/>
      <c r="AH297" s="2389"/>
      <c r="AI297" s="2389"/>
      <c r="AJ297" s="2389"/>
      <c r="AK297" s="2389"/>
      <c r="AL297" s="2389"/>
      <c r="AM297" s="2389"/>
      <c r="AN297" s="2389"/>
      <c r="AO297" s="2389"/>
      <c r="AP297" s="2389"/>
      <c r="AQ297" s="2389"/>
      <c r="AR297" s="2389"/>
      <c r="AS297" s="2389"/>
      <c r="AT297" s="2389"/>
      <c r="AU297" s="2389"/>
      <c r="AV297" s="2389"/>
      <c r="AW297" s="2390"/>
    </row>
    <row r="298" spans="1:54">
      <c r="A298" s="2391"/>
      <c r="B298" s="2391"/>
      <c r="C298" s="2392"/>
      <c r="D298" s="2392"/>
      <c r="E298" s="2392"/>
      <c r="F298" s="2392"/>
      <c r="G298" s="2392"/>
      <c r="H298" s="2392"/>
      <c r="I298" s="2392"/>
      <c r="J298" s="2392"/>
      <c r="K298" s="2392"/>
      <c r="L298" s="2392"/>
      <c r="M298" s="2392"/>
      <c r="N298" s="2392"/>
      <c r="O298" s="2391"/>
      <c r="P298" s="2391"/>
      <c r="Q298" s="2391"/>
      <c r="R298" s="2391"/>
      <c r="S298" s="2391"/>
      <c r="T298" s="2391"/>
      <c r="U298" s="2391"/>
      <c r="V298" s="2391"/>
      <c r="W298" s="2391"/>
      <c r="X298" s="2391"/>
      <c r="Y298" s="2392"/>
      <c r="Z298" s="2392"/>
      <c r="AA298" s="2392"/>
      <c r="AB298" s="2391"/>
      <c r="AC298" s="2391"/>
      <c r="AD298" s="2391"/>
      <c r="AE298" s="2393">
        <f>+'Anexo 5.1 INGRESOS VF'!R7</f>
        <v>155439506138.02002</v>
      </c>
      <c r="AF298" s="2394">
        <v>63560805671.059998</v>
      </c>
      <c r="AG298" s="2394">
        <v>95329855301.670013</v>
      </c>
      <c r="AH298" s="2394">
        <f>+'Anexo 5.2. informe Gastos'!Z47</f>
        <v>154291387965.16</v>
      </c>
      <c r="AI298" s="2395"/>
      <c r="AJ298" s="2396">
        <v>43891586590</v>
      </c>
      <c r="AK298" s="2396">
        <v>78914531319.630005</v>
      </c>
      <c r="AL298" s="2396">
        <f>+'Anexo 5.2. informe Gastos'!AA47</f>
        <v>122471350721</v>
      </c>
      <c r="AM298" s="2392"/>
      <c r="AN298" s="2393"/>
      <c r="AO298" s="2396"/>
      <c r="AP298" s="2396"/>
      <c r="AQ298" s="2396"/>
      <c r="AR298" s="2394"/>
      <c r="AS298" s="2391"/>
      <c r="AT298" s="2391"/>
      <c r="AU298" s="2391"/>
      <c r="AV298" s="2391"/>
      <c r="AW298" s="2397"/>
    </row>
    <row r="299" spans="1:54" ht="23.25" customHeight="1">
      <c r="A299" s="2398"/>
      <c r="B299" s="2398"/>
      <c r="C299" s="2398"/>
      <c r="D299" s="2398"/>
      <c r="E299" s="2398"/>
      <c r="F299" s="2398"/>
      <c r="G299" s="2398"/>
      <c r="H299" s="2398"/>
      <c r="I299" s="2398"/>
      <c r="J299" s="2398"/>
      <c r="K299" s="2398"/>
      <c r="L299" s="2398"/>
      <c r="M299" s="2398"/>
      <c r="N299" s="2398"/>
      <c r="O299" s="2398"/>
      <c r="P299" s="2399"/>
      <c r="Q299" s="2399"/>
      <c r="R299" s="2399"/>
      <c r="S299" s="2399"/>
      <c r="T299" s="2399"/>
      <c r="U299" s="2399"/>
      <c r="V299" s="2399"/>
      <c r="W299" s="2399"/>
      <c r="X299" s="2398"/>
      <c r="Y299" s="2398"/>
      <c r="Z299" s="2398"/>
      <c r="AA299" s="2398"/>
      <c r="AB299" s="2398"/>
      <c r="AC299" s="2398"/>
      <c r="AD299" s="2398"/>
      <c r="AE299" s="2398"/>
      <c r="AF299" s="2398"/>
      <c r="AG299" s="2398"/>
      <c r="AH299" s="2398"/>
      <c r="AI299" s="2398"/>
      <c r="AJ299" s="2400"/>
      <c r="AK299" s="2398"/>
      <c r="AL299" s="2398"/>
      <c r="AM299" s="2399"/>
      <c r="AN299" s="2401"/>
      <c r="AO299" s="2400"/>
      <c r="AP299" s="2401"/>
      <c r="AQ299" s="2401"/>
      <c r="AR299" s="2401"/>
      <c r="AS299" s="2398"/>
      <c r="AT299" s="2398"/>
      <c r="AU299" s="2398"/>
      <c r="AV299" s="2391"/>
      <c r="AW299" s="2391"/>
    </row>
    <row r="300" spans="1:54" ht="19.5" customHeight="1">
      <c r="A300" s="2402"/>
      <c r="B300" s="2402"/>
      <c r="C300" s="2399"/>
      <c r="D300" s="2399"/>
      <c r="E300" s="2399"/>
      <c r="F300" s="2399"/>
      <c r="G300" s="2399"/>
      <c r="H300" s="2399"/>
      <c r="I300" s="2399"/>
      <c r="J300" s="2399"/>
      <c r="K300" s="2399"/>
      <c r="L300" s="2399"/>
      <c r="M300" s="2399"/>
      <c r="N300" s="2399"/>
      <c r="O300" s="2399"/>
      <c r="P300" s="2399"/>
      <c r="Q300" s="2399"/>
      <c r="R300" s="2399"/>
      <c r="S300" s="2399"/>
      <c r="T300" s="2399"/>
      <c r="U300" s="2399"/>
      <c r="V300" s="2399"/>
      <c r="W300" s="2399"/>
      <c r="X300" s="2399"/>
      <c r="Y300" s="2399"/>
      <c r="Z300" s="2399"/>
      <c r="AA300" s="2399"/>
      <c r="AB300" s="2399"/>
      <c r="AC300" s="2399"/>
      <c r="AD300" s="2399"/>
      <c r="AE300" s="2402"/>
      <c r="AF300" s="2402"/>
      <c r="AG300" s="2402"/>
      <c r="AH300" s="2402"/>
      <c r="AI300" s="2402"/>
      <c r="AJ300" s="2402"/>
      <c r="AK300" s="2402"/>
      <c r="AL300" s="2402"/>
      <c r="AM300" s="2402"/>
      <c r="AN300" s="2402"/>
      <c r="AO300" s="2402"/>
      <c r="AP300" s="2402"/>
      <c r="AQ300" s="2402"/>
      <c r="AR300" s="2402"/>
      <c r="AS300" s="2402"/>
      <c r="AT300" s="2402"/>
      <c r="AU300" s="2402"/>
      <c r="AV300" s="2402"/>
      <c r="AW300" s="2391"/>
    </row>
    <row r="301" spans="1:54" ht="59.25" customHeight="1">
      <c r="A301" s="2403"/>
      <c r="B301" s="2403"/>
      <c r="C301" s="2399"/>
      <c r="D301" s="2399"/>
      <c r="E301" s="2399"/>
      <c r="F301" s="2399"/>
      <c r="G301" s="2399"/>
      <c r="H301" s="2399"/>
      <c r="I301" s="2399"/>
      <c r="J301" s="2399"/>
      <c r="K301" s="2399"/>
      <c r="L301" s="2399"/>
      <c r="M301" s="2399"/>
      <c r="N301" s="2399"/>
      <c r="O301" s="2404"/>
      <c r="P301" s="2404"/>
      <c r="Q301" s="2404"/>
      <c r="R301" s="2404"/>
      <c r="S301" s="2404"/>
      <c r="T301" s="2404"/>
      <c r="U301" s="2404"/>
      <c r="V301" s="2404"/>
      <c r="W301" s="2404"/>
      <c r="X301" s="2404"/>
      <c r="Y301" s="2399"/>
      <c r="Z301" s="2399"/>
      <c r="AA301" s="2399"/>
      <c r="AB301" s="2404"/>
      <c r="AC301" s="2404"/>
      <c r="AD301" s="2404"/>
      <c r="AE301" s="2405"/>
      <c r="AF301" s="2405"/>
      <c r="AG301" s="2405"/>
      <c r="AH301" s="2405"/>
      <c r="AI301" s="2405"/>
      <c r="AJ301" s="2405"/>
      <c r="AK301" s="2405"/>
      <c r="AL301" s="2405"/>
      <c r="AM301" s="2405"/>
      <c r="AN301" s="2405"/>
      <c r="AO301" s="2405"/>
      <c r="AP301" s="2405"/>
      <c r="AQ301" s="2405"/>
      <c r="AR301" s="2405"/>
      <c r="AS301" s="2405"/>
      <c r="AT301" s="2405"/>
      <c r="AU301" s="2405"/>
      <c r="AV301" s="2405"/>
      <c r="AW301" s="2391"/>
    </row>
    <row r="302" spans="1:54" ht="42.75" customHeight="1">
      <c r="A302" s="2169"/>
      <c r="B302" s="2169"/>
      <c r="C302" s="115"/>
      <c r="D302" s="115"/>
      <c r="E302" s="115"/>
      <c r="F302" s="115"/>
      <c r="G302" s="115"/>
      <c r="H302" s="115"/>
      <c r="I302" s="115"/>
      <c r="J302" s="115"/>
      <c r="K302" s="115"/>
      <c r="L302" s="115"/>
      <c r="M302" s="115"/>
      <c r="N302" s="115"/>
      <c r="O302" s="114"/>
      <c r="P302" s="114"/>
      <c r="Q302" s="114"/>
      <c r="R302" s="114"/>
      <c r="S302" s="114"/>
      <c r="T302" s="114"/>
      <c r="U302" s="114"/>
      <c r="V302" s="114"/>
      <c r="W302" s="114"/>
      <c r="X302" s="114"/>
      <c r="Y302" s="115"/>
      <c r="Z302" s="115"/>
      <c r="AA302" s="115"/>
      <c r="AB302" s="114"/>
      <c r="AC302" s="114"/>
      <c r="AD302" s="114"/>
      <c r="AE302" s="2170"/>
      <c r="AF302" s="2170"/>
      <c r="AG302" s="2170"/>
      <c r="AH302" s="2170"/>
      <c r="AI302" s="2170"/>
      <c r="AJ302" s="2170"/>
      <c r="AK302" s="2170"/>
      <c r="AL302" s="2170"/>
      <c r="AM302" s="2170"/>
      <c r="AN302" s="2170"/>
      <c r="AO302" s="2170"/>
      <c r="AP302" s="2170"/>
      <c r="AQ302" s="2170"/>
      <c r="AR302" s="2170"/>
      <c r="AS302" s="2170"/>
      <c r="AT302" s="2170"/>
      <c r="AU302" s="2170"/>
      <c r="AV302" s="2170"/>
    </row>
    <row r="303" spans="1:54" ht="27" customHeight="1">
      <c r="A303" s="2169"/>
      <c r="B303" s="2169"/>
      <c r="C303" s="115"/>
      <c r="D303" s="115"/>
      <c r="E303" s="115"/>
      <c r="F303" s="115"/>
      <c r="G303" s="115"/>
      <c r="H303" s="115"/>
      <c r="I303" s="115"/>
      <c r="J303" s="115"/>
      <c r="K303" s="115"/>
      <c r="L303" s="115"/>
      <c r="M303" s="115"/>
      <c r="N303" s="115"/>
      <c r="O303" s="114"/>
      <c r="P303" s="114"/>
      <c r="Q303" s="114"/>
      <c r="R303" s="114"/>
      <c r="S303" s="114"/>
      <c r="T303" s="114"/>
      <c r="U303" s="114"/>
      <c r="V303" s="114"/>
      <c r="W303" s="114"/>
      <c r="X303" s="114"/>
      <c r="Y303" s="115"/>
      <c r="Z303" s="115"/>
      <c r="AA303" s="115"/>
      <c r="AB303" s="114"/>
      <c r="AC303" s="114"/>
      <c r="AD303" s="114"/>
      <c r="AE303" s="2170"/>
      <c r="AF303" s="2170"/>
      <c r="AG303" s="2170"/>
      <c r="AH303" s="2170"/>
      <c r="AI303" s="2170"/>
      <c r="AJ303" s="2170"/>
      <c r="AK303" s="2170"/>
      <c r="AL303" s="2170"/>
      <c r="AM303" s="2170"/>
      <c r="AN303" s="2170"/>
      <c r="AO303" s="2170"/>
      <c r="AP303" s="2170"/>
      <c r="AQ303" s="2170"/>
      <c r="AR303" s="2170"/>
      <c r="AS303" s="2170"/>
      <c r="AT303" s="2170"/>
      <c r="AU303" s="2170"/>
      <c r="AV303" s="2170"/>
    </row>
    <row r="304" spans="1:54" ht="40.5" customHeight="1">
      <c r="A304" s="2169"/>
      <c r="B304" s="2169"/>
      <c r="C304" s="115"/>
      <c r="D304" s="115"/>
      <c r="E304" s="115"/>
      <c r="F304" s="115"/>
      <c r="G304" s="115"/>
      <c r="H304" s="115"/>
      <c r="I304" s="115"/>
      <c r="J304" s="115"/>
      <c r="K304" s="115"/>
      <c r="L304" s="115"/>
      <c r="M304" s="115"/>
      <c r="N304" s="115"/>
      <c r="O304" s="114"/>
      <c r="P304" s="114"/>
      <c r="Q304" s="114"/>
      <c r="R304" s="114"/>
      <c r="S304" s="114"/>
      <c r="T304" s="114"/>
      <c r="U304" s="114"/>
      <c r="V304" s="114"/>
      <c r="W304" s="114"/>
      <c r="X304" s="114"/>
      <c r="Y304" s="115"/>
      <c r="Z304" s="115"/>
      <c r="AA304" s="115"/>
      <c r="AB304" s="114"/>
      <c r="AC304" s="114"/>
      <c r="AD304" s="114"/>
      <c r="AE304" s="2170"/>
      <c r="AF304" s="2170"/>
      <c r="AG304" s="2170"/>
      <c r="AH304" s="2170"/>
      <c r="AI304" s="2170"/>
      <c r="AJ304" s="2170"/>
      <c r="AK304" s="2170"/>
      <c r="AL304" s="2170"/>
      <c r="AM304" s="2170"/>
      <c r="AN304" s="2170"/>
      <c r="AO304" s="2170"/>
      <c r="AP304" s="2170"/>
      <c r="AQ304" s="2170"/>
      <c r="AR304" s="2170"/>
      <c r="AS304" s="2170"/>
      <c r="AT304" s="2170"/>
      <c r="AU304" s="2170"/>
      <c r="AV304" s="2170"/>
    </row>
    <row r="305" spans="1:48" ht="35.25" customHeight="1">
      <c r="A305" s="2169"/>
      <c r="B305" s="2169"/>
      <c r="C305" s="115"/>
      <c r="D305" s="115"/>
      <c r="E305" s="115"/>
      <c r="F305" s="115"/>
      <c r="G305" s="115"/>
      <c r="H305" s="115"/>
      <c r="I305" s="115"/>
      <c r="J305" s="115"/>
      <c r="K305" s="115"/>
      <c r="L305" s="115"/>
      <c r="M305" s="115"/>
      <c r="N305" s="115"/>
      <c r="O305" s="114"/>
      <c r="P305" s="114"/>
      <c r="Q305" s="114"/>
      <c r="R305" s="114"/>
      <c r="S305" s="114"/>
      <c r="T305" s="114"/>
      <c r="U305" s="114"/>
      <c r="V305" s="114"/>
      <c r="W305" s="114"/>
      <c r="X305" s="114"/>
      <c r="Y305" s="115"/>
      <c r="Z305" s="115"/>
      <c r="AA305" s="115"/>
      <c r="AB305" s="114"/>
      <c r="AC305" s="114"/>
      <c r="AD305" s="114"/>
      <c r="AE305" s="2170"/>
      <c r="AF305" s="2170"/>
      <c r="AG305" s="2170"/>
      <c r="AH305" s="2170"/>
      <c r="AI305" s="2170"/>
      <c r="AJ305" s="2170"/>
      <c r="AK305" s="2170"/>
      <c r="AL305" s="2170"/>
      <c r="AM305" s="2170"/>
      <c r="AN305" s="2170"/>
      <c r="AO305" s="2170"/>
      <c r="AP305" s="2170"/>
      <c r="AQ305" s="2170"/>
      <c r="AR305" s="2170"/>
      <c r="AS305" s="2170"/>
      <c r="AT305" s="2170"/>
      <c r="AU305" s="2170"/>
      <c r="AV305" s="2170"/>
    </row>
    <row r="306" spans="1:48" ht="41.25" customHeight="1">
      <c r="A306" s="2169"/>
      <c r="B306" s="2169"/>
      <c r="C306" s="115"/>
      <c r="D306" s="115"/>
      <c r="E306" s="115"/>
      <c r="F306" s="115"/>
      <c r="G306" s="115"/>
      <c r="H306" s="115"/>
      <c r="I306" s="115"/>
      <c r="J306" s="115"/>
      <c r="K306" s="115"/>
      <c r="L306" s="115"/>
      <c r="M306" s="115"/>
      <c r="N306" s="115"/>
      <c r="O306" s="114"/>
      <c r="P306" s="114"/>
      <c r="Q306" s="114"/>
      <c r="R306" s="114"/>
      <c r="S306" s="114"/>
      <c r="T306" s="114"/>
      <c r="U306" s="114"/>
      <c r="V306" s="114"/>
      <c r="W306" s="114"/>
      <c r="X306" s="114"/>
      <c r="Y306" s="115"/>
      <c r="Z306" s="115"/>
      <c r="AA306" s="115"/>
      <c r="AB306" s="114"/>
      <c r="AC306" s="114"/>
      <c r="AD306" s="114"/>
      <c r="AE306" s="2170"/>
      <c r="AF306" s="2170"/>
      <c r="AG306" s="2170"/>
      <c r="AH306" s="2170"/>
      <c r="AI306" s="2170"/>
      <c r="AJ306" s="2170"/>
      <c r="AK306" s="2170"/>
      <c r="AL306" s="2170"/>
      <c r="AM306" s="2170"/>
      <c r="AN306" s="2170"/>
      <c r="AO306" s="2170"/>
      <c r="AP306" s="2170"/>
      <c r="AQ306" s="2170"/>
      <c r="AR306" s="2170"/>
      <c r="AS306" s="2170"/>
      <c r="AT306" s="2170"/>
      <c r="AU306" s="2170"/>
      <c r="AV306" s="2170"/>
    </row>
    <row r="307" spans="1:48" ht="39" customHeight="1">
      <c r="A307" s="2169"/>
      <c r="B307" s="2169"/>
      <c r="C307" s="115"/>
      <c r="D307" s="115"/>
      <c r="E307" s="115"/>
      <c r="F307" s="115"/>
      <c r="G307" s="115"/>
      <c r="H307" s="115"/>
      <c r="I307" s="115"/>
      <c r="J307" s="115"/>
      <c r="K307" s="115"/>
      <c r="L307" s="115"/>
      <c r="M307" s="115"/>
      <c r="N307" s="115"/>
      <c r="O307" s="114"/>
      <c r="P307" s="114"/>
      <c r="Q307" s="114"/>
      <c r="R307" s="114"/>
      <c r="S307" s="114"/>
      <c r="T307" s="114"/>
      <c r="U307" s="114"/>
      <c r="V307" s="114"/>
      <c r="W307" s="114"/>
      <c r="X307" s="114"/>
      <c r="Y307" s="115"/>
      <c r="Z307" s="115"/>
      <c r="AA307" s="115"/>
      <c r="AB307" s="114"/>
      <c r="AC307" s="114"/>
      <c r="AD307" s="114"/>
      <c r="AE307" s="2170"/>
      <c r="AF307" s="2170"/>
      <c r="AG307" s="2170"/>
      <c r="AH307" s="2170"/>
      <c r="AI307" s="2170"/>
      <c r="AJ307" s="2170"/>
      <c r="AK307" s="2170"/>
      <c r="AL307" s="2170"/>
      <c r="AM307" s="2170"/>
      <c r="AN307" s="2170"/>
      <c r="AO307" s="2170"/>
      <c r="AP307" s="2170"/>
      <c r="AQ307" s="2170"/>
      <c r="AR307" s="2170"/>
      <c r="AS307" s="2170"/>
      <c r="AT307" s="2170"/>
      <c r="AU307" s="2170"/>
      <c r="AV307" s="2170"/>
    </row>
    <row r="308" spans="1:48" ht="81" customHeight="1">
      <c r="A308" s="2169"/>
      <c r="B308" s="2169"/>
      <c r="C308" s="115"/>
      <c r="D308" s="115"/>
      <c r="E308" s="115"/>
      <c r="F308" s="115"/>
      <c r="G308" s="115"/>
      <c r="H308" s="115"/>
      <c r="I308" s="115"/>
      <c r="J308" s="115"/>
      <c r="K308" s="115"/>
      <c r="L308" s="115"/>
      <c r="M308" s="115"/>
      <c r="N308" s="115"/>
      <c r="O308" s="114"/>
      <c r="P308" s="114"/>
      <c r="Q308" s="114"/>
      <c r="R308" s="114"/>
      <c r="S308" s="114"/>
      <c r="T308" s="114"/>
      <c r="U308" s="114"/>
      <c r="V308" s="114"/>
      <c r="W308" s="114"/>
      <c r="X308" s="114"/>
      <c r="Y308" s="115"/>
      <c r="Z308" s="115"/>
      <c r="AA308" s="115"/>
      <c r="AB308" s="114"/>
      <c r="AC308" s="114"/>
      <c r="AD308" s="114"/>
      <c r="AE308" s="2170"/>
      <c r="AF308" s="2170"/>
      <c r="AG308" s="2170"/>
      <c r="AH308" s="2170"/>
      <c r="AI308" s="2170"/>
      <c r="AJ308" s="2170"/>
      <c r="AK308" s="2170"/>
      <c r="AL308" s="2170"/>
      <c r="AM308" s="2170"/>
      <c r="AN308" s="2170"/>
      <c r="AO308" s="2170"/>
      <c r="AP308" s="2170"/>
      <c r="AQ308" s="2170"/>
      <c r="AR308" s="2170"/>
      <c r="AS308" s="2170"/>
      <c r="AT308" s="2170"/>
      <c r="AU308" s="2170"/>
      <c r="AV308" s="2170"/>
    </row>
    <row r="309" spans="1:48" ht="33.75" customHeight="1">
      <c r="A309" s="2169"/>
      <c r="B309" s="2169"/>
      <c r="C309" s="115"/>
      <c r="D309" s="115"/>
      <c r="E309" s="115"/>
      <c r="F309" s="115"/>
      <c r="G309" s="115"/>
      <c r="H309" s="115"/>
      <c r="I309" s="115"/>
      <c r="J309" s="115"/>
      <c r="K309" s="115"/>
      <c r="L309" s="115"/>
      <c r="M309" s="115"/>
      <c r="N309" s="115"/>
      <c r="O309" s="114"/>
      <c r="P309" s="114"/>
      <c r="Q309" s="114"/>
      <c r="R309" s="114"/>
      <c r="S309" s="114"/>
      <c r="T309" s="114"/>
      <c r="U309" s="114"/>
      <c r="V309" s="114"/>
      <c r="W309" s="114"/>
      <c r="X309" s="114"/>
      <c r="Y309" s="115"/>
      <c r="Z309" s="115"/>
      <c r="AA309" s="115"/>
      <c r="AB309" s="114"/>
      <c r="AC309" s="114"/>
      <c r="AD309" s="114"/>
      <c r="AE309" s="2170"/>
      <c r="AF309" s="2170"/>
      <c r="AG309" s="2170"/>
      <c r="AH309" s="2170"/>
      <c r="AI309" s="2170"/>
      <c r="AJ309" s="2170"/>
      <c r="AK309" s="2170"/>
      <c r="AL309" s="2170"/>
      <c r="AM309" s="2170"/>
      <c r="AN309" s="2170"/>
      <c r="AO309" s="2170"/>
      <c r="AP309" s="2170"/>
      <c r="AQ309" s="2170"/>
      <c r="AR309" s="2170"/>
      <c r="AS309" s="2170"/>
      <c r="AT309" s="2170"/>
      <c r="AU309" s="2170"/>
      <c r="AV309" s="2170"/>
    </row>
    <row r="310" spans="1:48" ht="147.75" customHeight="1">
      <c r="A310" s="2169"/>
      <c r="B310" s="2169"/>
      <c r="C310" s="115"/>
      <c r="D310" s="115"/>
      <c r="E310" s="115"/>
      <c r="F310" s="115"/>
      <c r="G310" s="115"/>
      <c r="H310" s="115"/>
      <c r="I310" s="115"/>
      <c r="J310" s="115"/>
      <c r="K310" s="115"/>
      <c r="L310" s="115"/>
      <c r="M310" s="115"/>
      <c r="N310" s="115"/>
      <c r="O310" s="114"/>
      <c r="P310" s="114"/>
      <c r="Q310" s="114"/>
      <c r="R310" s="114"/>
      <c r="S310" s="114"/>
      <c r="T310" s="114"/>
      <c r="U310" s="114"/>
      <c r="V310" s="114"/>
      <c r="W310" s="114"/>
      <c r="X310" s="114"/>
      <c r="Y310" s="115"/>
      <c r="Z310" s="115"/>
      <c r="AA310" s="115"/>
      <c r="AB310" s="114"/>
      <c r="AC310" s="114"/>
      <c r="AD310" s="114"/>
      <c r="AE310" s="2170"/>
      <c r="AF310" s="2170"/>
      <c r="AG310" s="2170"/>
      <c r="AH310" s="2170"/>
      <c r="AI310" s="2170"/>
      <c r="AJ310" s="2170"/>
      <c r="AK310" s="2170"/>
      <c r="AL310" s="2170"/>
      <c r="AM310" s="2170"/>
      <c r="AN310" s="2170"/>
      <c r="AO310" s="2170"/>
      <c r="AP310" s="2170"/>
      <c r="AQ310" s="2170"/>
      <c r="AR310" s="2170"/>
      <c r="AS310" s="2170"/>
      <c r="AT310" s="2170"/>
      <c r="AU310" s="2170"/>
      <c r="AV310" s="2170"/>
    </row>
    <row r="311" spans="1:48" ht="36" customHeight="1">
      <c r="A311" s="2169"/>
      <c r="B311" s="2169"/>
      <c r="C311" s="115"/>
      <c r="D311" s="115"/>
      <c r="E311" s="115"/>
      <c r="F311" s="115"/>
      <c r="G311" s="115"/>
      <c r="H311" s="115"/>
      <c r="I311" s="115"/>
      <c r="J311" s="115"/>
      <c r="K311" s="115"/>
      <c r="L311" s="115"/>
      <c r="M311" s="115"/>
      <c r="N311" s="115"/>
      <c r="O311" s="114"/>
      <c r="P311" s="114"/>
      <c r="Q311" s="114"/>
      <c r="R311" s="114"/>
      <c r="S311" s="114"/>
      <c r="T311" s="114"/>
      <c r="U311" s="114"/>
      <c r="V311" s="114"/>
      <c r="W311" s="114"/>
      <c r="X311" s="114"/>
      <c r="Y311" s="115"/>
      <c r="Z311" s="115"/>
      <c r="AA311" s="115"/>
      <c r="AB311" s="114"/>
      <c r="AC311" s="114"/>
      <c r="AD311" s="114"/>
      <c r="AE311" s="2170"/>
      <c r="AF311" s="2170"/>
      <c r="AG311" s="2170"/>
      <c r="AH311" s="2170"/>
      <c r="AI311" s="2170"/>
      <c r="AJ311" s="2170"/>
      <c r="AK311" s="2170"/>
      <c r="AL311" s="2170"/>
      <c r="AM311" s="2170"/>
      <c r="AN311" s="2170"/>
      <c r="AO311" s="2170"/>
      <c r="AP311" s="2170"/>
      <c r="AQ311" s="2170"/>
      <c r="AR311" s="2170"/>
      <c r="AS311" s="2170"/>
      <c r="AT311" s="2170"/>
      <c r="AU311" s="2170"/>
      <c r="AV311" s="2170"/>
    </row>
    <row r="312" spans="1:48" ht="82.5" customHeight="1">
      <c r="A312" s="2169"/>
      <c r="B312" s="2169"/>
      <c r="C312" s="115"/>
      <c r="D312" s="115"/>
      <c r="E312" s="115"/>
      <c r="F312" s="115"/>
      <c r="G312" s="115"/>
      <c r="H312" s="115"/>
      <c r="I312" s="115"/>
      <c r="J312" s="115"/>
      <c r="K312" s="115"/>
      <c r="L312" s="115"/>
      <c r="M312" s="115"/>
      <c r="N312" s="115"/>
      <c r="O312" s="114"/>
      <c r="P312" s="114"/>
      <c r="Q312" s="114"/>
      <c r="R312" s="114"/>
      <c r="S312" s="114"/>
      <c r="T312" s="114"/>
      <c r="U312" s="114"/>
      <c r="V312" s="114"/>
      <c r="W312" s="114"/>
      <c r="X312" s="114"/>
      <c r="Y312" s="115"/>
      <c r="Z312" s="115"/>
      <c r="AA312" s="115"/>
      <c r="AB312" s="114"/>
      <c r="AC312" s="114"/>
      <c r="AD312" s="114"/>
      <c r="AE312" s="2170"/>
      <c r="AF312" s="2170"/>
      <c r="AG312" s="2170"/>
      <c r="AH312" s="2170"/>
      <c r="AI312" s="2170"/>
      <c r="AJ312" s="2170"/>
      <c r="AK312" s="2170"/>
      <c r="AL312" s="2170"/>
      <c r="AM312" s="2170"/>
      <c r="AN312" s="2170"/>
      <c r="AO312" s="2170"/>
      <c r="AP312" s="2170"/>
      <c r="AQ312" s="2170"/>
      <c r="AR312" s="2170"/>
      <c r="AS312" s="2170"/>
      <c r="AT312" s="2170"/>
      <c r="AU312" s="2170"/>
      <c r="AV312" s="2170"/>
    </row>
    <row r="313" spans="1:48" ht="22.5" customHeight="1">
      <c r="A313" s="2169"/>
      <c r="B313" s="2171"/>
      <c r="C313" s="2171"/>
      <c r="D313" s="2171"/>
      <c r="E313" s="2171"/>
      <c r="F313" s="2171"/>
      <c r="G313" s="2171"/>
      <c r="H313" s="2171"/>
      <c r="I313" s="2171"/>
      <c r="J313" s="2171"/>
      <c r="K313" s="2171"/>
      <c r="L313" s="2171"/>
      <c r="M313" s="2171"/>
      <c r="N313" s="2171"/>
      <c r="O313" s="2171"/>
      <c r="P313" s="2171"/>
      <c r="Q313" s="2171"/>
      <c r="R313" s="2171"/>
      <c r="S313" s="2171"/>
      <c r="T313" s="2171"/>
      <c r="U313" s="2171"/>
      <c r="V313" s="2171"/>
      <c r="W313" s="2171"/>
      <c r="X313" s="2171"/>
      <c r="Y313" s="2171"/>
      <c r="Z313" s="2171"/>
      <c r="AA313" s="2171"/>
      <c r="AB313" s="2171"/>
      <c r="AC313" s="2171"/>
      <c r="AD313" s="2171"/>
      <c r="AE313" s="2171"/>
      <c r="AF313" s="2171"/>
      <c r="AG313" s="2171"/>
      <c r="AH313" s="2171"/>
      <c r="AI313" s="2171"/>
      <c r="AJ313" s="2171"/>
      <c r="AK313" s="2171"/>
      <c r="AL313" s="2171"/>
      <c r="AM313" s="2171"/>
      <c r="AN313" s="2171"/>
      <c r="AO313" s="2171"/>
      <c r="AP313" s="2171"/>
      <c r="AQ313" s="2171"/>
      <c r="AR313" s="2171"/>
      <c r="AS313" s="2171"/>
      <c r="AT313" s="2171"/>
      <c r="AU313" s="2171"/>
      <c r="AV313" s="2171"/>
    </row>
  </sheetData>
  <sheetProtection algorithmName="SHA-512" hashValue="ek7WNKt5zy5dXlggc59mGdlqnZQjK/Nfu6mq1MNqEuRb41dXjIZdZnx0mJNkr0RKMvzQ3ucuRbsfGFiHPcZNFQ==" saltValue="GPDVfDkN45clWeFsA301TA==" spinCount="100000" sheet="1" formatCells="0" formatColumns="0" formatRows="0" insertColumns="0" insertRows="0" insertHyperlinks="0" deleteColumns="0" deleteRows="0" sort="0" autoFilter="0" pivotTables="0"/>
  <mergeCells count="106">
    <mergeCell ref="A1:AZ1"/>
    <mergeCell ref="A2:AZ2"/>
    <mergeCell ref="A3:AZ3"/>
    <mergeCell ref="A5:A7"/>
    <mergeCell ref="B5:AC5"/>
    <mergeCell ref="AE5:AV5"/>
    <mergeCell ref="AW5:AW7"/>
    <mergeCell ref="AX5:AX7"/>
    <mergeCell ref="AY5:AY7"/>
    <mergeCell ref="AZ5:AZ7"/>
    <mergeCell ref="S6:S7"/>
    <mergeCell ref="T6:T7"/>
    <mergeCell ref="U6:U7"/>
    <mergeCell ref="V6:V7"/>
    <mergeCell ref="W6:W7"/>
    <mergeCell ref="X6:X7"/>
    <mergeCell ref="BA5:BA7"/>
    <mergeCell ref="BB5:BB7"/>
    <mergeCell ref="B6:B7"/>
    <mergeCell ref="O6:O7"/>
    <mergeCell ref="P6:P7"/>
    <mergeCell ref="Q6:Q7"/>
    <mergeCell ref="R6:R7"/>
    <mergeCell ref="AI6:AI7"/>
    <mergeCell ref="AM6:AM7"/>
    <mergeCell ref="AN6:AN7"/>
    <mergeCell ref="AO6:AO7"/>
    <mergeCell ref="AJ6:AL6"/>
    <mergeCell ref="Y6:Y7"/>
    <mergeCell ref="Z6:Z7"/>
    <mergeCell ref="AA6:AA7"/>
    <mergeCell ref="AB6:AB7"/>
    <mergeCell ref="AC6:AC7"/>
    <mergeCell ref="AE6:AE7"/>
    <mergeCell ref="I6:K6"/>
    <mergeCell ref="AZ13:AZ15"/>
    <mergeCell ref="AZ16:AZ18"/>
    <mergeCell ref="AZ24:AZ25"/>
    <mergeCell ref="AZ27:AZ30"/>
    <mergeCell ref="AZ34:AZ35"/>
    <mergeCell ref="AZ39:AZ40"/>
    <mergeCell ref="AP6:AP7"/>
    <mergeCell ref="AS6:AS7"/>
    <mergeCell ref="AT6:AT7"/>
    <mergeCell ref="AU6:AU7"/>
    <mergeCell ref="AV6:AV7"/>
    <mergeCell ref="AZ11:AZ12"/>
    <mergeCell ref="AQ6:AQ7"/>
    <mergeCell ref="AR6:AR7"/>
    <mergeCell ref="AZ93:AZ96"/>
    <mergeCell ref="AZ102:AZ104"/>
    <mergeCell ref="AZ108:AZ110"/>
    <mergeCell ref="AZ115:AZ116"/>
    <mergeCell ref="AZ122:AZ123"/>
    <mergeCell ref="AZ126:AZ127"/>
    <mergeCell ref="AZ41:AZ43"/>
    <mergeCell ref="AZ47:AZ48"/>
    <mergeCell ref="AZ54:AZ55"/>
    <mergeCell ref="AZ72:AZ73"/>
    <mergeCell ref="AZ86:AZ87"/>
    <mergeCell ref="AZ90:AZ91"/>
    <mergeCell ref="AZ235:AZ237"/>
    <mergeCell ref="AZ241:AZ243"/>
    <mergeCell ref="AZ254:AZ255"/>
    <mergeCell ref="AZ262:AZ265"/>
    <mergeCell ref="AZ274:AZ276"/>
    <mergeCell ref="A296:B296"/>
    <mergeCell ref="AZ130:AZ131"/>
    <mergeCell ref="AZ136:AZ139"/>
    <mergeCell ref="AZ169:AZ172"/>
    <mergeCell ref="AZ181:AZ182"/>
    <mergeCell ref="AZ204:AZ205"/>
    <mergeCell ref="AZ221:AZ225"/>
    <mergeCell ref="A305:B305"/>
    <mergeCell ref="AE305:AV305"/>
    <mergeCell ref="A297:AW297"/>
    <mergeCell ref="A300:B300"/>
    <mergeCell ref="AE300:AV300"/>
    <mergeCell ref="A301:B301"/>
    <mergeCell ref="AE301:AV301"/>
    <mergeCell ref="A302:B302"/>
    <mergeCell ref="AE302:AV302"/>
    <mergeCell ref="A312:B312"/>
    <mergeCell ref="AE312:AV312"/>
    <mergeCell ref="A313:AV313"/>
    <mergeCell ref="C6:E6"/>
    <mergeCell ref="F6:H6"/>
    <mergeCell ref="L6:N6"/>
    <mergeCell ref="AD6:AD7"/>
    <mergeCell ref="AF6:AH6"/>
    <mergeCell ref="A309:B309"/>
    <mergeCell ref="AE309:AV309"/>
    <mergeCell ref="A310:B310"/>
    <mergeCell ref="AE310:AV310"/>
    <mergeCell ref="A311:B311"/>
    <mergeCell ref="AE311:AV311"/>
    <mergeCell ref="A306:B306"/>
    <mergeCell ref="AE306:AV306"/>
    <mergeCell ref="A307:B307"/>
    <mergeCell ref="AE307:AV307"/>
    <mergeCell ref="A308:B308"/>
    <mergeCell ref="AE308:AV308"/>
    <mergeCell ref="A303:B303"/>
    <mergeCell ref="AE303:AV303"/>
    <mergeCell ref="A304:B304"/>
    <mergeCell ref="AE304:AV304"/>
  </mergeCells>
  <phoneticPr fontId="38" type="noConversion"/>
  <printOptions horizontalCentered="1" verticalCentered="1"/>
  <pageMargins left="0" right="0" top="0.98425196850393704" bottom="0.98425196850393704" header="0" footer="0"/>
  <pageSetup scale="21"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6F66A-C9B9-4388-86C8-553920DC12E7}">
  <sheetPr filterMode="1">
    <tabColor rgb="FF92D050"/>
    <pageSetUpPr fitToPage="1"/>
  </sheetPr>
  <dimension ref="A1:AF1052"/>
  <sheetViews>
    <sheetView topLeftCell="K7" zoomScale="90" zoomScaleNormal="90" zoomScaleSheetLayoutView="100" workbookViewId="0">
      <selection activeCell="L28" sqref="L28"/>
    </sheetView>
  </sheetViews>
  <sheetFormatPr baseColWidth="10" defaultColWidth="11.42578125" defaultRowHeight="36" customHeight="1"/>
  <cols>
    <col min="1" max="4" width="12" style="1727" customWidth="1"/>
    <col min="5" max="5" width="11.5703125" style="1727" bestFit="1" customWidth="1"/>
    <col min="6" max="7" width="11.42578125" style="1727" customWidth="1"/>
    <col min="8" max="8" width="2.42578125" style="1727" customWidth="1"/>
    <col min="9" max="9" width="12" style="1727" bestFit="1" customWidth="1"/>
    <col min="10" max="10" width="18.140625" style="1727" customWidth="1"/>
    <col min="11" max="11" width="57.7109375" style="1840" customWidth="1"/>
    <col min="12" max="12" width="26.28515625" style="1821" customWidth="1"/>
    <col min="13" max="13" width="24.140625" style="1821" customWidth="1"/>
    <col min="14" max="14" width="16.7109375" style="1821" customWidth="1"/>
    <col min="15" max="15" width="26.28515625" style="1821" customWidth="1"/>
    <col min="16" max="16" width="25.7109375" style="1727" customWidth="1"/>
    <col min="17" max="17" width="21.140625" style="1727" bestFit="1" customWidth="1"/>
    <col min="18" max="18" width="25.7109375" style="1727" customWidth="1"/>
    <col min="19" max="19" width="22.140625" style="1727" customWidth="1"/>
    <col min="20" max="20" width="23.5703125" style="1727" customWidth="1"/>
    <col min="21" max="21" width="11.140625" style="1727" customWidth="1"/>
    <col min="22" max="22" width="22.28515625" style="1727" customWidth="1"/>
    <col min="23" max="23" width="14.140625" style="1727" customWidth="1"/>
    <col min="24" max="24" width="27.42578125" style="1727" customWidth="1"/>
    <col min="25" max="25" width="24.85546875" style="1727" customWidth="1"/>
    <col min="26" max="26" width="24.140625" style="1727" customWidth="1"/>
    <col min="27" max="27" width="26.28515625" style="1727" customWidth="1"/>
    <col min="28" max="28" width="11.42578125" style="1727"/>
    <col min="29" max="29" width="22" style="1727" bestFit="1" customWidth="1"/>
    <col min="30" max="16384" width="11.42578125" style="1727"/>
  </cols>
  <sheetData>
    <row r="1" spans="1:32" ht="109.5" customHeight="1" thickBot="1">
      <c r="A1" s="2331"/>
      <c r="B1" s="2332"/>
      <c r="C1" s="2332"/>
      <c r="D1" s="2332"/>
      <c r="E1" s="2332"/>
      <c r="F1" s="2333"/>
      <c r="G1" s="2333"/>
      <c r="H1" s="2333"/>
      <c r="I1" s="2332"/>
      <c r="J1" s="2332"/>
      <c r="K1" s="2332"/>
      <c r="L1" s="2332"/>
      <c r="M1" s="2332"/>
      <c r="N1" s="2332"/>
      <c r="O1" s="2332"/>
      <c r="P1" s="2332"/>
      <c r="Q1" s="2332"/>
      <c r="R1" s="2332"/>
      <c r="S1" s="2332"/>
      <c r="T1" s="2332"/>
      <c r="U1" s="2332"/>
      <c r="V1" s="2332"/>
    </row>
    <row r="2" spans="1:32" ht="26.25" customHeight="1">
      <c r="A2" s="2334" t="s">
        <v>197</v>
      </c>
      <c r="B2" s="2335"/>
      <c r="C2" s="2335"/>
      <c r="D2" s="2335"/>
      <c r="E2" s="2335"/>
      <c r="F2" s="2335"/>
      <c r="G2" s="2335"/>
      <c r="H2" s="2335"/>
      <c r="I2" s="2335"/>
      <c r="J2" s="2335"/>
      <c r="K2" s="2335"/>
      <c r="L2" s="2335"/>
      <c r="M2" s="2335"/>
      <c r="N2" s="2335"/>
      <c r="O2" s="2335"/>
      <c r="P2" s="2335"/>
      <c r="Q2" s="2335"/>
      <c r="R2" s="2335"/>
      <c r="S2" s="2335"/>
      <c r="T2" s="2335"/>
      <c r="U2" s="2335"/>
      <c r="V2" s="2335"/>
    </row>
    <row r="3" spans="1:32" ht="26.25" customHeight="1">
      <c r="A3" s="2336" t="s">
        <v>1613</v>
      </c>
      <c r="B3" s="2337"/>
      <c r="C3" s="2337"/>
      <c r="D3" s="2337"/>
      <c r="E3" s="2337"/>
      <c r="F3" s="2337"/>
      <c r="G3" s="2337"/>
      <c r="H3" s="2337"/>
      <c r="I3" s="2337"/>
      <c r="J3" s="2337"/>
      <c r="K3" s="2337"/>
      <c r="L3" s="2337"/>
      <c r="M3" s="2337"/>
      <c r="N3" s="2337"/>
      <c r="O3" s="2337"/>
      <c r="P3" s="2337"/>
      <c r="Q3" s="2337"/>
      <c r="R3" s="2337"/>
      <c r="S3" s="2337"/>
      <c r="T3" s="2337"/>
      <c r="U3" s="2337"/>
      <c r="V3" s="2337"/>
    </row>
    <row r="4" spans="1:32" ht="26.25" customHeight="1" thickBot="1">
      <c r="A4" s="2338" t="s">
        <v>966</v>
      </c>
      <c r="B4" s="2339"/>
      <c r="C4" s="2339"/>
      <c r="D4" s="2339"/>
      <c r="E4" s="2339"/>
      <c r="F4" s="2339"/>
      <c r="G4" s="2339"/>
      <c r="H4" s="2339"/>
      <c r="I4" s="2339"/>
      <c r="J4" s="2339"/>
      <c r="K4" s="2339"/>
      <c r="L4" s="2339"/>
      <c r="M4" s="2339"/>
      <c r="N4" s="2339"/>
      <c r="O4" s="2339"/>
      <c r="P4" s="2339"/>
      <c r="Q4" s="2339"/>
      <c r="R4" s="2339"/>
      <c r="S4" s="2339"/>
      <c r="T4" s="2339"/>
      <c r="U4" s="2339"/>
      <c r="V4" s="2339"/>
    </row>
    <row r="5" spans="1:32" s="1729" customFormat="1" ht="36" customHeight="1" thickTop="1" thickBot="1">
      <c r="A5" s="2340" t="s">
        <v>102</v>
      </c>
      <c r="B5" s="2341"/>
      <c r="C5" s="2341"/>
      <c r="D5" s="2341"/>
      <c r="E5" s="2341"/>
      <c r="F5" s="2341"/>
      <c r="G5" s="2341"/>
      <c r="H5" s="2341"/>
      <c r="I5" s="2342"/>
      <c r="J5" s="1728"/>
      <c r="K5" s="2343" t="s">
        <v>103</v>
      </c>
      <c r="L5" s="2345" t="s">
        <v>104</v>
      </c>
      <c r="M5" s="2346" t="s">
        <v>105</v>
      </c>
      <c r="N5" s="2346"/>
      <c r="O5" s="2343" t="s">
        <v>106</v>
      </c>
      <c r="P5" s="2347" t="s">
        <v>1614</v>
      </c>
      <c r="Q5" s="2348"/>
      <c r="R5" s="2348"/>
      <c r="S5" s="2348"/>
      <c r="T5" s="2348"/>
      <c r="U5" s="2348"/>
      <c r="V5" s="2348"/>
      <c r="W5" s="2349"/>
      <c r="X5" s="2327" t="s">
        <v>272</v>
      </c>
      <c r="Y5" s="2329" t="s">
        <v>1615</v>
      </c>
      <c r="Z5" s="2329" t="s">
        <v>2066</v>
      </c>
      <c r="AA5" s="2329" t="s">
        <v>1616</v>
      </c>
      <c r="AB5" s="2329" t="s">
        <v>110</v>
      </c>
    </row>
    <row r="6" spans="1:32" s="1736" customFormat="1" ht="69" thickTop="1" thickBot="1">
      <c r="A6" s="1730" t="s">
        <v>114</v>
      </c>
      <c r="B6" s="1730" t="s">
        <v>50</v>
      </c>
      <c r="C6" s="1731" t="s">
        <v>115</v>
      </c>
      <c r="D6" s="1730" t="s">
        <v>53</v>
      </c>
      <c r="E6" s="1730" t="s">
        <v>116</v>
      </c>
      <c r="F6" s="1730" t="s">
        <v>117</v>
      </c>
      <c r="G6" s="1730" t="s">
        <v>118</v>
      </c>
      <c r="H6" s="1730" t="s">
        <v>119</v>
      </c>
      <c r="I6" s="1732" t="s">
        <v>120</v>
      </c>
      <c r="J6" s="1732"/>
      <c r="K6" s="2344"/>
      <c r="L6" s="2343"/>
      <c r="M6" s="1733" t="s">
        <v>121</v>
      </c>
      <c r="N6" s="1734" t="s">
        <v>122</v>
      </c>
      <c r="O6" s="2344"/>
      <c r="P6" s="1735" t="s">
        <v>123</v>
      </c>
      <c r="Q6" s="1735" t="s">
        <v>1617</v>
      </c>
      <c r="R6" s="1733" t="s">
        <v>124</v>
      </c>
      <c r="S6" s="1733" t="s">
        <v>1617</v>
      </c>
      <c r="T6" s="1735" t="s">
        <v>125</v>
      </c>
      <c r="U6" s="1735" t="s">
        <v>1617</v>
      </c>
      <c r="V6" s="1735" t="s">
        <v>126</v>
      </c>
      <c r="W6" s="1735" t="s">
        <v>1617</v>
      </c>
      <c r="X6" s="2328"/>
      <c r="Y6" s="2330"/>
      <c r="Z6" s="2330"/>
      <c r="AA6" s="2330"/>
      <c r="AB6" s="2330"/>
    </row>
    <row r="7" spans="1:32" s="2021" customFormat="1" ht="16.5" thickTop="1" thickBot="1">
      <c r="A7" s="2015" t="s">
        <v>127</v>
      </c>
      <c r="B7" s="2015"/>
      <c r="C7" s="2015"/>
      <c r="D7" s="2015"/>
      <c r="E7" s="2015"/>
      <c r="F7" s="2015"/>
      <c r="G7" s="2015"/>
      <c r="H7" s="2015"/>
      <c r="I7" s="2016"/>
      <c r="J7" s="2016"/>
      <c r="K7" s="2017" t="s">
        <v>128</v>
      </c>
      <c r="L7" s="2018">
        <f>+L8+L513+L519+L525+L526</f>
        <v>164212926416.57999</v>
      </c>
      <c r="M7" s="2018">
        <f t="shared" ref="M7:N7" si="0">+M8+M513+M519+M525+M526</f>
        <v>12212277256</v>
      </c>
      <c r="N7" s="2018">
        <f t="shared" si="0"/>
        <v>0</v>
      </c>
      <c r="O7" s="2018">
        <f>+L7+M7-N7</f>
        <v>176425203672.57999</v>
      </c>
      <c r="P7" s="2018">
        <f>+P8+P513+P519+P525+P526</f>
        <v>9334357836</v>
      </c>
      <c r="Q7" s="2019">
        <f t="shared" ref="Q7:Q11" si="1">+P7/L7</f>
        <v>5.6843014978737651E-2</v>
      </c>
      <c r="R7" s="2018">
        <f>+R8+R513+R519+R525+R526</f>
        <v>155439506138.02002</v>
      </c>
      <c r="S7" s="2019">
        <f t="shared" ref="S7:S11" si="2">+R7/L7</f>
        <v>0.9465729009889069</v>
      </c>
      <c r="T7" s="2018">
        <f>+T8+T513+T519+T525+T526</f>
        <v>4595624479.0539999</v>
      </c>
      <c r="U7" s="2019">
        <f t="shared" ref="U7:U11" si="3">+T7/L7</f>
        <v>2.7985765672281424E-2</v>
      </c>
      <c r="V7" s="2018">
        <f>+V8+V513+V519+V525+V526</f>
        <v>7055715220</v>
      </c>
      <c r="W7" s="2019">
        <f t="shared" ref="W7:W11" si="4">+V7/L7</f>
        <v>4.2966868528369458E-2</v>
      </c>
      <c r="X7" s="2018">
        <f>+X8+X513+X519+X525+X526</f>
        <v>175484538643.28003</v>
      </c>
      <c r="Y7" s="2018">
        <f>+Y8+Y513+Y519+Y525+Y526</f>
        <v>88776065271</v>
      </c>
      <c r="Z7" s="2018">
        <f>+Z8+Z513+Z519+Z525+Z526</f>
        <v>62739837984.279999</v>
      </c>
      <c r="AA7" s="2018">
        <f>+Y7+Z7</f>
        <v>151515903255.28</v>
      </c>
      <c r="AB7" s="2020">
        <f>+AA7/X7</f>
        <v>0.86341454595767675</v>
      </c>
    </row>
    <row r="8" spans="1:32" s="1742" customFormat="1" ht="16.5" thickTop="1" thickBot="1">
      <c r="A8" s="1737" t="s">
        <v>127</v>
      </c>
      <c r="B8" s="1737" t="s">
        <v>127</v>
      </c>
      <c r="C8" s="1737"/>
      <c r="D8" s="1737"/>
      <c r="E8" s="1737"/>
      <c r="F8" s="1737"/>
      <c r="G8" s="1737"/>
      <c r="H8" s="1737"/>
      <c r="I8" s="1738"/>
      <c r="J8" s="1738"/>
      <c r="K8" s="1739" t="s">
        <v>1618</v>
      </c>
      <c r="L8" s="1740">
        <f>+L9+L233</f>
        <v>156930020177.57999</v>
      </c>
      <c r="M8" s="1740">
        <f t="shared" ref="M8:N8" si="5">+M9+M233</f>
        <v>11912277256</v>
      </c>
      <c r="N8" s="1740">
        <f t="shared" si="5"/>
        <v>0</v>
      </c>
      <c r="O8" s="1740">
        <f t="shared" ref="O8:O71" si="6">+L8+M8-N8</f>
        <v>168842297433.57999</v>
      </c>
      <c r="P8" s="1740">
        <f>+P9+P233</f>
        <v>6973257836</v>
      </c>
      <c r="Q8" s="1741">
        <f t="shared" si="1"/>
        <v>4.4435461284648731E-2</v>
      </c>
      <c r="R8" s="1740">
        <f>+R9+R233</f>
        <v>150217699899.02002</v>
      </c>
      <c r="S8" s="1741">
        <f t="shared" si="2"/>
        <v>0.95722730252016541</v>
      </c>
      <c r="T8" s="1740">
        <f>+T9+T233</f>
        <v>4595624479.0539999</v>
      </c>
      <c r="U8" s="1741">
        <f t="shared" si="3"/>
        <v>2.9284546537709295E-2</v>
      </c>
      <c r="V8" s="1740">
        <f>+V9+V233</f>
        <v>7055715220</v>
      </c>
      <c r="W8" s="1741">
        <f t="shared" si="4"/>
        <v>4.4960901757457518E-2</v>
      </c>
      <c r="X8" s="1740">
        <f>+X9+X233</f>
        <v>173123438643.28003</v>
      </c>
      <c r="Y8" s="1740">
        <f>+Y9+Y233</f>
        <v>87276065271</v>
      </c>
      <c r="Z8" s="1740">
        <f>+Z9+Z233</f>
        <v>56715377139.279999</v>
      </c>
      <c r="AA8" s="1740">
        <f t="shared" ref="AA8:AA71" si="7">+Y8+Z8</f>
        <v>143991442410.28</v>
      </c>
      <c r="AB8" s="1871">
        <f t="shared" ref="AB8:AB71" si="8">+AA8/X8</f>
        <v>0.831727024016509</v>
      </c>
    </row>
    <row r="9" spans="1:32" s="1748" customFormat="1" ht="16.5" thickTop="1" thickBot="1">
      <c r="A9" s="1743">
        <v>1</v>
      </c>
      <c r="B9" s="1744" t="s">
        <v>127</v>
      </c>
      <c r="C9" s="1744" t="s">
        <v>127</v>
      </c>
      <c r="D9" s="1744"/>
      <c r="E9" s="1744"/>
      <c r="F9" s="1744"/>
      <c r="G9" s="1744"/>
      <c r="H9" s="1744"/>
      <c r="I9" s="1744"/>
      <c r="J9" s="1744"/>
      <c r="K9" s="1745" t="s">
        <v>130</v>
      </c>
      <c r="L9" s="1746">
        <f>+L10+L25</f>
        <v>142182111193.12</v>
      </c>
      <c r="M9" s="1746">
        <f t="shared" ref="M9:N9" si="9">+M10+M25</f>
        <v>0</v>
      </c>
      <c r="N9" s="1746">
        <f t="shared" si="9"/>
        <v>0</v>
      </c>
      <c r="O9" s="1746">
        <f t="shared" si="6"/>
        <v>142182111193.12</v>
      </c>
      <c r="P9" s="1746">
        <f t="shared" ref="P9:V9" si="10">+P10+P25</f>
        <v>6973257836</v>
      </c>
      <c r="Q9" s="1747">
        <f t="shared" si="1"/>
        <v>4.9044551227182979E-2</v>
      </c>
      <c r="R9" s="1746">
        <f t="shared" si="10"/>
        <v>123557513658.56001</v>
      </c>
      <c r="S9" s="1747">
        <f t="shared" si="2"/>
        <v>0.86900885506431269</v>
      </c>
      <c r="T9" s="1746">
        <f t="shared" si="10"/>
        <v>4595624479.0539999</v>
      </c>
      <c r="U9" s="1747">
        <f t="shared" si="3"/>
        <v>3.2322100442101015E-2</v>
      </c>
      <c r="V9" s="1746">
        <f t="shared" si="10"/>
        <v>7055715220</v>
      </c>
      <c r="W9" s="1747">
        <f t="shared" si="4"/>
        <v>4.9624493269877799E-2</v>
      </c>
      <c r="X9" s="1746">
        <f t="shared" ref="X9:Z9" si="11">+X10+X25</f>
        <v>146034082732.46002</v>
      </c>
      <c r="Y9" s="1746">
        <f t="shared" si="11"/>
        <v>72754960347</v>
      </c>
      <c r="Z9" s="1746">
        <f t="shared" si="11"/>
        <v>48031403408.459999</v>
      </c>
      <c r="AA9" s="1746">
        <f t="shared" si="7"/>
        <v>120786363755.45999</v>
      </c>
      <c r="AB9" s="1872">
        <f t="shared" si="8"/>
        <v>0.82711077780893927</v>
      </c>
    </row>
    <row r="10" spans="1:32" s="1754" customFormat="1" ht="16.5" thickTop="1" thickBot="1">
      <c r="A10" s="1749">
        <v>1</v>
      </c>
      <c r="B10" s="1750" t="s">
        <v>127</v>
      </c>
      <c r="C10" s="1750" t="s">
        <v>127</v>
      </c>
      <c r="D10" s="1750" t="s">
        <v>129</v>
      </c>
      <c r="E10" s="1750"/>
      <c r="F10" s="1750"/>
      <c r="G10" s="1750"/>
      <c r="H10" s="1750"/>
      <c r="I10" s="1750"/>
      <c r="J10" s="1750"/>
      <c r="K10" s="1751" t="s">
        <v>131</v>
      </c>
      <c r="L10" s="1752">
        <f>+L11</f>
        <v>13835398746.27</v>
      </c>
      <c r="M10" s="1752">
        <f t="shared" ref="M10:N10" si="12">+M11</f>
        <v>0</v>
      </c>
      <c r="N10" s="1752">
        <f t="shared" si="12"/>
        <v>0</v>
      </c>
      <c r="O10" s="1752">
        <f t="shared" si="6"/>
        <v>13835398746.27</v>
      </c>
      <c r="P10" s="1752">
        <f t="shared" ref="P10:Z10" si="13">+P11</f>
        <v>0</v>
      </c>
      <c r="Q10" s="1753">
        <f t="shared" si="1"/>
        <v>0</v>
      </c>
      <c r="R10" s="1752">
        <f t="shared" si="13"/>
        <v>13835398747.27</v>
      </c>
      <c r="S10" s="1753">
        <f t="shared" si="2"/>
        <v>1.0000000000722784</v>
      </c>
      <c r="T10" s="1752">
        <f t="shared" si="13"/>
        <v>0</v>
      </c>
      <c r="U10" s="1753">
        <f t="shared" si="3"/>
        <v>0</v>
      </c>
      <c r="V10" s="1752">
        <f t="shared" si="13"/>
        <v>0</v>
      </c>
      <c r="W10" s="1753">
        <f t="shared" si="4"/>
        <v>0</v>
      </c>
      <c r="X10" s="1752">
        <f t="shared" si="13"/>
        <v>19954109557</v>
      </c>
      <c r="Y10" s="1752">
        <f t="shared" si="13"/>
        <v>7991616194</v>
      </c>
      <c r="Z10" s="1752">
        <f t="shared" si="13"/>
        <v>5931584003</v>
      </c>
      <c r="AA10" s="1752">
        <f t="shared" si="7"/>
        <v>13923200197</v>
      </c>
      <c r="AB10" s="1873">
        <f t="shared" si="8"/>
        <v>0.69776103800711431</v>
      </c>
    </row>
    <row r="11" spans="1:32" s="1760" customFormat="1" ht="22.5" customHeight="1" thickTop="1" thickBot="1">
      <c r="A11" s="1755">
        <v>1</v>
      </c>
      <c r="B11" s="1756" t="s">
        <v>127</v>
      </c>
      <c r="C11" s="1756" t="s">
        <v>127</v>
      </c>
      <c r="D11" s="1756" t="s">
        <v>129</v>
      </c>
      <c r="E11" s="1756" t="s">
        <v>129</v>
      </c>
      <c r="F11" s="1756"/>
      <c r="G11" s="1756"/>
      <c r="H11" s="1756"/>
      <c r="I11" s="1756"/>
      <c r="J11" s="1756"/>
      <c r="K11" s="1757" t="s">
        <v>132</v>
      </c>
      <c r="L11" s="1758">
        <f>+L12+L21</f>
        <v>13835398746.27</v>
      </c>
      <c r="M11" s="1758">
        <f t="shared" ref="M11:N11" si="14">+M12+M21</f>
        <v>0</v>
      </c>
      <c r="N11" s="1758">
        <f t="shared" si="14"/>
        <v>0</v>
      </c>
      <c r="O11" s="1758">
        <f t="shared" si="6"/>
        <v>13835398746.27</v>
      </c>
      <c r="P11" s="1758">
        <f t="shared" ref="P11:V11" si="15">+P12+P21</f>
        <v>0</v>
      </c>
      <c r="Q11" s="1759">
        <f t="shared" si="1"/>
        <v>0</v>
      </c>
      <c r="R11" s="1758">
        <f t="shared" si="15"/>
        <v>13835398747.27</v>
      </c>
      <c r="S11" s="1759">
        <f t="shared" si="2"/>
        <v>1.0000000000722784</v>
      </c>
      <c r="T11" s="1758">
        <f t="shared" si="15"/>
        <v>0</v>
      </c>
      <c r="U11" s="1759">
        <f t="shared" si="3"/>
        <v>0</v>
      </c>
      <c r="V11" s="1758">
        <f t="shared" si="15"/>
        <v>0</v>
      </c>
      <c r="W11" s="1759">
        <f t="shared" si="4"/>
        <v>0</v>
      </c>
      <c r="X11" s="1758">
        <f t="shared" ref="X11:Z11" si="16">+X12+X21</f>
        <v>19954109557</v>
      </c>
      <c r="Y11" s="1758">
        <f t="shared" si="16"/>
        <v>7991616194</v>
      </c>
      <c r="Z11" s="1758">
        <f t="shared" si="16"/>
        <v>5931584003</v>
      </c>
      <c r="AA11" s="1758">
        <f t="shared" si="7"/>
        <v>13923200197</v>
      </c>
      <c r="AB11" s="1874">
        <f t="shared" si="8"/>
        <v>0.69776103800711431</v>
      </c>
    </row>
    <row r="12" spans="1:32" s="1766" customFormat="1" ht="22.5" customHeight="1" thickTop="1" thickBot="1">
      <c r="A12" s="1761">
        <v>1</v>
      </c>
      <c r="B12" s="1761">
        <v>1</v>
      </c>
      <c r="C12" s="1761">
        <v>1</v>
      </c>
      <c r="D12" s="1762" t="s">
        <v>129</v>
      </c>
      <c r="E12" s="1762" t="s">
        <v>129</v>
      </c>
      <c r="F12" s="1762" t="s">
        <v>1619</v>
      </c>
      <c r="G12" s="1762"/>
      <c r="H12" s="1762"/>
      <c r="I12" s="1762"/>
      <c r="J12" s="1762"/>
      <c r="K12" s="1763" t="s">
        <v>1620</v>
      </c>
      <c r="L12" s="1764">
        <f>+L13+L17</f>
        <v>13835398746.27</v>
      </c>
      <c r="M12" s="1764">
        <f t="shared" ref="M12:N12" si="17">+M13+M17</f>
        <v>0</v>
      </c>
      <c r="N12" s="1764">
        <f t="shared" si="17"/>
        <v>0</v>
      </c>
      <c r="O12" s="1764">
        <f t="shared" si="6"/>
        <v>13835398746.27</v>
      </c>
      <c r="P12" s="1764">
        <f t="shared" ref="P12:V12" si="18">+P13+P17</f>
        <v>0</v>
      </c>
      <c r="Q12" s="1765">
        <f>+P12/L12</f>
        <v>0</v>
      </c>
      <c r="R12" s="1764">
        <f t="shared" si="18"/>
        <v>13835398747.27</v>
      </c>
      <c r="S12" s="1765">
        <f>+R12/L12</f>
        <v>1.0000000000722784</v>
      </c>
      <c r="T12" s="1764">
        <f t="shared" si="18"/>
        <v>0</v>
      </c>
      <c r="U12" s="1765">
        <f>+T12/L12</f>
        <v>0</v>
      </c>
      <c r="V12" s="1764">
        <f t="shared" si="18"/>
        <v>0</v>
      </c>
      <c r="W12" s="1765">
        <f>+V12/L12</f>
        <v>0</v>
      </c>
      <c r="X12" s="1764">
        <f t="shared" ref="X12:Z12" si="19">+X13+X17</f>
        <v>19954109557</v>
      </c>
      <c r="Y12" s="1764">
        <f t="shared" si="19"/>
        <v>7991616194</v>
      </c>
      <c r="Z12" s="1764">
        <f t="shared" si="19"/>
        <v>5931584003</v>
      </c>
      <c r="AA12" s="1764">
        <f t="shared" si="7"/>
        <v>13923200197</v>
      </c>
      <c r="AB12" s="1875">
        <f t="shared" si="8"/>
        <v>0.69776103800711431</v>
      </c>
    </row>
    <row r="13" spans="1:32" s="1729" customFormat="1" ht="22.5" customHeight="1" thickTop="1" thickBot="1">
      <c r="A13" s="1767">
        <v>1</v>
      </c>
      <c r="B13" s="1767">
        <v>1</v>
      </c>
      <c r="C13" s="1767">
        <v>1</v>
      </c>
      <c r="D13" s="1768" t="s">
        <v>129</v>
      </c>
      <c r="E13" s="1768" t="s">
        <v>129</v>
      </c>
      <c r="F13" s="1768" t="s">
        <v>1619</v>
      </c>
      <c r="G13" s="1768" t="s">
        <v>129</v>
      </c>
      <c r="H13" s="1768"/>
      <c r="I13" s="1768"/>
      <c r="J13" s="1768"/>
      <c r="K13" s="1769" t="s">
        <v>1621</v>
      </c>
      <c r="L13" s="1770">
        <f>SUBTOTAL(9,L14:L16)</f>
        <v>13835398746.27</v>
      </c>
      <c r="M13" s="1770">
        <f t="shared" ref="M13:N13" si="20">SUBTOTAL(9,M14:M16)</f>
        <v>0</v>
      </c>
      <c r="N13" s="1770">
        <f t="shared" si="20"/>
        <v>0</v>
      </c>
      <c r="O13" s="1770">
        <f t="shared" si="6"/>
        <v>13835398746.27</v>
      </c>
      <c r="P13" s="1770">
        <f t="shared" ref="P13:V13" si="21">SUBTOTAL(9,P14:P16)</f>
        <v>0</v>
      </c>
      <c r="Q13" s="1771">
        <f>+P13/L13</f>
        <v>0</v>
      </c>
      <c r="R13" s="1770">
        <f t="shared" si="21"/>
        <v>13835398747.27</v>
      </c>
      <c r="S13" s="1771">
        <f>+R13/L13</f>
        <v>1.0000000000722784</v>
      </c>
      <c r="T13" s="1770">
        <f t="shared" si="21"/>
        <v>0</v>
      </c>
      <c r="U13" s="1771">
        <f>+T13/L13</f>
        <v>0</v>
      </c>
      <c r="V13" s="1770">
        <f t="shared" si="21"/>
        <v>0</v>
      </c>
      <c r="W13" s="1771">
        <f>+V13/L13</f>
        <v>0</v>
      </c>
      <c r="X13" s="1770">
        <f t="shared" ref="X13:Z13" si="22">SUBTOTAL(9,X14:X16)</f>
        <v>19954109557</v>
      </c>
      <c r="Y13" s="1770">
        <f t="shared" si="22"/>
        <v>7991616194</v>
      </c>
      <c r="Z13" s="1770">
        <f t="shared" si="22"/>
        <v>5931584003</v>
      </c>
      <c r="AA13" s="1770">
        <f t="shared" si="7"/>
        <v>13923200197</v>
      </c>
      <c r="AB13" s="1876">
        <f t="shared" si="8"/>
        <v>0.69776103800711431</v>
      </c>
    </row>
    <row r="14" spans="1:32" ht="22.5" customHeight="1" thickTop="1" thickBot="1">
      <c r="A14" s="1772">
        <v>1</v>
      </c>
      <c r="B14" s="1772">
        <v>1</v>
      </c>
      <c r="C14" s="1772">
        <v>1</v>
      </c>
      <c r="D14" s="1773" t="s">
        <v>129</v>
      </c>
      <c r="E14" s="1773" t="s">
        <v>129</v>
      </c>
      <c r="F14" s="1773" t="s">
        <v>1619</v>
      </c>
      <c r="G14" s="1773" t="s">
        <v>129</v>
      </c>
      <c r="H14" s="1773" t="s">
        <v>127</v>
      </c>
      <c r="I14" s="1773"/>
      <c r="J14" s="1773"/>
      <c r="K14" s="1917" t="s">
        <v>942</v>
      </c>
      <c r="L14" s="1918">
        <v>10022113021.27</v>
      </c>
      <c r="M14" s="1918"/>
      <c r="N14" s="1918"/>
      <c r="O14" s="1918">
        <f t="shared" si="6"/>
        <v>10022113021.27</v>
      </c>
      <c r="P14" s="1774">
        <f>+L14*Q14</f>
        <v>0</v>
      </c>
      <c r="Q14" s="1775">
        <v>0</v>
      </c>
      <c r="R14" s="1918">
        <v>10022113022.27</v>
      </c>
      <c r="S14" s="1775">
        <v>1</v>
      </c>
      <c r="T14" s="1774">
        <f>+L14*U14</f>
        <v>0</v>
      </c>
      <c r="U14" s="1775">
        <v>0</v>
      </c>
      <c r="V14" s="1774">
        <f>+L14*W14</f>
        <v>0</v>
      </c>
      <c r="W14" s="1775">
        <v>0</v>
      </c>
      <c r="X14" s="1774">
        <f>6030909360+AA14</f>
        <v>18327957426</v>
      </c>
      <c r="Y14" s="1774">
        <f>+'[8]INGRESOS CRA OCT2022'!P7</f>
        <v>6553059364</v>
      </c>
      <c r="Z14" s="1774">
        <v>5743988702</v>
      </c>
      <c r="AA14" s="1918">
        <f t="shared" si="7"/>
        <v>12297048066</v>
      </c>
      <c r="AB14" s="1877">
        <f t="shared" si="8"/>
        <v>0.67094481835468667</v>
      </c>
    </row>
    <row r="15" spans="1:32" ht="22.5" customHeight="1" thickTop="1" thickBot="1">
      <c r="A15" s="1772">
        <v>1</v>
      </c>
      <c r="B15" s="1772">
        <v>1</v>
      </c>
      <c r="C15" s="1772">
        <v>1</v>
      </c>
      <c r="D15" s="1773" t="s">
        <v>129</v>
      </c>
      <c r="E15" s="1773" t="s">
        <v>129</v>
      </c>
      <c r="F15" s="1773" t="s">
        <v>1619</v>
      </c>
      <c r="G15" s="1773" t="s">
        <v>129</v>
      </c>
      <c r="H15" s="1773" t="s">
        <v>209</v>
      </c>
      <c r="I15" s="1773"/>
      <c r="J15" s="1773"/>
      <c r="K15" s="1917" t="s">
        <v>1335</v>
      </c>
      <c r="L15" s="1918">
        <v>3813285725</v>
      </c>
      <c r="M15" s="1918"/>
      <c r="N15" s="1918"/>
      <c r="O15" s="1918">
        <f t="shared" si="6"/>
        <v>3813285725</v>
      </c>
      <c r="P15" s="1774">
        <f>+L15*Q15</f>
        <v>0</v>
      </c>
      <c r="Q15" s="1775">
        <v>0</v>
      </c>
      <c r="R15" s="1918">
        <v>3813285725</v>
      </c>
      <c r="S15" s="1775">
        <v>1</v>
      </c>
      <c r="T15" s="1774">
        <f>+L15*U15</f>
        <v>0</v>
      </c>
      <c r="U15" s="1775">
        <v>0</v>
      </c>
      <c r="V15" s="1774">
        <f t="shared" ref="V15:V24" si="23">+L15*W15</f>
        <v>0</v>
      </c>
      <c r="W15" s="1775">
        <v>0</v>
      </c>
      <c r="X15" s="1774">
        <f>+AA15</f>
        <v>1626152131</v>
      </c>
      <c r="Y15" s="1774">
        <f>+'[8]INGRESOS CRA OCT2022'!P8</f>
        <v>1438556830</v>
      </c>
      <c r="Z15" s="1774">
        <v>187595301</v>
      </c>
      <c r="AA15" s="1918">
        <f t="shared" si="7"/>
        <v>1626152131</v>
      </c>
      <c r="AB15" s="1877">
        <f t="shared" si="8"/>
        <v>1</v>
      </c>
      <c r="AC15" s="2157"/>
      <c r="AD15" s="2157"/>
      <c r="AE15" s="2157"/>
      <c r="AF15" s="2157"/>
    </row>
    <row r="16" spans="1:32" ht="22.5" hidden="1" customHeight="1" thickTop="1" thickBot="1">
      <c r="A16" s="1772">
        <v>1</v>
      </c>
      <c r="B16" s="1772">
        <v>1</v>
      </c>
      <c r="C16" s="1772">
        <v>1</v>
      </c>
      <c r="D16" s="1773" t="s">
        <v>129</v>
      </c>
      <c r="E16" s="1773" t="s">
        <v>129</v>
      </c>
      <c r="F16" s="1773" t="s">
        <v>1619</v>
      </c>
      <c r="G16" s="1773" t="s">
        <v>129</v>
      </c>
      <c r="H16" s="1773" t="s">
        <v>1622</v>
      </c>
      <c r="I16" s="1773"/>
      <c r="J16" s="1773"/>
      <c r="K16" s="1776" t="s">
        <v>1623</v>
      </c>
      <c r="L16" s="1774">
        <v>0</v>
      </c>
      <c r="M16" s="1774"/>
      <c r="N16" s="1774"/>
      <c r="O16" s="1774">
        <f t="shared" si="6"/>
        <v>0</v>
      </c>
      <c r="P16" s="1777">
        <f>+L16*Q16</f>
        <v>0</v>
      </c>
      <c r="Q16" s="1775">
        <v>0</v>
      </c>
      <c r="R16" s="1777">
        <f>+L16*S16</f>
        <v>0</v>
      </c>
      <c r="S16" s="1775">
        <v>0</v>
      </c>
      <c r="T16" s="1777"/>
      <c r="U16" s="1775" t="e">
        <f>+T16/#REF!</f>
        <v>#REF!</v>
      </c>
      <c r="V16" s="1777">
        <f t="shared" si="23"/>
        <v>0</v>
      </c>
      <c r="W16" s="1775">
        <v>0</v>
      </c>
      <c r="X16" s="1777"/>
      <c r="Y16" s="1777"/>
      <c r="Z16" s="1777"/>
      <c r="AA16" s="1777">
        <f t="shared" si="7"/>
        <v>0</v>
      </c>
      <c r="AB16" s="1877" t="e">
        <f t="shared" si="8"/>
        <v>#DIV/0!</v>
      </c>
    </row>
    <row r="17" spans="1:28" s="1729" customFormat="1" ht="22.5" hidden="1" customHeight="1" thickTop="1" thickBot="1">
      <c r="A17" s="1767">
        <v>1</v>
      </c>
      <c r="B17" s="1767">
        <v>1</v>
      </c>
      <c r="C17" s="1767">
        <v>1</v>
      </c>
      <c r="D17" s="1768" t="s">
        <v>129</v>
      </c>
      <c r="E17" s="1768" t="s">
        <v>129</v>
      </c>
      <c r="F17" s="1768" t="s">
        <v>1619</v>
      </c>
      <c r="G17" s="1768" t="s">
        <v>134</v>
      </c>
      <c r="H17" s="1768"/>
      <c r="I17" s="1768"/>
      <c r="J17" s="1768"/>
      <c r="K17" s="1769" t="s">
        <v>1624</v>
      </c>
      <c r="L17" s="1770">
        <f>SUBTOTAL(9,L18:L20)</f>
        <v>0</v>
      </c>
      <c r="M17" s="1770">
        <f t="shared" ref="M17:N17" si="24">SUBTOTAL(9,M18:M20)</f>
        <v>0</v>
      </c>
      <c r="N17" s="1770">
        <f t="shared" si="24"/>
        <v>0</v>
      </c>
      <c r="O17" s="1770">
        <f t="shared" si="6"/>
        <v>0</v>
      </c>
      <c r="P17" s="1778">
        <f t="shared" ref="P17:V17" si="25">SUBTOTAL(9,P18:P20)</f>
        <v>0</v>
      </c>
      <c r="Q17" s="1775">
        <v>0</v>
      </c>
      <c r="R17" s="1778">
        <f t="shared" si="25"/>
        <v>0</v>
      </c>
      <c r="S17" s="1771" t="e">
        <f>+R17/L17</f>
        <v>#DIV/0!</v>
      </c>
      <c r="T17" s="1778">
        <f t="shared" si="25"/>
        <v>0</v>
      </c>
      <c r="U17" s="1771" t="e">
        <f>+T17/L17</f>
        <v>#DIV/0!</v>
      </c>
      <c r="V17" s="1778">
        <f t="shared" si="25"/>
        <v>0</v>
      </c>
      <c r="W17" s="1771" t="e">
        <f>+V17/L17</f>
        <v>#DIV/0!</v>
      </c>
      <c r="X17" s="1778">
        <f t="shared" ref="X17:Y17" si="26">SUBTOTAL(9,X18:X20)</f>
        <v>0</v>
      </c>
      <c r="Y17" s="1778">
        <f t="shared" si="26"/>
        <v>0</v>
      </c>
      <c r="Z17" s="1778"/>
      <c r="AA17" s="1778">
        <f t="shared" si="7"/>
        <v>0</v>
      </c>
      <c r="AB17" s="1876" t="e">
        <f t="shared" si="8"/>
        <v>#DIV/0!</v>
      </c>
    </row>
    <row r="18" spans="1:28" ht="22.5" hidden="1" customHeight="1" thickTop="1" thickBot="1">
      <c r="A18" s="1772">
        <v>1</v>
      </c>
      <c r="B18" s="1772">
        <v>1</v>
      </c>
      <c r="C18" s="1772">
        <v>1</v>
      </c>
      <c r="D18" s="1773" t="s">
        <v>129</v>
      </c>
      <c r="E18" s="1773" t="s">
        <v>129</v>
      </c>
      <c r="F18" s="1773" t="s">
        <v>1619</v>
      </c>
      <c r="G18" s="1773" t="s">
        <v>134</v>
      </c>
      <c r="H18" s="1773" t="s">
        <v>127</v>
      </c>
      <c r="I18" s="1773"/>
      <c r="J18" s="1773"/>
      <c r="K18" s="1776" t="s">
        <v>1625</v>
      </c>
      <c r="L18" s="1779"/>
      <c r="M18" s="1779"/>
      <c r="N18" s="1779"/>
      <c r="O18" s="1779">
        <f t="shared" si="6"/>
        <v>0</v>
      </c>
      <c r="P18" s="1777">
        <f t="shared" ref="P18:P24" si="27">+L18*Q18</f>
        <v>0</v>
      </c>
      <c r="Q18" s="1775"/>
      <c r="R18" s="1777">
        <f t="shared" ref="R18:R24" si="28">+L18*S18</f>
        <v>0</v>
      </c>
      <c r="S18" s="1775"/>
      <c r="T18" s="1777">
        <f t="shared" ref="T18:T24" si="29">+L18*U18</f>
        <v>0</v>
      </c>
      <c r="U18" s="1775"/>
      <c r="V18" s="1777">
        <f t="shared" si="23"/>
        <v>0</v>
      </c>
      <c r="W18" s="1775"/>
      <c r="X18" s="1777"/>
      <c r="Y18" s="1777"/>
      <c r="Z18" s="1777"/>
      <c r="AA18" s="1777">
        <f t="shared" si="7"/>
        <v>0</v>
      </c>
      <c r="AB18" s="1877" t="e">
        <f t="shared" si="8"/>
        <v>#DIV/0!</v>
      </c>
    </row>
    <row r="19" spans="1:28" ht="22.5" hidden="1" customHeight="1" thickTop="1" thickBot="1">
      <c r="A19" s="1772">
        <v>1</v>
      </c>
      <c r="B19" s="1772">
        <v>1</v>
      </c>
      <c r="C19" s="1772">
        <v>1</v>
      </c>
      <c r="D19" s="1773" t="s">
        <v>129</v>
      </c>
      <c r="E19" s="1773" t="s">
        <v>129</v>
      </c>
      <c r="F19" s="1773" t="s">
        <v>1619</v>
      </c>
      <c r="G19" s="1773" t="s">
        <v>134</v>
      </c>
      <c r="H19" s="1773" t="s">
        <v>209</v>
      </c>
      <c r="I19" s="1773"/>
      <c r="J19" s="1773"/>
      <c r="K19" s="1776" t="s">
        <v>1626</v>
      </c>
      <c r="L19" s="1774"/>
      <c r="M19" s="1774"/>
      <c r="N19" s="1774"/>
      <c r="O19" s="1774">
        <f t="shared" si="6"/>
        <v>0</v>
      </c>
      <c r="P19" s="1777">
        <f t="shared" si="27"/>
        <v>0</v>
      </c>
      <c r="Q19" s="1775"/>
      <c r="R19" s="1777">
        <f t="shared" si="28"/>
        <v>0</v>
      </c>
      <c r="S19" s="1775"/>
      <c r="T19" s="1777">
        <f t="shared" si="29"/>
        <v>0</v>
      </c>
      <c r="U19" s="1775"/>
      <c r="V19" s="1777">
        <f t="shared" si="23"/>
        <v>0</v>
      </c>
      <c r="W19" s="1775"/>
      <c r="X19" s="1777"/>
      <c r="Y19" s="1777"/>
      <c r="Z19" s="1777"/>
      <c r="AA19" s="1777">
        <f t="shared" si="7"/>
        <v>0</v>
      </c>
      <c r="AB19" s="1877" t="e">
        <f t="shared" si="8"/>
        <v>#DIV/0!</v>
      </c>
    </row>
    <row r="20" spans="1:28" ht="22.5" hidden="1" customHeight="1" thickTop="1" thickBot="1">
      <c r="A20" s="1772">
        <v>1</v>
      </c>
      <c r="B20" s="1772">
        <v>1</v>
      </c>
      <c r="C20" s="1772">
        <v>1</v>
      </c>
      <c r="D20" s="1773" t="s">
        <v>129</v>
      </c>
      <c r="E20" s="1773" t="s">
        <v>129</v>
      </c>
      <c r="F20" s="1773" t="s">
        <v>1619</v>
      </c>
      <c r="G20" s="1773" t="s">
        <v>134</v>
      </c>
      <c r="H20" s="1773" t="s">
        <v>1622</v>
      </c>
      <c r="I20" s="1773"/>
      <c r="J20" s="1773"/>
      <c r="K20" s="1776" t="s">
        <v>1627</v>
      </c>
      <c r="L20" s="1774"/>
      <c r="M20" s="1774"/>
      <c r="N20" s="1774"/>
      <c r="O20" s="1774">
        <f t="shared" si="6"/>
        <v>0</v>
      </c>
      <c r="P20" s="1777">
        <f t="shared" si="27"/>
        <v>0</v>
      </c>
      <c r="Q20" s="1775"/>
      <c r="R20" s="1777">
        <f t="shared" si="28"/>
        <v>0</v>
      </c>
      <c r="S20" s="1775"/>
      <c r="T20" s="1777">
        <f t="shared" si="29"/>
        <v>0</v>
      </c>
      <c r="U20" s="1775"/>
      <c r="V20" s="1777">
        <f t="shared" si="23"/>
        <v>0</v>
      </c>
      <c r="W20" s="1775"/>
      <c r="X20" s="1777"/>
      <c r="Y20" s="1777"/>
      <c r="Z20" s="1777"/>
      <c r="AA20" s="1777">
        <f t="shared" si="7"/>
        <v>0</v>
      </c>
      <c r="AB20" s="1877" t="e">
        <f t="shared" si="8"/>
        <v>#DIV/0!</v>
      </c>
    </row>
    <row r="21" spans="1:28" s="1766" customFormat="1" ht="22.5" hidden="1" customHeight="1" thickTop="1" thickBot="1">
      <c r="A21" s="1761">
        <v>1</v>
      </c>
      <c r="B21" s="1761">
        <v>1</v>
      </c>
      <c r="C21" s="1761">
        <v>1</v>
      </c>
      <c r="D21" s="1762" t="s">
        <v>129</v>
      </c>
      <c r="E21" s="1762" t="s">
        <v>129</v>
      </c>
      <c r="F21" s="1762" t="s">
        <v>1628</v>
      </c>
      <c r="G21" s="1780"/>
      <c r="H21" s="1762"/>
      <c r="I21" s="1762"/>
      <c r="J21" s="1762"/>
      <c r="K21" s="1763" t="s">
        <v>1629</v>
      </c>
      <c r="L21" s="1764">
        <f>SUBTOTAL(9,L22:L24)</f>
        <v>0</v>
      </c>
      <c r="M21" s="1764">
        <f t="shared" ref="M21:N21" si="30">SUBTOTAL(9,M22:M24)</f>
        <v>0</v>
      </c>
      <c r="N21" s="1764">
        <f t="shared" si="30"/>
        <v>0</v>
      </c>
      <c r="O21" s="1764">
        <f t="shared" si="6"/>
        <v>0</v>
      </c>
      <c r="P21" s="1781">
        <f t="shared" ref="P21:V21" si="31">SUBTOTAL(9,P22:P24)</f>
        <v>0</v>
      </c>
      <c r="Q21" s="1765" t="e">
        <f>+P21/L21</f>
        <v>#DIV/0!</v>
      </c>
      <c r="R21" s="1781">
        <f t="shared" si="31"/>
        <v>0</v>
      </c>
      <c r="S21" s="1765" t="e">
        <f>+R21/L21</f>
        <v>#DIV/0!</v>
      </c>
      <c r="T21" s="1781">
        <f t="shared" si="31"/>
        <v>0</v>
      </c>
      <c r="U21" s="1765" t="e">
        <f>+T21/L21</f>
        <v>#DIV/0!</v>
      </c>
      <c r="V21" s="1781">
        <f t="shared" si="31"/>
        <v>0</v>
      </c>
      <c r="W21" s="1765" t="e">
        <f>+V21/L21</f>
        <v>#DIV/0!</v>
      </c>
      <c r="X21" s="1781">
        <f t="shared" ref="X21:Y21" si="32">SUBTOTAL(9,X22:X24)</f>
        <v>0</v>
      </c>
      <c r="Y21" s="1781">
        <f t="shared" si="32"/>
        <v>0</v>
      </c>
      <c r="Z21" s="1781"/>
      <c r="AA21" s="1781">
        <f t="shared" si="7"/>
        <v>0</v>
      </c>
      <c r="AB21" s="1875" t="e">
        <f t="shared" si="8"/>
        <v>#DIV/0!</v>
      </c>
    </row>
    <row r="22" spans="1:28" ht="22.5" hidden="1" customHeight="1" thickTop="1" thickBot="1">
      <c r="A22" s="1772">
        <v>1</v>
      </c>
      <c r="B22" s="1772">
        <v>1</v>
      </c>
      <c r="C22" s="1772">
        <v>1</v>
      </c>
      <c r="D22" s="1773" t="s">
        <v>129</v>
      </c>
      <c r="E22" s="1773" t="s">
        <v>129</v>
      </c>
      <c r="F22" s="1773" t="s">
        <v>1628</v>
      </c>
      <c r="G22" s="1782">
        <v>1</v>
      </c>
      <c r="H22" s="1773"/>
      <c r="I22" s="1773"/>
      <c r="J22" s="1773"/>
      <c r="K22" s="1776" t="s">
        <v>1630</v>
      </c>
      <c r="L22" s="1774"/>
      <c r="M22" s="1774"/>
      <c r="N22" s="1774"/>
      <c r="O22" s="1774">
        <f t="shared" si="6"/>
        <v>0</v>
      </c>
      <c r="P22" s="1777">
        <f t="shared" si="27"/>
        <v>0</v>
      </c>
      <c r="Q22" s="1775"/>
      <c r="R22" s="1777">
        <f t="shared" si="28"/>
        <v>0</v>
      </c>
      <c r="S22" s="1775"/>
      <c r="T22" s="1777">
        <f t="shared" si="29"/>
        <v>0</v>
      </c>
      <c r="U22" s="1775"/>
      <c r="V22" s="1777">
        <f t="shared" si="23"/>
        <v>0</v>
      </c>
      <c r="W22" s="1775"/>
      <c r="X22" s="1777"/>
      <c r="Y22" s="1777"/>
      <c r="Z22" s="1777"/>
      <c r="AA22" s="1777">
        <f t="shared" si="7"/>
        <v>0</v>
      </c>
      <c r="AB22" s="1877" t="e">
        <f t="shared" si="8"/>
        <v>#DIV/0!</v>
      </c>
    </row>
    <row r="23" spans="1:28" ht="22.5" hidden="1" customHeight="1" thickTop="1" thickBot="1">
      <c r="A23" s="1772">
        <v>1</v>
      </c>
      <c r="B23" s="1772">
        <v>1</v>
      </c>
      <c r="C23" s="1772">
        <v>1</v>
      </c>
      <c r="D23" s="1773" t="s">
        <v>129</v>
      </c>
      <c r="E23" s="1773" t="s">
        <v>129</v>
      </c>
      <c r="F23" s="1773" t="s">
        <v>1628</v>
      </c>
      <c r="G23" s="1782">
        <v>2</v>
      </c>
      <c r="H23" s="1773"/>
      <c r="I23" s="1773"/>
      <c r="J23" s="1773"/>
      <c r="K23" s="1776" t="s">
        <v>1631</v>
      </c>
      <c r="L23" s="1774"/>
      <c r="M23" s="1774"/>
      <c r="N23" s="1774"/>
      <c r="O23" s="1774">
        <f t="shared" si="6"/>
        <v>0</v>
      </c>
      <c r="P23" s="1777">
        <f t="shared" si="27"/>
        <v>0</v>
      </c>
      <c r="Q23" s="1775"/>
      <c r="R23" s="1777">
        <f t="shared" si="28"/>
        <v>0</v>
      </c>
      <c r="S23" s="1775"/>
      <c r="T23" s="1777">
        <f t="shared" si="29"/>
        <v>0</v>
      </c>
      <c r="U23" s="1775"/>
      <c r="V23" s="1777">
        <f t="shared" si="23"/>
        <v>0</v>
      </c>
      <c r="W23" s="1775"/>
      <c r="X23" s="1777"/>
      <c r="Y23" s="1777"/>
      <c r="Z23" s="1777"/>
      <c r="AA23" s="1777">
        <f t="shared" si="7"/>
        <v>0</v>
      </c>
      <c r="AB23" s="1877" t="e">
        <f t="shared" si="8"/>
        <v>#DIV/0!</v>
      </c>
    </row>
    <row r="24" spans="1:28" ht="22.5" hidden="1" customHeight="1" thickTop="1" thickBot="1">
      <c r="A24" s="1772">
        <v>1</v>
      </c>
      <c r="B24" s="1772">
        <v>1</v>
      </c>
      <c r="C24" s="1772">
        <v>1</v>
      </c>
      <c r="D24" s="1773" t="s">
        <v>129</v>
      </c>
      <c r="E24" s="1773" t="s">
        <v>129</v>
      </c>
      <c r="F24" s="1773" t="s">
        <v>1628</v>
      </c>
      <c r="G24" s="1782">
        <v>3</v>
      </c>
      <c r="H24" s="1773"/>
      <c r="I24" s="1773"/>
      <c r="J24" s="1773"/>
      <c r="K24" s="1776" t="s">
        <v>1632</v>
      </c>
      <c r="L24" s="1774"/>
      <c r="M24" s="1774"/>
      <c r="N24" s="1774"/>
      <c r="O24" s="1774">
        <f t="shared" si="6"/>
        <v>0</v>
      </c>
      <c r="P24" s="1777">
        <f t="shared" si="27"/>
        <v>0</v>
      </c>
      <c r="Q24" s="1775"/>
      <c r="R24" s="1777">
        <f t="shared" si="28"/>
        <v>0</v>
      </c>
      <c r="S24" s="1775"/>
      <c r="T24" s="1777">
        <f t="shared" si="29"/>
        <v>0</v>
      </c>
      <c r="U24" s="1775"/>
      <c r="V24" s="1777">
        <f t="shared" si="23"/>
        <v>0</v>
      </c>
      <c r="W24" s="1775"/>
      <c r="X24" s="1777"/>
      <c r="Y24" s="1777"/>
      <c r="Z24" s="1777"/>
      <c r="AA24" s="1777">
        <f t="shared" si="7"/>
        <v>0</v>
      </c>
      <c r="AB24" s="1877" t="e">
        <f t="shared" si="8"/>
        <v>#DIV/0!</v>
      </c>
    </row>
    <row r="25" spans="1:28" s="1754" customFormat="1" ht="22.5" customHeight="1" thickTop="1" thickBot="1">
      <c r="A25" s="1749">
        <v>1</v>
      </c>
      <c r="B25" s="1750" t="s">
        <v>127</v>
      </c>
      <c r="C25" s="1750" t="s">
        <v>127</v>
      </c>
      <c r="D25" s="1750" t="s">
        <v>134</v>
      </c>
      <c r="E25" s="1750"/>
      <c r="F25" s="1750"/>
      <c r="G25" s="1783"/>
      <c r="H25" s="1750"/>
      <c r="I25" s="1750"/>
      <c r="J25" s="1750"/>
      <c r="K25" s="1751" t="s">
        <v>135</v>
      </c>
      <c r="L25" s="1752">
        <f>+L26+L43+L84+L107+L193</f>
        <v>128346712446.85001</v>
      </c>
      <c r="M25" s="1752">
        <f t="shared" ref="M25:N25" si="33">+M26+M43+M84+M107+M193</f>
        <v>0</v>
      </c>
      <c r="N25" s="1752">
        <f t="shared" si="33"/>
        <v>0</v>
      </c>
      <c r="O25" s="1752">
        <f t="shared" si="6"/>
        <v>128346712446.85001</v>
      </c>
      <c r="P25" s="1752">
        <f>+P26+P43+P84+P107+P193</f>
        <v>6973257836</v>
      </c>
      <c r="Q25" s="1753">
        <f t="shared" ref="Q25:Q30" si="34">+P25/L25</f>
        <v>5.4331409843378059E-2</v>
      </c>
      <c r="R25" s="1752">
        <f>+R26+R43+R84+R107+R193</f>
        <v>109722114911.29001</v>
      </c>
      <c r="S25" s="1753">
        <f t="shared" ref="S25:S30" si="35">+R25/L25</f>
        <v>0.85488839425261731</v>
      </c>
      <c r="T25" s="1752">
        <f>+T26+T43+T84+T107+T193</f>
        <v>4595624479.0539999</v>
      </c>
      <c r="U25" s="1753">
        <f t="shared" ref="U25:U29" si="36">+T25/L25</f>
        <v>3.5806327964630229E-2</v>
      </c>
      <c r="V25" s="1752">
        <f>+V26+V43+V84+V107+V193</f>
        <v>7055715220</v>
      </c>
      <c r="W25" s="1753">
        <f t="shared" ref="W25:W30" si="37">+V25/L25</f>
        <v>5.4973867935432012E-2</v>
      </c>
      <c r="X25" s="1752">
        <f>+X26+X43+X84+X107+X193</f>
        <v>126079973175.46001</v>
      </c>
      <c r="Y25" s="1752">
        <f>+Y26+Y43+Y84+Y107+Y193</f>
        <v>64763344153</v>
      </c>
      <c r="Z25" s="1752">
        <f>+Z26+Z43+Z84+Z107+Z193</f>
        <v>42099819405.459999</v>
      </c>
      <c r="AA25" s="1752">
        <f t="shared" si="7"/>
        <v>106863163558.45999</v>
      </c>
      <c r="AB25" s="1873">
        <f t="shared" si="8"/>
        <v>0.84758237860459551</v>
      </c>
    </row>
    <row r="26" spans="1:28" s="1760" customFormat="1" ht="22.5" customHeight="1" thickTop="1" thickBot="1">
      <c r="A26" s="1755">
        <v>1</v>
      </c>
      <c r="B26" s="1756" t="s">
        <v>127</v>
      </c>
      <c r="C26" s="1756" t="s">
        <v>127</v>
      </c>
      <c r="D26" s="1756" t="s">
        <v>134</v>
      </c>
      <c r="E26" s="1756" t="s">
        <v>129</v>
      </c>
      <c r="F26" s="1756"/>
      <c r="G26" s="1784"/>
      <c r="H26" s="1756"/>
      <c r="I26" s="1756"/>
      <c r="J26" s="1756"/>
      <c r="K26" s="1757" t="s">
        <v>136</v>
      </c>
      <c r="L26" s="1758">
        <f>+L27</f>
        <v>15428783423.73</v>
      </c>
      <c r="M26" s="1758">
        <f t="shared" ref="M26:N27" si="38">+M27</f>
        <v>0</v>
      </c>
      <c r="N26" s="1758">
        <f t="shared" si="38"/>
        <v>0</v>
      </c>
      <c r="O26" s="1758">
        <f t="shared" si="6"/>
        <v>15428783423.73</v>
      </c>
      <c r="P26" s="1758">
        <f t="shared" ref="P26:Z27" si="39">+P27</f>
        <v>1901013261.3799999</v>
      </c>
      <c r="Q26" s="1759">
        <f t="shared" si="34"/>
        <v>0.12321212950958765</v>
      </c>
      <c r="R26" s="1758">
        <f t="shared" si="39"/>
        <v>10823505429.42</v>
      </c>
      <c r="S26" s="1759">
        <f t="shared" si="35"/>
        <v>0.70151386095504309</v>
      </c>
      <c r="T26" s="1758">
        <f t="shared" si="39"/>
        <v>2704264732.948</v>
      </c>
      <c r="U26" s="1759">
        <f t="shared" si="36"/>
        <v>0.17527400953653596</v>
      </c>
      <c r="V26" s="1758">
        <f t="shared" si="39"/>
        <v>0</v>
      </c>
      <c r="W26" s="1759">
        <f t="shared" si="37"/>
        <v>0</v>
      </c>
      <c r="X26" s="1758">
        <f t="shared" si="39"/>
        <v>12949267147.32</v>
      </c>
      <c r="Y26" s="1758">
        <f t="shared" si="39"/>
        <v>5899996534</v>
      </c>
      <c r="Z26" s="1758">
        <f t="shared" si="39"/>
        <v>6456980524.3199997</v>
      </c>
      <c r="AA26" s="1758">
        <f t="shared" si="7"/>
        <v>12356977058.32</v>
      </c>
      <c r="AB26" s="1874">
        <f t="shared" si="8"/>
        <v>0.95426072516215088</v>
      </c>
    </row>
    <row r="27" spans="1:28" s="1766" customFormat="1" ht="22.5" customHeight="1" thickTop="1" thickBot="1">
      <c r="A27" s="1761">
        <v>1</v>
      </c>
      <c r="B27" s="1762" t="s">
        <v>127</v>
      </c>
      <c r="C27" s="1762" t="s">
        <v>127</v>
      </c>
      <c r="D27" s="1762" t="s">
        <v>134</v>
      </c>
      <c r="E27" s="1762" t="s">
        <v>129</v>
      </c>
      <c r="F27" s="1762" t="s">
        <v>144</v>
      </c>
      <c r="G27" s="1780"/>
      <c r="H27" s="1762"/>
      <c r="I27" s="1762"/>
      <c r="J27" s="1762"/>
      <c r="K27" s="1763" t="s">
        <v>137</v>
      </c>
      <c r="L27" s="1764">
        <f>+L28</f>
        <v>15428783423.73</v>
      </c>
      <c r="M27" s="1764">
        <f t="shared" si="38"/>
        <v>0</v>
      </c>
      <c r="N27" s="1764">
        <f t="shared" si="38"/>
        <v>0</v>
      </c>
      <c r="O27" s="1764">
        <f t="shared" si="6"/>
        <v>15428783423.73</v>
      </c>
      <c r="P27" s="1764">
        <f t="shared" si="39"/>
        <v>1901013261.3799999</v>
      </c>
      <c r="Q27" s="1765">
        <f t="shared" si="34"/>
        <v>0.12321212950958765</v>
      </c>
      <c r="R27" s="1764">
        <f t="shared" si="39"/>
        <v>10823505429.42</v>
      </c>
      <c r="S27" s="1765">
        <f t="shared" si="35"/>
        <v>0.70151386095504309</v>
      </c>
      <c r="T27" s="1764">
        <f t="shared" si="39"/>
        <v>2704264732.948</v>
      </c>
      <c r="U27" s="1765">
        <f t="shared" si="36"/>
        <v>0.17527400953653596</v>
      </c>
      <c r="V27" s="1764">
        <f t="shared" si="39"/>
        <v>0</v>
      </c>
      <c r="W27" s="1765">
        <f t="shared" si="37"/>
        <v>0</v>
      </c>
      <c r="X27" s="1764">
        <f t="shared" si="39"/>
        <v>12949267147.32</v>
      </c>
      <c r="Y27" s="1764">
        <f t="shared" si="39"/>
        <v>5899996534</v>
      </c>
      <c r="Z27" s="1764">
        <f t="shared" si="39"/>
        <v>6456980524.3199997</v>
      </c>
      <c r="AA27" s="1764">
        <f t="shared" si="7"/>
        <v>12356977058.32</v>
      </c>
      <c r="AB27" s="1875">
        <f t="shared" si="8"/>
        <v>0.95426072516215088</v>
      </c>
    </row>
    <row r="28" spans="1:28" s="1791" customFormat="1" ht="22.5" customHeight="1" thickTop="1" thickBot="1">
      <c r="A28" s="1785">
        <v>1</v>
      </c>
      <c r="B28" s="1786" t="s">
        <v>127</v>
      </c>
      <c r="C28" s="1786" t="s">
        <v>127</v>
      </c>
      <c r="D28" s="1786" t="s">
        <v>134</v>
      </c>
      <c r="E28" s="1786" t="s">
        <v>129</v>
      </c>
      <c r="F28" s="1786" t="s">
        <v>144</v>
      </c>
      <c r="G28" s="1787">
        <v>64</v>
      </c>
      <c r="H28" s="1786"/>
      <c r="I28" s="1786"/>
      <c r="J28" s="1786"/>
      <c r="K28" s="1788" t="s">
        <v>138</v>
      </c>
      <c r="L28" s="1789">
        <f>+L29+L38</f>
        <v>15428783423.73</v>
      </c>
      <c r="M28" s="1789">
        <f t="shared" ref="M28:N28" si="40">+M29+M38</f>
        <v>0</v>
      </c>
      <c r="N28" s="1789">
        <f t="shared" si="40"/>
        <v>0</v>
      </c>
      <c r="O28" s="1789">
        <f t="shared" si="6"/>
        <v>15428783423.73</v>
      </c>
      <c r="P28" s="1789">
        <f>+P29+P38</f>
        <v>1901013261.3799999</v>
      </c>
      <c r="Q28" s="1790">
        <f t="shared" si="34"/>
        <v>0.12321212950958765</v>
      </c>
      <c r="R28" s="1789">
        <f>+R29+R38</f>
        <v>10823505429.42</v>
      </c>
      <c r="S28" s="1790">
        <f t="shared" si="35"/>
        <v>0.70151386095504309</v>
      </c>
      <c r="T28" s="1789">
        <f>+T29+T38</f>
        <v>2704264732.948</v>
      </c>
      <c r="U28" s="1790">
        <f t="shared" si="36"/>
        <v>0.17527400953653596</v>
      </c>
      <c r="V28" s="1789">
        <f>+V29+V38</f>
        <v>0</v>
      </c>
      <c r="W28" s="1790">
        <f t="shared" si="37"/>
        <v>0</v>
      </c>
      <c r="X28" s="1789">
        <f>+X29+X38</f>
        <v>12949267147.32</v>
      </c>
      <c r="Y28" s="1789">
        <f>+Y29+Y38</f>
        <v>5899996534</v>
      </c>
      <c r="Z28" s="1789">
        <f>+Z29+Z38</f>
        <v>6456980524.3199997</v>
      </c>
      <c r="AA28" s="1789">
        <f t="shared" si="7"/>
        <v>12356977058.32</v>
      </c>
      <c r="AB28" s="1878">
        <f t="shared" si="8"/>
        <v>0.95426072516215088</v>
      </c>
    </row>
    <row r="29" spans="1:28" s="1729" customFormat="1" ht="22.5" customHeight="1" thickTop="1" thickBot="1">
      <c r="A29" s="1767">
        <v>1</v>
      </c>
      <c r="B29" s="1768" t="s">
        <v>127</v>
      </c>
      <c r="C29" s="1768" t="s">
        <v>127</v>
      </c>
      <c r="D29" s="1768" t="s">
        <v>134</v>
      </c>
      <c r="E29" s="1768" t="s">
        <v>129</v>
      </c>
      <c r="F29" s="1768" t="s">
        <v>144</v>
      </c>
      <c r="G29" s="1792">
        <v>64</v>
      </c>
      <c r="H29" s="1768" t="s">
        <v>129</v>
      </c>
      <c r="I29" s="1768"/>
      <c r="J29" s="1768"/>
      <c r="K29" s="1769" t="s">
        <v>1633</v>
      </c>
      <c r="L29" s="1770">
        <f>+L30+L34</f>
        <v>15325004767.42</v>
      </c>
      <c r="M29" s="1770">
        <f t="shared" ref="M29:N29" si="41">+M30+M34</f>
        <v>0</v>
      </c>
      <c r="N29" s="1770">
        <f t="shared" si="41"/>
        <v>0</v>
      </c>
      <c r="O29" s="1770">
        <f t="shared" si="6"/>
        <v>15325004767.42</v>
      </c>
      <c r="P29" s="1770">
        <f>+P30+P34</f>
        <v>1890635395.7399998</v>
      </c>
      <c r="Q29" s="1771">
        <f t="shared" si="34"/>
        <v>0.12336931860271731</v>
      </c>
      <c r="R29" s="1770">
        <f>+R30+R34</f>
        <v>10750860370</v>
      </c>
      <c r="S29" s="1771">
        <f t="shared" si="35"/>
        <v>0.70152411259640557</v>
      </c>
      <c r="T29" s="1770">
        <f>+T30+T34</f>
        <v>2683509001.6859999</v>
      </c>
      <c r="U29" s="1771">
        <f t="shared" si="36"/>
        <v>0.17510656880126863</v>
      </c>
      <c r="V29" s="1770">
        <f>+V30+V34</f>
        <v>0</v>
      </c>
      <c r="W29" s="1771">
        <f t="shared" si="37"/>
        <v>0</v>
      </c>
      <c r="X29" s="1770">
        <f>+X30+X34</f>
        <v>12865627637.32</v>
      </c>
      <c r="Y29" s="1770">
        <f>+Y30+Y34</f>
        <v>5858369614</v>
      </c>
      <c r="Z29" s="1770">
        <f>+Z30+Z34</f>
        <v>6414967934.3199997</v>
      </c>
      <c r="AA29" s="1770">
        <f t="shared" si="7"/>
        <v>12273337548.32</v>
      </c>
      <c r="AB29" s="1876">
        <f t="shared" si="8"/>
        <v>0.9539633739063057</v>
      </c>
    </row>
    <row r="30" spans="1:28" s="1729" customFormat="1" ht="22.5" customHeight="1" thickTop="1" thickBot="1">
      <c r="A30" s="1767">
        <v>1</v>
      </c>
      <c r="B30" s="1768" t="s">
        <v>127</v>
      </c>
      <c r="C30" s="1768" t="s">
        <v>127</v>
      </c>
      <c r="D30" s="1768" t="s">
        <v>134</v>
      </c>
      <c r="E30" s="1768" t="s">
        <v>129</v>
      </c>
      <c r="F30" s="1768" t="s">
        <v>144</v>
      </c>
      <c r="G30" s="1792">
        <v>64</v>
      </c>
      <c r="H30" s="1768" t="s">
        <v>129</v>
      </c>
      <c r="I30" s="1768"/>
      <c r="J30" s="1768"/>
      <c r="K30" s="1769" t="s">
        <v>1634</v>
      </c>
      <c r="L30" s="1770">
        <f>SUBTOTAL(9,L31:L33)</f>
        <v>10385099524.42</v>
      </c>
      <c r="M30" s="1770">
        <f t="shared" ref="M30:N30" si="42">SUBTOTAL(9,M31:M33)</f>
        <v>0</v>
      </c>
      <c r="N30" s="1770">
        <f t="shared" si="42"/>
        <v>0</v>
      </c>
      <c r="O30" s="1770">
        <f t="shared" si="6"/>
        <v>10385099524.42</v>
      </c>
      <c r="P30" s="1770">
        <f>SUBTOTAL(9,P31:P33)</f>
        <v>1038509952.4399999</v>
      </c>
      <c r="Q30" s="1771">
        <f t="shared" si="34"/>
        <v>9.999999999980741E-2</v>
      </c>
      <c r="R30" s="1770">
        <f>SUBTOTAL(9,R31:R33)</f>
        <v>7292926699.9000006</v>
      </c>
      <c r="S30" s="1771">
        <f t="shared" si="35"/>
        <v>0.7022490908971144</v>
      </c>
      <c r="T30" s="1770">
        <f>SUBTOTAL(9,T31:T33)</f>
        <v>2053662872.086</v>
      </c>
      <c r="U30" s="1771">
        <f>+T30/L30</f>
        <v>0.19775090910365595</v>
      </c>
      <c r="V30" s="1770">
        <f>SUBTOTAL(9,V31:V33)</f>
        <v>0</v>
      </c>
      <c r="W30" s="1771">
        <f t="shared" si="37"/>
        <v>0</v>
      </c>
      <c r="X30" s="1770">
        <f>SUBTOTAL(9,X31:X33)</f>
        <v>10889096309.32</v>
      </c>
      <c r="Y30" s="1770">
        <f>SUBTOTAL(9,Y31:Y33)</f>
        <v>4625019505</v>
      </c>
      <c r="Z30" s="1770">
        <f>SUBTOTAL(9,Z31:Z33)</f>
        <v>5821786715.3199997</v>
      </c>
      <c r="AA30" s="1770">
        <f t="shared" si="7"/>
        <v>10446806220.32</v>
      </c>
      <c r="AB30" s="1876">
        <f t="shared" si="8"/>
        <v>0.95938229615790582</v>
      </c>
    </row>
    <row r="31" spans="1:28" ht="25.5" customHeight="1" thickTop="1" thickBot="1">
      <c r="A31" s="1772">
        <v>1</v>
      </c>
      <c r="B31" s="1773" t="s">
        <v>127</v>
      </c>
      <c r="C31" s="1773" t="s">
        <v>127</v>
      </c>
      <c r="D31" s="1773" t="s">
        <v>134</v>
      </c>
      <c r="E31" s="1773" t="s">
        <v>129</v>
      </c>
      <c r="F31" s="1773" t="s">
        <v>144</v>
      </c>
      <c r="G31" s="1782">
        <v>64</v>
      </c>
      <c r="H31" s="1773" t="s">
        <v>129</v>
      </c>
      <c r="I31" s="1773" t="s">
        <v>127</v>
      </c>
      <c r="J31" s="1773"/>
      <c r="K31" s="1917" t="s">
        <v>1336</v>
      </c>
      <c r="L31" s="1918">
        <v>9477300060.2399998</v>
      </c>
      <c r="M31" s="1918"/>
      <c r="N31" s="1918"/>
      <c r="O31" s="1918">
        <f>+L31+M31-N31</f>
        <v>9477300060.2399998</v>
      </c>
      <c r="P31" s="1918">
        <v>947730006.01999998</v>
      </c>
      <c r="Q31" s="1793">
        <v>0.1</v>
      </c>
      <c r="R31" s="1796">
        <v>6657467074.9700003</v>
      </c>
      <c r="S31" s="1866">
        <f>+R31/O31</f>
        <v>0.70246452393123959</v>
      </c>
      <c r="T31" s="1796">
        <v>1872102979.25</v>
      </c>
      <c r="U31" s="1867">
        <f>+T31/O31</f>
        <v>0.19753547606918245</v>
      </c>
      <c r="V31" s="1774"/>
      <c r="W31" s="1775">
        <v>0</v>
      </c>
      <c r="X31" s="1774">
        <f>442290089+AA31</f>
        <v>9887036792.9099998</v>
      </c>
      <c r="Y31" s="1774">
        <f>+'[8]INGRESOS CRA OCT2022'!P15</f>
        <v>4625019505</v>
      </c>
      <c r="Z31" s="1774">
        <f>+'[8]INGRESOS CRA OCT2022'!Y15</f>
        <v>4819727198.9099998</v>
      </c>
      <c r="AA31" s="1918">
        <f t="shared" si="7"/>
        <v>9444746703.9099998</v>
      </c>
      <c r="AB31" s="1877">
        <f t="shared" si="8"/>
        <v>0.9552656576217895</v>
      </c>
    </row>
    <row r="32" spans="1:28" ht="25.5" customHeight="1" thickTop="1" thickBot="1">
      <c r="A32" s="1772">
        <v>1</v>
      </c>
      <c r="B32" s="1773" t="s">
        <v>127</v>
      </c>
      <c r="C32" s="1773" t="s">
        <v>127</v>
      </c>
      <c r="D32" s="1773" t="s">
        <v>134</v>
      </c>
      <c r="E32" s="1773" t="s">
        <v>129</v>
      </c>
      <c r="F32" s="1773" t="s">
        <v>144</v>
      </c>
      <c r="G32" s="1782">
        <v>64</v>
      </c>
      <c r="H32" s="1773" t="s">
        <v>129</v>
      </c>
      <c r="I32" s="1773" t="s">
        <v>209</v>
      </c>
      <c r="J32" s="1773"/>
      <c r="K32" s="1917" t="s">
        <v>1635</v>
      </c>
      <c r="L32" s="1918">
        <v>907799464.17999995</v>
      </c>
      <c r="M32" s="1918"/>
      <c r="N32" s="1918"/>
      <c r="O32" s="1918">
        <f t="shared" si="6"/>
        <v>907799464.17999995</v>
      </c>
      <c r="P32" s="1918">
        <v>90779946.420000002</v>
      </c>
      <c r="Q32" s="1794">
        <v>0.1</v>
      </c>
      <c r="R32" s="1918">
        <v>635459624.92999995</v>
      </c>
      <c r="S32" s="1775">
        <v>0.7</v>
      </c>
      <c r="T32" s="1918">
        <v>181559892.836</v>
      </c>
      <c r="U32" s="1775">
        <v>0.2</v>
      </c>
      <c r="V32" s="1774">
        <f t="shared" ref="V32:V33" si="43">+L32*W32</f>
        <v>0</v>
      </c>
      <c r="W32" s="1775">
        <v>0</v>
      </c>
      <c r="X32" s="1774">
        <f>+AA32</f>
        <v>1002059516.41</v>
      </c>
      <c r="Y32" s="1774">
        <f>+'[8]INGRESOS CRA OCT2022'!P16</f>
        <v>0</v>
      </c>
      <c r="Z32" s="1774">
        <f>+'[8]INGRESOS CRA OCT2022'!Y16</f>
        <v>1002059516.41</v>
      </c>
      <c r="AA32" s="1918">
        <f t="shared" si="7"/>
        <v>1002059516.41</v>
      </c>
      <c r="AB32" s="1877">
        <f t="shared" si="8"/>
        <v>1</v>
      </c>
    </row>
    <row r="33" spans="1:28" ht="37.5" hidden="1" customHeight="1" thickTop="1" thickBot="1">
      <c r="A33" s="1772">
        <v>1</v>
      </c>
      <c r="B33" s="1773" t="s">
        <v>127</v>
      </c>
      <c r="C33" s="1773" t="s">
        <v>127</v>
      </c>
      <c r="D33" s="1773" t="s">
        <v>134</v>
      </c>
      <c r="E33" s="1773" t="s">
        <v>129</v>
      </c>
      <c r="F33" s="1773" t="s">
        <v>144</v>
      </c>
      <c r="G33" s="1782">
        <v>64</v>
      </c>
      <c r="H33" s="1773" t="s">
        <v>129</v>
      </c>
      <c r="I33" s="1773" t="s">
        <v>1622</v>
      </c>
      <c r="J33" s="1773"/>
      <c r="K33" s="1776" t="s">
        <v>1636</v>
      </c>
      <c r="L33" s="1795"/>
      <c r="M33" s="1795">
        <f t="shared" ref="M33:N34" si="44">SUBTOTAL(9,M34:M36)</f>
        <v>0</v>
      </c>
      <c r="N33" s="1795">
        <f t="shared" si="44"/>
        <v>0</v>
      </c>
      <c r="O33" s="1795">
        <f t="shared" si="6"/>
        <v>0</v>
      </c>
      <c r="P33" s="1774">
        <f t="shared" ref="P33:P37" si="45">+L33*Q33</f>
        <v>0</v>
      </c>
      <c r="Q33" s="1775"/>
      <c r="R33" s="1774">
        <f t="shared" ref="R33" si="46">+L33*S33</f>
        <v>0</v>
      </c>
      <c r="S33" s="1775"/>
      <c r="T33" s="1774">
        <f t="shared" ref="T33" si="47">+L33*U33</f>
        <v>0</v>
      </c>
      <c r="U33" s="1775"/>
      <c r="V33" s="1774">
        <f t="shared" si="43"/>
        <v>0</v>
      </c>
      <c r="W33" s="1775"/>
      <c r="X33" s="1774"/>
      <c r="Y33" s="1774"/>
      <c r="Z33" s="1774"/>
      <c r="AA33" s="1774">
        <f t="shared" si="7"/>
        <v>0</v>
      </c>
      <c r="AB33" s="1877" t="e">
        <f t="shared" si="8"/>
        <v>#DIV/0!</v>
      </c>
    </row>
    <row r="34" spans="1:28" ht="27.75" customHeight="1" thickTop="1" thickBot="1">
      <c r="A34" s="1772"/>
      <c r="B34" s="1773"/>
      <c r="C34" s="1773"/>
      <c r="D34" s="1773"/>
      <c r="E34" s="1773"/>
      <c r="F34" s="1773"/>
      <c r="G34" s="1782"/>
      <c r="H34" s="1773"/>
      <c r="I34" s="1773"/>
      <c r="J34" s="1773"/>
      <c r="K34" s="1769" t="s">
        <v>1637</v>
      </c>
      <c r="L34" s="1770">
        <f>SUBTOTAL(9,L35:L37)</f>
        <v>4939905243</v>
      </c>
      <c r="M34" s="1770">
        <f t="shared" si="44"/>
        <v>0</v>
      </c>
      <c r="N34" s="1770">
        <f t="shared" si="44"/>
        <v>0</v>
      </c>
      <c r="O34" s="1770">
        <f t="shared" si="6"/>
        <v>4939905243</v>
      </c>
      <c r="P34" s="1770">
        <f t="shared" ref="P34:V34" si="48">SUBTOTAL(9,P35:P37)</f>
        <v>852125443.29999995</v>
      </c>
      <c r="Q34" s="1771">
        <f t="shared" ref="Q34" si="49">+P34/L34</f>
        <v>0.17249833779858192</v>
      </c>
      <c r="R34" s="1770">
        <f t="shared" si="48"/>
        <v>3457933670.0999999</v>
      </c>
      <c r="S34" s="1771">
        <f t="shared" ref="S34" si="50">+R34/L34</f>
        <v>0.7</v>
      </c>
      <c r="T34" s="1770">
        <f t="shared" si="48"/>
        <v>629846129.60000002</v>
      </c>
      <c r="U34" s="1771">
        <f t="shared" ref="U34" si="51">+T34/L34</f>
        <v>0.12750166220141806</v>
      </c>
      <c r="V34" s="1770">
        <f t="shared" si="48"/>
        <v>0</v>
      </c>
      <c r="W34" s="1771">
        <f t="shared" ref="W34" si="52">+V34/L34</f>
        <v>0</v>
      </c>
      <c r="X34" s="1770">
        <f t="shared" ref="X34:Z34" si="53">SUBTOTAL(9,X35:X37)</f>
        <v>1976531328</v>
      </c>
      <c r="Y34" s="1770">
        <f t="shared" si="53"/>
        <v>1233350109</v>
      </c>
      <c r="Z34" s="1770">
        <f t="shared" si="53"/>
        <v>593181219</v>
      </c>
      <c r="AA34" s="1770">
        <f t="shared" si="7"/>
        <v>1826531328</v>
      </c>
      <c r="AB34" s="1876">
        <f t="shared" si="8"/>
        <v>0.92410947508138863</v>
      </c>
    </row>
    <row r="35" spans="1:28" ht="27.75" customHeight="1" thickTop="1" thickBot="1">
      <c r="A35" s="1772"/>
      <c r="B35" s="1773"/>
      <c r="C35" s="1773"/>
      <c r="D35" s="1773"/>
      <c r="E35" s="1773"/>
      <c r="F35" s="1773"/>
      <c r="G35" s="1782"/>
      <c r="H35" s="1773"/>
      <c r="I35" s="1773"/>
      <c r="J35" s="1773"/>
      <c r="K35" s="1917" t="s">
        <v>1338</v>
      </c>
      <c r="L35" s="1918">
        <v>4836187790</v>
      </c>
      <c r="M35" s="1918"/>
      <c r="N35" s="1918"/>
      <c r="O35" s="1918">
        <f t="shared" si="6"/>
        <v>4836187790</v>
      </c>
      <c r="P35" s="1918">
        <v>841753698</v>
      </c>
      <c r="Q35" s="1793">
        <v>0.1</v>
      </c>
      <c r="R35" s="1918">
        <v>3385331453</v>
      </c>
      <c r="S35" s="1775">
        <v>0.7</v>
      </c>
      <c r="T35" s="1918">
        <v>609102639</v>
      </c>
      <c r="U35" s="1775">
        <v>0.2</v>
      </c>
      <c r="V35" s="1774">
        <f t="shared" ref="V35:V37" si="54">+L35*W35</f>
        <v>0</v>
      </c>
      <c r="W35" s="1775">
        <v>0</v>
      </c>
      <c r="X35" s="1774">
        <f>150000000+AA35</f>
        <v>1820998595</v>
      </c>
      <c r="Y35" s="1774">
        <f>+'[8]INGRESOS CRA OCT2022'!P18</f>
        <v>1077817376</v>
      </c>
      <c r="Z35" s="1774">
        <f>+'[8]INGRESOS CRA OCT2022'!Y18</f>
        <v>593181219</v>
      </c>
      <c r="AA35" s="1918">
        <f t="shared" si="7"/>
        <v>1670998595</v>
      </c>
      <c r="AB35" s="1877">
        <f t="shared" si="8"/>
        <v>0.91762761354574252</v>
      </c>
    </row>
    <row r="36" spans="1:28" ht="27.75" customHeight="1" thickTop="1" thickBot="1">
      <c r="A36" s="1772"/>
      <c r="B36" s="1773"/>
      <c r="C36" s="1773"/>
      <c r="D36" s="1773"/>
      <c r="E36" s="1773"/>
      <c r="F36" s="1773"/>
      <c r="G36" s="1782"/>
      <c r="H36" s="1773"/>
      <c r="I36" s="1773"/>
      <c r="J36" s="1773"/>
      <c r="K36" s="1917" t="s">
        <v>1638</v>
      </c>
      <c r="L36" s="1918">
        <v>103717453</v>
      </c>
      <c r="M36" s="1918"/>
      <c r="N36" s="1918"/>
      <c r="O36" s="1918">
        <f t="shared" si="6"/>
        <v>103717453</v>
      </c>
      <c r="P36" s="1918">
        <v>10371745.300000001</v>
      </c>
      <c r="Q36" s="1775">
        <v>0.1</v>
      </c>
      <c r="R36" s="1918">
        <v>72602217.099999994</v>
      </c>
      <c r="S36" s="1775">
        <v>0.7</v>
      </c>
      <c r="T36" s="1918">
        <f t="shared" ref="T36:T37" si="55">+L36*U36</f>
        <v>20743490.600000001</v>
      </c>
      <c r="U36" s="1775">
        <v>0.2</v>
      </c>
      <c r="V36" s="1774">
        <f t="shared" si="54"/>
        <v>0</v>
      </c>
      <c r="W36" s="1775">
        <v>0</v>
      </c>
      <c r="X36" s="1774">
        <f>+AA36</f>
        <v>155532733</v>
      </c>
      <c r="Y36" s="1774">
        <f>+'[8]INGRESOS CRA OCT2022'!P19</f>
        <v>155532733</v>
      </c>
      <c r="Z36" s="1774">
        <f>+'[8]INGRESOS CRA OCT2022'!Y19</f>
        <v>0</v>
      </c>
      <c r="AA36" s="1918">
        <f t="shared" si="7"/>
        <v>155532733</v>
      </c>
      <c r="AB36" s="1877">
        <f t="shared" si="8"/>
        <v>1</v>
      </c>
    </row>
    <row r="37" spans="1:28" ht="27.75" hidden="1" customHeight="1" thickTop="1" thickBot="1">
      <c r="A37" s="1772"/>
      <c r="B37" s="1773"/>
      <c r="C37" s="1773"/>
      <c r="D37" s="1773"/>
      <c r="E37" s="1773"/>
      <c r="F37" s="1773"/>
      <c r="G37" s="1782"/>
      <c r="H37" s="1773"/>
      <c r="I37" s="1773"/>
      <c r="J37" s="1773"/>
      <c r="K37" s="1776" t="s">
        <v>1636</v>
      </c>
      <c r="L37" s="1774"/>
      <c r="M37" s="1774">
        <f t="shared" ref="M37:N37" si="56">+M38+M42+M46+M50+M54+M58+M62+M66+M70+M74</f>
        <v>0</v>
      </c>
      <c r="N37" s="1774">
        <f t="shared" si="56"/>
        <v>0</v>
      </c>
      <c r="O37" s="1774">
        <f t="shared" si="6"/>
        <v>0</v>
      </c>
      <c r="P37" s="1777">
        <f t="shared" si="45"/>
        <v>0</v>
      </c>
      <c r="Q37" s="1775"/>
      <c r="R37" s="1777">
        <f t="shared" ref="R37" si="57">+L37*S37</f>
        <v>0</v>
      </c>
      <c r="S37" s="1775"/>
      <c r="T37" s="1777">
        <f t="shared" si="55"/>
        <v>0</v>
      </c>
      <c r="U37" s="1775"/>
      <c r="V37" s="1777">
        <f t="shared" si="54"/>
        <v>0</v>
      </c>
      <c r="W37" s="1775"/>
      <c r="X37" s="1777"/>
      <c r="Y37" s="1777"/>
      <c r="Z37" s="1777"/>
      <c r="AA37" s="1777">
        <f t="shared" si="7"/>
        <v>0</v>
      </c>
      <c r="AB37" s="1877" t="e">
        <f t="shared" si="8"/>
        <v>#DIV/0!</v>
      </c>
    </row>
    <row r="38" spans="1:28" s="1729" customFormat="1" ht="22.5" customHeight="1" thickTop="1" thickBot="1">
      <c r="A38" s="1767">
        <v>1</v>
      </c>
      <c r="B38" s="1768" t="s">
        <v>127</v>
      </c>
      <c r="C38" s="1768" t="s">
        <v>127</v>
      </c>
      <c r="D38" s="1768" t="s">
        <v>134</v>
      </c>
      <c r="E38" s="1768" t="s">
        <v>129</v>
      </c>
      <c r="F38" s="1768" t="s">
        <v>144</v>
      </c>
      <c r="G38" s="1792">
        <v>64</v>
      </c>
      <c r="H38" s="1768" t="s">
        <v>134</v>
      </c>
      <c r="I38" s="1768"/>
      <c r="J38" s="1768"/>
      <c r="K38" s="1769" t="s">
        <v>1639</v>
      </c>
      <c r="L38" s="1770">
        <f>+L39</f>
        <v>103778656.31</v>
      </c>
      <c r="M38" s="1770">
        <f t="shared" ref="M38:N38" si="58">+M39</f>
        <v>0</v>
      </c>
      <c r="N38" s="1770">
        <f t="shared" si="58"/>
        <v>0</v>
      </c>
      <c r="O38" s="1770">
        <f t="shared" si="6"/>
        <v>103778656.31</v>
      </c>
      <c r="P38" s="1770">
        <f>+P39</f>
        <v>10377865.640000001</v>
      </c>
      <c r="Q38" s="1771">
        <f t="shared" ref="Q38:Q39" si="59">+P38/L38</f>
        <v>0.10000000008672304</v>
      </c>
      <c r="R38" s="1770">
        <f>+R39</f>
        <v>72645059.420000002</v>
      </c>
      <c r="S38" s="1771">
        <f t="shared" ref="S38:S39" si="60">+R38/L38</f>
        <v>0.70000000002890772</v>
      </c>
      <c r="T38" s="1770">
        <f>+T39</f>
        <v>20755731.262000002</v>
      </c>
      <c r="U38" s="1771">
        <f t="shared" ref="U38:U39" si="61">+T38/L38</f>
        <v>0.2</v>
      </c>
      <c r="V38" s="1770">
        <f>SUBTOTAL(9,V40:V42)</f>
        <v>0</v>
      </c>
      <c r="W38" s="1771">
        <f t="shared" ref="W38:W39" si="62">+V38/L38</f>
        <v>0</v>
      </c>
      <c r="X38" s="1770">
        <f>+X39</f>
        <v>83639510</v>
      </c>
      <c r="Y38" s="1770">
        <f>+Y39</f>
        <v>41626920</v>
      </c>
      <c r="Z38" s="1770">
        <f>+Z39</f>
        <v>42012590</v>
      </c>
      <c r="AA38" s="1770">
        <f t="shared" si="7"/>
        <v>83639510</v>
      </c>
      <c r="AB38" s="1876">
        <f t="shared" si="8"/>
        <v>1</v>
      </c>
    </row>
    <row r="39" spans="1:28" s="1729" customFormat="1" ht="33" customHeight="1" thickTop="1" thickBot="1">
      <c r="A39" s="1767"/>
      <c r="B39" s="1768"/>
      <c r="C39" s="1768"/>
      <c r="D39" s="1768"/>
      <c r="E39" s="1768"/>
      <c r="F39" s="1768"/>
      <c r="G39" s="1792"/>
      <c r="H39" s="1768"/>
      <c r="I39" s="1768"/>
      <c r="J39" s="1768"/>
      <c r="K39" s="1769" t="s">
        <v>1640</v>
      </c>
      <c r="L39" s="1770">
        <f>SUBTOTAL(9,L40:L42)</f>
        <v>103778656.31</v>
      </c>
      <c r="M39" s="1770">
        <f t="shared" ref="M39:N39" si="63">SUBTOTAL(9,M40:M42)</f>
        <v>0</v>
      </c>
      <c r="N39" s="1770">
        <f t="shared" si="63"/>
        <v>0</v>
      </c>
      <c r="O39" s="1770">
        <f t="shared" si="6"/>
        <v>103778656.31</v>
      </c>
      <c r="P39" s="1770">
        <f t="shared" ref="P39" si="64">SUBTOTAL(9,P40:P42)</f>
        <v>10377865.640000001</v>
      </c>
      <c r="Q39" s="1771">
        <f t="shared" si="59"/>
        <v>0.10000000008672304</v>
      </c>
      <c r="R39" s="1770">
        <f t="shared" ref="R39" si="65">SUBTOTAL(9,R40:R42)</f>
        <v>72645059.420000002</v>
      </c>
      <c r="S39" s="1771">
        <f t="shared" si="60"/>
        <v>0.70000000002890772</v>
      </c>
      <c r="T39" s="1770">
        <f t="shared" ref="T39" si="66">SUBTOTAL(9,T40:T42)</f>
        <v>20755731.262000002</v>
      </c>
      <c r="U39" s="1771">
        <f t="shared" si="61"/>
        <v>0.2</v>
      </c>
      <c r="V39" s="1770">
        <f t="shared" ref="V39" si="67">SUBTOTAL(9,V40:V42)</f>
        <v>0</v>
      </c>
      <c r="W39" s="1771">
        <f t="shared" si="62"/>
        <v>0</v>
      </c>
      <c r="X39" s="1770">
        <f t="shared" ref="X39:Z39" si="68">SUBTOTAL(9,X40:X42)</f>
        <v>83639510</v>
      </c>
      <c r="Y39" s="1770">
        <f t="shared" si="68"/>
        <v>41626920</v>
      </c>
      <c r="Z39" s="1770">
        <f t="shared" si="68"/>
        <v>42012590</v>
      </c>
      <c r="AA39" s="1770">
        <f t="shared" si="7"/>
        <v>83639510</v>
      </c>
      <c r="AB39" s="1876">
        <f t="shared" si="8"/>
        <v>1</v>
      </c>
    </row>
    <row r="40" spans="1:28" ht="22.5" customHeight="1" thickTop="1" thickBot="1">
      <c r="A40" s="1772">
        <v>1</v>
      </c>
      <c r="B40" s="1773" t="s">
        <v>127</v>
      </c>
      <c r="C40" s="1773" t="s">
        <v>127</v>
      </c>
      <c r="D40" s="1773" t="s">
        <v>134</v>
      </c>
      <c r="E40" s="1773" t="s">
        <v>129</v>
      </c>
      <c r="F40" s="1773" t="s">
        <v>144</v>
      </c>
      <c r="G40" s="1782">
        <v>64</v>
      </c>
      <c r="H40" s="1773" t="s">
        <v>134</v>
      </c>
      <c r="I40" s="1773" t="s">
        <v>127</v>
      </c>
      <c r="J40" s="1773"/>
      <c r="K40" s="1917" t="s">
        <v>1340</v>
      </c>
      <c r="L40" s="1918">
        <v>75847012.760000005</v>
      </c>
      <c r="M40" s="1918"/>
      <c r="N40" s="1918"/>
      <c r="O40" s="1918">
        <f t="shared" si="6"/>
        <v>75847012.760000005</v>
      </c>
      <c r="P40" s="1918">
        <v>7584701.2800000003</v>
      </c>
      <c r="Q40" s="1775">
        <v>0.1</v>
      </c>
      <c r="R40" s="1918">
        <v>53092908.93</v>
      </c>
      <c r="S40" s="1775">
        <v>0.7</v>
      </c>
      <c r="T40" s="1918">
        <f t="shared" ref="T40:T42" si="69">+L40*U40</f>
        <v>15169402.552000001</v>
      </c>
      <c r="U40" s="1775">
        <v>0.2</v>
      </c>
      <c r="V40" s="1774">
        <f t="shared" ref="V40:V42" si="70">+L40*W40</f>
        <v>0</v>
      </c>
      <c r="W40" s="1775">
        <v>0</v>
      </c>
      <c r="X40" s="1774">
        <f>+AA40</f>
        <v>83639510</v>
      </c>
      <c r="Y40" s="1774">
        <f>+'[8]INGRESOS CRA OCT2022'!P22</f>
        <v>41626920</v>
      </c>
      <c r="Z40" s="1774">
        <f>+'[8]INGRESOS CRA OCT2022'!Y22</f>
        <v>42012590</v>
      </c>
      <c r="AA40" s="1918">
        <f t="shared" si="7"/>
        <v>83639510</v>
      </c>
      <c r="AB40" s="1877">
        <f t="shared" si="8"/>
        <v>1</v>
      </c>
    </row>
    <row r="41" spans="1:28" ht="22.5" customHeight="1" thickTop="1" thickBot="1">
      <c r="A41" s="1772">
        <v>1</v>
      </c>
      <c r="B41" s="1773" t="s">
        <v>127</v>
      </c>
      <c r="C41" s="1773" t="s">
        <v>127</v>
      </c>
      <c r="D41" s="1773" t="s">
        <v>134</v>
      </c>
      <c r="E41" s="1773" t="s">
        <v>129</v>
      </c>
      <c r="F41" s="1773" t="s">
        <v>144</v>
      </c>
      <c r="G41" s="1782">
        <v>64</v>
      </c>
      <c r="H41" s="1773" t="s">
        <v>134</v>
      </c>
      <c r="I41" s="1773" t="s">
        <v>209</v>
      </c>
      <c r="J41" s="1773"/>
      <c r="K41" s="1917" t="s">
        <v>1341</v>
      </c>
      <c r="L41" s="1918">
        <v>27931643.550000001</v>
      </c>
      <c r="M41" s="1918"/>
      <c r="N41" s="1918"/>
      <c r="O41" s="1918">
        <f t="shared" si="6"/>
        <v>27931643.550000001</v>
      </c>
      <c r="P41" s="1918">
        <v>2793164.36</v>
      </c>
      <c r="Q41" s="1775">
        <v>0.1</v>
      </c>
      <c r="R41" s="1918">
        <v>19552150.489999998</v>
      </c>
      <c r="S41" s="1775">
        <v>0.7</v>
      </c>
      <c r="T41" s="1918">
        <f t="shared" si="69"/>
        <v>5586328.7100000009</v>
      </c>
      <c r="U41" s="1775">
        <v>0.2</v>
      </c>
      <c r="V41" s="1774">
        <f t="shared" si="70"/>
        <v>0</v>
      </c>
      <c r="W41" s="1775">
        <v>0</v>
      </c>
      <c r="X41" s="1774"/>
      <c r="Y41" s="1774">
        <f>+'[8]INGRESOS CRA OCT2022'!P23</f>
        <v>0</v>
      </c>
      <c r="Z41" s="1774">
        <f>+'[8]INGRESOS CRA OCT2022'!Y23</f>
        <v>0</v>
      </c>
      <c r="AA41" s="1918">
        <f t="shared" si="7"/>
        <v>0</v>
      </c>
      <c r="AB41" s="1877" t="e">
        <f t="shared" si="8"/>
        <v>#DIV/0!</v>
      </c>
    </row>
    <row r="42" spans="1:28" ht="30.75" hidden="1" customHeight="1" thickTop="1" thickBot="1">
      <c r="A42" s="1772">
        <v>1</v>
      </c>
      <c r="B42" s="1773" t="s">
        <v>127</v>
      </c>
      <c r="C42" s="1773" t="s">
        <v>127</v>
      </c>
      <c r="D42" s="1773" t="s">
        <v>134</v>
      </c>
      <c r="E42" s="1773" t="s">
        <v>129</v>
      </c>
      <c r="F42" s="1773" t="s">
        <v>144</v>
      </c>
      <c r="G42" s="1782">
        <v>64</v>
      </c>
      <c r="H42" s="1773" t="s">
        <v>134</v>
      </c>
      <c r="I42" s="1773" t="s">
        <v>1622</v>
      </c>
      <c r="J42" s="1773"/>
      <c r="K42" s="1776" t="s">
        <v>1641</v>
      </c>
      <c r="L42" s="1774"/>
      <c r="M42" s="1774">
        <f t="shared" ref="M42:N42" si="71">SUM(M43:M45)</f>
        <v>0</v>
      </c>
      <c r="N42" s="1774">
        <f t="shared" si="71"/>
        <v>0</v>
      </c>
      <c r="O42" s="1774">
        <f t="shared" si="6"/>
        <v>0</v>
      </c>
      <c r="P42" s="1777">
        <f t="shared" ref="P42" si="72">+L42*Q42</f>
        <v>0</v>
      </c>
      <c r="Q42" s="1775"/>
      <c r="R42" s="1777">
        <f t="shared" ref="R42" si="73">+L42*S42</f>
        <v>0</v>
      </c>
      <c r="S42" s="1775"/>
      <c r="T42" s="1777">
        <f t="shared" si="69"/>
        <v>0</v>
      </c>
      <c r="U42" s="1775"/>
      <c r="V42" s="1777">
        <f t="shared" si="70"/>
        <v>0</v>
      </c>
      <c r="W42" s="1775"/>
      <c r="X42" s="1777"/>
      <c r="Y42" s="1777"/>
      <c r="Z42" s="1777"/>
      <c r="AA42" s="1777">
        <f t="shared" si="7"/>
        <v>0</v>
      </c>
      <c r="AB42" s="1877" t="e">
        <f t="shared" si="8"/>
        <v>#DIV/0!</v>
      </c>
    </row>
    <row r="43" spans="1:28" s="1760" customFormat="1" ht="22.5" customHeight="1" thickTop="1" thickBot="1">
      <c r="A43" s="1755">
        <v>1</v>
      </c>
      <c r="B43" s="1756" t="s">
        <v>127</v>
      </c>
      <c r="C43" s="1756" t="s">
        <v>127</v>
      </c>
      <c r="D43" s="1756" t="s">
        <v>134</v>
      </c>
      <c r="E43" s="1756" t="s">
        <v>134</v>
      </c>
      <c r="F43" s="1756"/>
      <c r="G43" s="1784"/>
      <c r="H43" s="1756"/>
      <c r="I43" s="1756"/>
      <c r="J43" s="1756"/>
      <c r="K43" s="1757" t="s">
        <v>141</v>
      </c>
      <c r="L43" s="1758">
        <f>+L44+L48+L52+L56+L60+L64+L68+L72+L76+L80</f>
        <v>18846842502.279999</v>
      </c>
      <c r="M43" s="1758">
        <f t="shared" ref="M43:N43" si="74">+M44+M48+M52+M56+M60+M64+M68+M72+M76+M80</f>
        <v>0</v>
      </c>
      <c r="N43" s="1758">
        <f t="shared" si="74"/>
        <v>0</v>
      </c>
      <c r="O43" s="1758">
        <f t="shared" si="6"/>
        <v>18846842502.279999</v>
      </c>
      <c r="P43" s="1758">
        <f t="shared" ref="P43:V43" si="75">+P44+P48+P52+P56+P60+P64+P68+P72+P76+P80</f>
        <v>5072244574.6199999</v>
      </c>
      <c r="Q43" s="1759">
        <f t="shared" ref="Q43:Q44" si="76">+P43/L43</f>
        <v>0.26912967379052405</v>
      </c>
      <c r="R43" s="1758">
        <f t="shared" si="75"/>
        <v>11889913676.91</v>
      </c>
      <c r="S43" s="1759">
        <f t="shared" ref="S43:S44" si="77">+R43/L43</f>
        <v>0.63087032618177907</v>
      </c>
      <c r="T43" s="1758">
        <f t="shared" si="75"/>
        <v>1884684250.2260001</v>
      </c>
      <c r="U43" s="1759">
        <f t="shared" ref="U43:U44" si="78">+T43/L43</f>
        <v>9.9999999999893896E-2</v>
      </c>
      <c r="V43" s="1758">
        <f t="shared" si="75"/>
        <v>0</v>
      </c>
      <c r="W43" s="1759">
        <f t="shared" ref="W43:W44" si="79">+V43/L43</f>
        <v>0</v>
      </c>
      <c r="X43" s="1758">
        <f t="shared" ref="X43:Z43" si="80">+X44+X48+X52+X56+X60+X64+X68+X72+X76+X80</f>
        <v>21421975070.040001</v>
      </c>
      <c r="Y43" s="1758">
        <f t="shared" si="80"/>
        <v>7698947800</v>
      </c>
      <c r="Z43" s="1758">
        <f t="shared" si="80"/>
        <v>6379182221.04</v>
      </c>
      <c r="AA43" s="1758">
        <f t="shared" si="7"/>
        <v>14078130021.040001</v>
      </c>
      <c r="AB43" s="1874">
        <f t="shared" si="8"/>
        <v>0.65718170126755326</v>
      </c>
    </row>
    <row r="44" spans="1:28" s="1766" customFormat="1" ht="22.5" customHeight="1" thickTop="1" thickBot="1">
      <c r="A44" s="1761">
        <v>1</v>
      </c>
      <c r="B44" s="1762" t="s">
        <v>127</v>
      </c>
      <c r="C44" s="1762" t="s">
        <v>127</v>
      </c>
      <c r="D44" s="1762" t="s">
        <v>134</v>
      </c>
      <c r="E44" s="1762" t="s">
        <v>134</v>
      </c>
      <c r="F44" s="1762" t="s">
        <v>1642</v>
      </c>
      <c r="G44" s="1780"/>
      <c r="H44" s="1762"/>
      <c r="I44" s="1762"/>
      <c r="J44" s="1762"/>
      <c r="K44" s="1763" t="s">
        <v>1643</v>
      </c>
      <c r="L44" s="1764">
        <f>SUBTOTAL(9,L45:L47)</f>
        <v>15857420</v>
      </c>
      <c r="M44" s="1764">
        <f t="shared" ref="M44:N44" si="81">SUBTOTAL(9,M45:M47)</f>
        <v>0</v>
      </c>
      <c r="N44" s="1764">
        <f t="shared" si="81"/>
        <v>0</v>
      </c>
      <c r="O44" s="1764">
        <f t="shared" si="6"/>
        <v>15857420</v>
      </c>
      <c r="P44" s="1764">
        <f t="shared" ref="P44:V44" si="82">SUBTOTAL(9,P45:P47)</f>
        <v>14271677.949999999</v>
      </c>
      <c r="Q44" s="1765">
        <f t="shared" si="76"/>
        <v>0.89999999684690191</v>
      </c>
      <c r="R44" s="1764">
        <f t="shared" si="82"/>
        <v>0</v>
      </c>
      <c r="S44" s="1765">
        <f t="shared" si="77"/>
        <v>0</v>
      </c>
      <c r="T44" s="1764">
        <f t="shared" si="82"/>
        <v>1585741.99</v>
      </c>
      <c r="U44" s="1765">
        <f t="shared" si="78"/>
        <v>9.9999999369380393E-2</v>
      </c>
      <c r="V44" s="1764">
        <f t="shared" si="82"/>
        <v>0</v>
      </c>
      <c r="W44" s="1765">
        <f t="shared" si="79"/>
        <v>0</v>
      </c>
      <c r="X44" s="1764">
        <f t="shared" ref="X44:Z44" si="83">SUBTOTAL(9,X45:X47)</f>
        <v>108359385.04000001</v>
      </c>
      <c r="Y44" s="1764">
        <f t="shared" si="83"/>
        <v>27317476</v>
      </c>
      <c r="Z44" s="1764">
        <f t="shared" si="83"/>
        <v>81041909.040000007</v>
      </c>
      <c r="AA44" s="1764">
        <f t="shared" si="7"/>
        <v>108359385.04000001</v>
      </c>
      <c r="AB44" s="1875">
        <f t="shared" si="8"/>
        <v>1</v>
      </c>
    </row>
    <row r="45" spans="1:28" ht="22.5" customHeight="1" thickTop="1" thickBot="1">
      <c r="A45" s="1772">
        <v>1</v>
      </c>
      <c r="B45" s="1773" t="s">
        <v>127</v>
      </c>
      <c r="C45" s="1773" t="s">
        <v>127</v>
      </c>
      <c r="D45" s="1773" t="s">
        <v>134</v>
      </c>
      <c r="E45" s="1773" t="s">
        <v>134</v>
      </c>
      <c r="F45" s="1773" t="s">
        <v>1642</v>
      </c>
      <c r="G45" s="1782">
        <v>1</v>
      </c>
      <c r="H45" s="1773"/>
      <c r="I45" s="1773"/>
      <c r="J45" s="1773"/>
      <c r="K45" s="1917" t="s">
        <v>1644</v>
      </c>
      <c r="L45" s="1918">
        <v>15857420</v>
      </c>
      <c r="M45" s="1918"/>
      <c r="N45" s="1918"/>
      <c r="O45" s="1918">
        <f t="shared" si="6"/>
        <v>15857420</v>
      </c>
      <c r="P45" s="1918">
        <v>14271677.949999999</v>
      </c>
      <c r="Q45" s="1775">
        <v>0.9</v>
      </c>
      <c r="R45" s="1774">
        <f t="shared" ref="R45" si="84">+L45*S45</f>
        <v>0</v>
      </c>
      <c r="S45" s="1775">
        <v>0</v>
      </c>
      <c r="T45" s="1918">
        <v>1585741.99</v>
      </c>
      <c r="U45" s="1775">
        <v>0.1</v>
      </c>
      <c r="V45" s="1774">
        <f t="shared" ref="V45" si="85">+L45*W45</f>
        <v>0</v>
      </c>
      <c r="W45" s="1775">
        <v>0</v>
      </c>
      <c r="X45" s="1774">
        <f>+AA45</f>
        <v>108359385.04000001</v>
      </c>
      <c r="Y45" s="1774">
        <f>+'[8]INGRESOS CRA OCT2022'!P26</f>
        <v>27317476</v>
      </c>
      <c r="Z45" s="1774">
        <f>+'[8]INGRESOS CRA OCT2022'!Y26</f>
        <v>81041909.040000007</v>
      </c>
      <c r="AA45" s="1841">
        <f t="shared" si="7"/>
        <v>108359385.04000001</v>
      </c>
      <c r="AB45" s="1877">
        <f t="shared" si="8"/>
        <v>1</v>
      </c>
    </row>
    <row r="46" spans="1:28" ht="22.5" hidden="1" customHeight="1" thickTop="1" thickBot="1">
      <c r="A46" s="1772">
        <v>1</v>
      </c>
      <c r="B46" s="1773" t="s">
        <v>127</v>
      </c>
      <c r="C46" s="1773" t="s">
        <v>127</v>
      </c>
      <c r="D46" s="1773" t="s">
        <v>134</v>
      </c>
      <c r="E46" s="1773" t="s">
        <v>134</v>
      </c>
      <c r="F46" s="1773" t="s">
        <v>1642</v>
      </c>
      <c r="G46" s="1782">
        <v>2</v>
      </c>
      <c r="H46" s="1773"/>
      <c r="I46" s="1773"/>
      <c r="J46" s="1773"/>
      <c r="K46" s="1776" t="s">
        <v>1645</v>
      </c>
      <c r="L46" s="1774"/>
      <c r="M46" s="1774">
        <f t="shared" ref="M46:N46" si="86">SUBTOTAL(9,M47:M49)</f>
        <v>0</v>
      </c>
      <c r="N46" s="1774">
        <f t="shared" si="86"/>
        <v>0</v>
      </c>
      <c r="O46" s="1774">
        <f t="shared" si="6"/>
        <v>0</v>
      </c>
      <c r="P46" s="1777"/>
      <c r="Q46" s="1775"/>
      <c r="R46" s="1777"/>
      <c r="S46" s="1775"/>
      <c r="T46" s="1777"/>
      <c r="U46" s="1775"/>
      <c r="V46" s="1777"/>
      <c r="W46" s="1775"/>
      <c r="X46" s="1777"/>
      <c r="Y46" s="1777"/>
      <c r="Z46" s="1777"/>
      <c r="AA46" s="1777">
        <f t="shared" si="7"/>
        <v>0</v>
      </c>
      <c r="AB46" s="1877" t="e">
        <f t="shared" si="8"/>
        <v>#DIV/0!</v>
      </c>
    </row>
    <row r="47" spans="1:28" ht="22.5" hidden="1" customHeight="1" thickTop="1" thickBot="1">
      <c r="A47" s="1772">
        <v>1</v>
      </c>
      <c r="B47" s="1773" t="s">
        <v>127</v>
      </c>
      <c r="C47" s="1773" t="s">
        <v>127</v>
      </c>
      <c r="D47" s="1773" t="s">
        <v>134</v>
      </c>
      <c r="E47" s="1773" t="s">
        <v>134</v>
      </c>
      <c r="F47" s="1773" t="s">
        <v>1642</v>
      </c>
      <c r="G47" s="1782">
        <v>3</v>
      </c>
      <c r="H47" s="1773"/>
      <c r="I47" s="1773"/>
      <c r="J47" s="1773"/>
      <c r="K47" s="1776" t="s">
        <v>1646</v>
      </c>
      <c r="L47" s="1774"/>
      <c r="M47" s="1774"/>
      <c r="N47" s="1774"/>
      <c r="O47" s="1774">
        <f t="shared" si="6"/>
        <v>0</v>
      </c>
      <c r="P47" s="1777"/>
      <c r="Q47" s="1775"/>
      <c r="R47" s="1777"/>
      <c r="S47" s="1775"/>
      <c r="T47" s="1777"/>
      <c r="U47" s="1775"/>
      <c r="V47" s="1777"/>
      <c r="W47" s="1775"/>
      <c r="X47" s="1777"/>
      <c r="Y47" s="1777"/>
      <c r="Z47" s="1777"/>
      <c r="AA47" s="1777">
        <f t="shared" si="7"/>
        <v>0</v>
      </c>
      <c r="AB47" s="1877" t="e">
        <f t="shared" si="8"/>
        <v>#DIV/0!</v>
      </c>
    </row>
    <row r="48" spans="1:28" s="1766" customFormat="1" ht="22.5" customHeight="1" thickTop="1" thickBot="1">
      <c r="A48" s="1761">
        <v>1</v>
      </c>
      <c r="B48" s="1762" t="s">
        <v>127</v>
      </c>
      <c r="C48" s="1762" t="s">
        <v>127</v>
      </c>
      <c r="D48" s="1762" t="s">
        <v>134</v>
      </c>
      <c r="E48" s="1762" t="s">
        <v>134</v>
      </c>
      <c r="F48" s="1762" t="s">
        <v>1647</v>
      </c>
      <c r="G48" s="1780"/>
      <c r="H48" s="1762"/>
      <c r="I48" s="1762"/>
      <c r="J48" s="1762"/>
      <c r="K48" s="1763" t="s">
        <v>1648</v>
      </c>
      <c r="L48" s="1764">
        <f>SUM(L49:L51)</f>
        <v>1604695743.8599999</v>
      </c>
      <c r="M48" s="1764">
        <f t="shared" ref="M48:N48" si="87">SUM(M49:M51)</f>
        <v>0</v>
      </c>
      <c r="N48" s="1764">
        <f t="shared" si="87"/>
        <v>0</v>
      </c>
      <c r="O48" s="1764">
        <f t="shared" si="6"/>
        <v>1604695743.8599999</v>
      </c>
      <c r="P48" s="1764">
        <f t="shared" ref="P48:V48" si="88">SUBTOTAL(9,P49:P51)</f>
        <v>1444226169.26</v>
      </c>
      <c r="Q48" s="1765">
        <f t="shared" ref="Q48" si="89">+P48/L48</f>
        <v>0.89999999986664148</v>
      </c>
      <c r="R48" s="1764">
        <f t="shared" si="88"/>
        <v>0</v>
      </c>
      <c r="S48" s="1765">
        <f t="shared" ref="S48" si="90">+R48/L48</f>
        <v>0</v>
      </c>
      <c r="T48" s="1764">
        <f t="shared" si="88"/>
        <v>160469574.38599998</v>
      </c>
      <c r="U48" s="1765">
        <f t="shared" ref="U48" si="91">+T48/L48</f>
        <v>9.9999999999999992E-2</v>
      </c>
      <c r="V48" s="1764">
        <f t="shared" si="88"/>
        <v>0</v>
      </c>
      <c r="W48" s="1765">
        <f t="shared" ref="W48" si="92">+V48/L48</f>
        <v>0</v>
      </c>
      <c r="X48" s="1764">
        <f t="shared" ref="X48:Z48" si="93">SUBTOTAL(9,X49:X51)</f>
        <v>8278874509</v>
      </c>
      <c r="Y48" s="1764">
        <f t="shared" si="93"/>
        <v>2654578171</v>
      </c>
      <c r="Z48" s="1764">
        <f t="shared" si="93"/>
        <v>3158224896</v>
      </c>
      <c r="AA48" s="1764">
        <f t="shared" si="7"/>
        <v>5812803067</v>
      </c>
      <c r="AB48" s="1875">
        <f t="shared" si="8"/>
        <v>0.70212479494415292</v>
      </c>
    </row>
    <row r="49" spans="1:28" ht="22.5" customHeight="1" thickTop="1" thickBot="1">
      <c r="A49" s="1772">
        <v>1</v>
      </c>
      <c r="B49" s="1773" t="s">
        <v>127</v>
      </c>
      <c r="C49" s="1773" t="s">
        <v>127</v>
      </c>
      <c r="D49" s="1773" t="s">
        <v>134</v>
      </c>
      <c r="E49" s="1773" t="s">
        <v>134</v>
      </c>
      <c r="F49" s="1773" t="s">
        <v>1647</v>
      </c>
      <c r="G49" s="1782">
        <v>1</v>
      </c>
      <c r="H49" s="1773"/>
      <c r="I49" s="1773"/>
      <c r="J49" s="1773"/>
      <c r="K49" s="1917" t="s">
        <v>1649</v>
      </c>
      <c r="L49" s="1918">
        <v>1460675087.8599999</v>
      </c>
      <c r="M49" s="1918"/>
      <c r="N49" s="1918"/>
      <c r="O49" s="1918">
        <f t="shared" si="6"/>
        <v>1460675087.8599999</v>
      </c>
      <c r="P49" s="1918">
        <v>1314607579.0699999</v>
      </c>
      <c r="Q49" s="1775">
        <v>0.9</v>
      </c>
      <c r="R49" s="1774">
        <f t="shared" ref="R49:R51" si="94">+L49*S49</f>
        <v>0</v>
      </c>
      <c r="S49" s="1775">
        <v>0</v>
      </c>
      <c r="T49" s="1918">
        <f t="shared" ref="T49:T51" si="95">+L49*U49</f>
        <v>146067508.78599998</v>
      </c>
      <c r="U49" s="1775">
        <v>0.1</v>
      </c>
      <c r="V49" s="1774">
        <f t="shared" ref="V49:V51" si="96">+L49*W49</f>
        <v>0</v>
      </c>
      <c r="W49" s="1775">
        <v>0</v>
      </c>
      <c r="X49" s="1777">
        <f>2466071442+AA49</f>
        <v>7643002295</v>
      </c>
      <c r="Y49" s="1774">
        <f>+'[8]INGRESOS CRA OCT2022'!P28</f>
        <v>2197661971</v>
      </c>
      <c r="Z49" s="1774">
        <f>+'[8]INGRESOS CRA OCT2022'!Y28</f>
        <v>2979268882</v>
      </c>
      <c r="AA49" s="1841">
        <f t="shared" si="7"/>
        <v>5176930853</v>
      </c>
      <c r="AB49" s="1877">
        <f t="shared" si="8"/>
        <v>0.67734257470872572</v>
      </c>
    </row>
    <row r="50" spans="1:28" ht="22.5" customHeight="1" thickTop="1" thickBot="1">
      <c r="A50" s="1772">
        <v>1</v>
      </c>
      <c r="B50" s="1773" t="s">
        <v>127</v>
      </c>
      <c r="C50" s="1773" t="s">
        <v>127</v>
      </c>
      <c r="D50" s="1773" t="s">
        <v>134</v>
      </c>
      <c r="E50" s="1773" t="s">
        <v>134</v>
      </c>
      <c r="F50" s="1773" t="s">
        <v>1647</v>
      </c>
      <c r="G50" s="1782">
        <v>2</v>
      </c>
      <c r="H50" s="1773"/>
      <c r="I50" s="1773"/>
      <c r="J50" s="1773"/>
      <c r="K50" s="1917" t="s">
        <v>1650</v>
      </c>
      <c r="L50" s="1918">
        <v>144020656</v>
      </c>
      <c r="M50" s="1918">
        <f t="shared" ref="M50:N50" si="97">SUBTOTAL(9,M51:M53)</f>
        <v>0</v>
      </c>
      <c r="N50" s="1918">
        <f t="shared" si="97"/>
        <v>0</v>
      </c>
      <c r="O50" s="1918">
        <f t="shared" si="6"/>
        <v>144020656</v>
      </c>
      <c r="P50" s="1918">
        <v>129618590.19</v>
      </c>
      <c r="Q50" s="1775">
        <v>0.9</v>
      </c>
      <c r="R50" s="1774">
        <f t="shared" si="94"/>
        <v>0</v>
      </c>
      <c r="S50" s="1775">
        <v>0</v>
      </c>
      <c r="T50" s="1918">
        <f t="shared" si="95"/>
        <v>14402065.600000001</v>
      </c>
      <c r="U50" s="1775">
        <v>0.1</v>
      </c>
      <c r="V50" s="1774">
        <f t="shared" si="96"/>
        <v>0</v>
      </c>
      <c r="W50" s="1775">
        <v>0</v>
      </c>
      <c r="X50" s="1774">
        <f>+AA50</f>
        <v>635872214</v>
      </c>
      <c r="Y50" s="1774">
        <f>+'[8]INGRESOS CRA OCT2022'!P29</f>
        <v>456916200</v>
      </c>
      <c r="Z50" s="1774">
        <f>+'[8]INGRESOS CRA OCT2022'!Y29</f>
        <v>178956014</v>
      </c>
      <c r="AA50" s="1841">
        <f t="shared" si="7"/>
        <v>635872214</v>
      </c>
      <c r="AB50" s="1877">
        <f t="shared" si="8"/>
        <v>1</v>
      </c>
    </row>
    <row r="51" spans="1:28" ht="22.5" hidden="1" customHeight="1" thickTop="1" thickBot="1">
      <c r="A51" s="1772">
        <v>1</v>
      </c>
      <c r="B51" s="1773" t="s">
        <v>127</v>
      </c>
      <c r="C51" s="1773" t="s">
        <v>127</v>
      </c>
      <c r="D51" s="1773" t="s">
        <v>134</v>
      </c>
      <c r="E51" s="1773" t="s">
        <v>134</v>
      </c>
      <c r="F51" s="1773" t="s">
        <v>1647</v>
      </c>
      <c r="G51" s="1782">
        <v>3</v>
      </c>
      <c r="H51" s="1773"/>
      <c r="I51" s="1773"/>
      <c r="J51" s="1773"/>
      <c r="K51" s="1776" t="s">
        <v>1651</v>
      </c>
      <c r="L51" s="1774"/>
      <c r="M51" s="1774"/>
      <c r="N51" s="1774"/>
      <c r="O51" s="1774">
        <f t="shared" si="6"/>
        <v>0</v>
      </c>
      <c r="P51" s="1777">
        <f t="shared" ref="P51:P55" si="98">+L51*Q51</f>
        <v>0</v>
      </c>
      <c r="Q51" s="1775"/>
      <c r="R51" s="1777">
        <f t="shared" si="94"/>
        <v>0</v>
      </c>
      <c r="S51" s="1775"/>
      <c r="T51" s="1777">
        <f t="shared" si="95"/>
        <v>0</v>
      </c>
      <c r="U51" s="1775"/>
      <c r="V51" s="1777">
        <f t="shared" si="96"/>
        <v>0</v>
      </c>
      <c r="W51" s="1775"/>
      <c r="X51" s="1777"/>
      <c r="Y51" s="1777"/>
      <c r="Z51" s="1777"/>
      <c r="AA51" s="1777">
        <f t="shared" si="7"/>
        <v>0</v>
      </c>
      <c r="AB51" s="1877" t="e">
        <f t="shared" si="8"/>
        <v>#DIV/0!</v>
      </c>
    </row>
    <row r="52" spans="1:28" s="1766" customFormat="1" ht="22.5" customHeight="1" thickTop="1" thickBot="1">
      <c r="A52" s="1761">
        <v>1</v>
      </c>
      <c r="B52" s="1762" t="s">
        <v>127</v>
      </c>
      <c r="C52" s="1762" t="s">
        <v>127</v>
      </c>
      <c r="D52" s="1762" t="s">
        <v>134</v>
      </c>
      <c r="E52" s="1762" t="s">
        <v>134</v>
      </c>
      <c r="F52" s="1762" t="s">
        <v>1652</v>
      </c>
      <c r="G52" s="1780"/>
      <c r="H52" s="1762"/>
      <c r="I52" s="1762"/>
      <c r="J52" s="1762"/>
      <c r="K52" s="1763" t="s">
        <v>1653</v>
      </c>
      <c r="L52" s="1764">
        <f>SUM(L53:L55)</f>
        <v>4763798667</v>
      </c>
      <c r="M52" s="1764">
        <f t="shared" ref="M52:N52" si="99">SUM(M53:M55)</f>
        <v>0</v>
      </c>
      <c r="N52" s="1764">
        <f t="shared" si="99"/>
        <v>0</v>
      </c>
      <c r="O52" s="1764">
        <f t="shared" si="6"/>
        <v>4763798667</v>
      </c>
      <c r="P52" s="1764">
        <f t="shared" ref="P52:V52" si="100">SUBTOTAL(9,P53:P55)</f>
        <v>3613746727.4099998</v>
      </c>
      <c r="Q52" s="1765">
        <f t="shared" ref="Q52" si="101">+P52/L52</f>
        <v>0.75858510823375225</v>
      </c>
      <c r="R52" s="1764">
        <f t="shared" si="100"/>
        <v>673672072.63</v>
      </c>
      <c r="S52" s="1765">
        <f t="shared" ref="S52" si="102">+R52/L52</f>
        <v>0.1414148917116694</v>
      </c>
      <c r="T52" s="1764">
        <f t="shared" si="100"/>
        <v>476379866.70000005</v>
      </c>
      <c r="U52" s="1765">
        <f t="shared" ref="U52" si="103">+T52/L52</f>
        <v>0.1</v>
      </c>
      <c r="V52" s="1764">
        <f t="shared" si="100"/>
        <v>0</v>
      </c>
      <c r="W52" s="1765">
        <f t="shared" ref="W52" si="104">+V52/L52</f>
        <v>0</v>
      </c>
      <c r="X52" s="1764">
        <f t="shared" ref="X52:Z52" si="105">SUBTOTAL(9,X53:X55)</f>
        <v>4254316621</v>
      </c>
      <c r="Y52" s="1764">
        <f t="shared" si="105"/>
        <v>945460340</v>
      </c>
      <c r="Z52" s="1764">
        <f t="shared" si="105"/>
        <v>842784839</v>
      </c>
      <c r="AA52" s="1764">
        <f t="shared" si="7"/>
        <v>1788245179</v>
      </c>
      <c r="AB52" s="1875">
        <f t="shared" si="8"/>
        <v>0.42033664588407227</v>
      </c>
    </row>
    <row r="53" spans="1:28" ht="22.5" customHeight="1" thickTop="1" thickBot="1">
      <c r="A53" s="1772">
        <v>1</v>
      </c>
      <c r="B53" s="1773" t="s">
        <v>127</v>
      </c>
      <c r="C53" s="1773" t="s">
        <v>127</v>
      </c>
      <c r="D53" s="1773" t="s">
        <v>134</v>
      </c>
      <c r="E53" s="1773" t="s">
        <v>134</v>
      </c>
      <c r="F53" s="1773" t="s">
        <v>1652</v>
      </c>
      <c r="G53" s="1782">
        <v>1</v>
      </c>
      <c r="H53" s="1773"/>
      <c r="I53" s="1773"/>
      <c r="J53" s="1773"/>
      <c r="K53" s="1917" t="s">
        <v>943</v>
      </c>
      <c r="L53" s="1918">
        <v>4496341071</v>
      </c>
      <c r="M53" s="1918"/>
      <c r="N53" s="1918"/>
      <c r="O53" s="1918">
        <f t="shared" si="6"/>
        <v>4496341071</v>
      </c>
      <c r="P53" s="1796">
        <v>3373034890.8699999</v>
      </c>
      <c r="Q53" s="1868">
        <f>+P53/L53</f>
        <v>0.75017327146844459</v>
      </c>
      <c r="R53" s="1796">
        <v>673672072.63</v>
      </c>
      <c r="S53" s="1869">
        <f>+R53/L53</f>
        <v>0.14982672844259415</v>
      </c>
      <c r="T53" s="1918">
        <f t="shared" ref="T53:T55" si="106">+L53*U53</f>
        <v>449634107.10000002</v>
      </c>
      <c r="U53" s="1775">
        <v>0.1</v>
      </c>
      <c r="V53" s="1777"/>
      <c r="W53" s="1775"/>
      <c r="X53" s="1777">
        <f>2466071442+AA53</f>
        <v>4118521110</v>
      </c>
      <c r="Y53" s="1777">
        <f>+'[8]INGRESOS CRA OCT2022'!P31</f>
        <v>834308484</v>
      </c>
      <c r="Z53" s="1777">
        <f>+'[8]INGRESOS CRA OCT2022'!Y31</f>
        <v>818141184</v>
      </c>
      <c r="AA53" s="1919">
        <f t="shared" si="7"/>
        <v>1652449668</v>
      </c>
      <c r="AB53" s="1879">
        <f t="shared" si="8"/>
        <v>0.40122403743124191</v>
      </c>
    </row>
    <row r="54" spans="1:28" ht="22.5" customHeight="1" thickTop="1" thickBot="1">
      <c r="A54" s="1772">
        <v>1</v>
      </c>
      <c r="B54" s="1773" t="s">
        <v>127</v>
      </c>
      <c r="C54" s="1773" t="s">
        <v>127</v>
      </c>
      <c r="D54" s="1773" t="s">
        <v>134</v>
      </c>
      <c r="E54" s="1773" t="s">
        <v>134</v>
      </c>
      <c r="F54" s="1773" t="s">
        <v>1652</v>
      </c>
      <c r="G54" s="1782">
        <v>2</v>
      </c>
      <c r="H54" s="1773"/>
      <c r="I54" s="1773"/>
      <c r="J54" s="1773"/>
      <c r="K54" s="1917" t="s">
        <v>1654</v>
      </c>
      <c r="L54" s="1918">
        <v>267457596</v>
      </c>
      <c r="M54" s="1918">
        <f t="shared" ref="M54:N54" si="107">SUBTOTAL(9,M55:M57)</f>
        <v>0</v>
      </c>
      <c r="N54" s="1918">
        <f t="shared" si="107"/>
        <v>0</v>
      </c>
      <c r="O54" s="1918">
        <f t="shared" si="6"/>
        <v>267457596</v>
      </c>
      <c r="P54" s="1918">
        <v>240711836.53999999</v>
      </c>
      <c r="Q54" s="1775">
        <v>0.9</v>
      </c>
      <c r="R54" s="1777"/>
      <c r="S54" s="1775"/>
      <c r="T54" s="1918">
        <f t="shared" si="106"/>
        <v>26745759.600000001</v>
      </c>
      <c r="U54" s="1775">
        <v>0.1</v>
      </c>
      <c r="V54" s="1777"/>
      <c r="W54" s="1775"/>
      <c r="X54" s="1777">
        <f>+AA54</f>
        <v>135795511</v>
      </c>
      <c r="Y54" s="1777">
        <f>+'[8]INGRESOS CRA OCT2022'!P32</f>
        <v>111151856</v>
      </c>
      <c r="Z54" s="1777">
        <f>+'[8]INGRESOS CRA OCT2022'!Y32</f>
        <v>24643655</v>
      </c>
      <c r="AA54" s="1870">
        <f t="shared" si="7"/>
        <v>135795511</v>
      </c>
      <c r="AB54" s="1877">
        <f t="shared" si="8"/>
        <v>1</v>
      </c>
    </row>
    <row r="55" spans="1:28" ht="22.5" hidden="1" customHeight="1" thickTop="1" thickBot="1">
      <c r="A55" s="1772">
        <v>1</v>
      </c>
      <c r="B55" s="1773" t="s">
        <v>127</v>
      </c>
      <c r="C55" s="1773" t="s">
        <v>127</v>
      </c>
      <c r="D55" s="1773" t="s">
        <v>134</v>
      </c>
      <c r="E55" s="1773" t="s">
        <v>134</v>
      </c>
      <c r="F55" s="1773" t="s">
        <v>1652</v>
      </c>
      <c r="G55" s="1782">
        <v>3</v>
      </c>
      <c r="H55" s="1773"/>
      <c r="I55" s="1773"/>
      <c r="J55" s="1773"/>
      <c r="K55" s="1776" t="s">
        <v>1655</v>
      </c>
      <c r="L55" s="1774"/>
      <c r="M55" s="1774"/>
      <c r="N55" s="1774"/>
      <c r="O55" s="1774">
        <f t="shared" si="6"/>
        <v>0</v>
      </c>
      <c r="P55" s="1777">
        <f t="shared" si="98"/>
        <v>0</v>
      </c>
      <c r="Q55" s="1775"/>
      <c r="R55" s="1777"/>
      <c r="S55" s="1775"/>
      <c r="T55" s="1777">
        <f t="shared" si="106"/>
        <v>0</v>
      </c>
      <c r="U55" s="1775"/>
      <c r="V55" s="1777"/>
      <c r="W55" s="1775"/>
      <c r="X55" s="1777"/>
      <c r="Y55" s="1777"/>
      <c r="Z55" s="1777"/>
      <c r="AA55" s="1777">
        <f t="shared" si="7"/>
        <v>0</v>
      </c>
      <c r="AB55" s="1877" t="e">
        <f t="shared" si="8"/>
        <v>#DIV/0!</v>
      </c>
    </row>
    <row r="56" spans="1:28" s="1766" customFormat="1" ht="22.5" customHeight="1" thickTop="1" thickBot="1">
      <c r="A56" s="1761">
        <v>1</v>
      </c>
      <c r="B56" s="1762" t="s">
        <v>127</v>
      </c>
      <c r="C56" s="1762" t="s">
        <v>127</v>
      </c>
      <c r="D56" s="1762" t="s">
        <v>134</v>
      </c>
      <c r="E56" s="1762" t="s">
        <v>134</v>
      </c>
      <c r="F56" s="1762" t="s">
        <v>1656</v>
      </c>
      <c r="G56" s="1780"/>
      <c r="H56" s="1762"/>
      <c r="I56" s="1762"/>
      <c r="J56" s="1762"/>
      <c r="K56" s="1763" t="s">
        <v>143</v>
      </c>
      <c r="L56" s="1764">
        <f>SUBTOTAL(9,L57:L59)</f>
        <v>5163476577</v>
      </c>
      <c r="M56" s="1764">
        <f t="shared" ref="M56:N56" si="108">SUBTOTAL(9,M57:M59)</f>
        <v>0</v>
      </c>
      <c r="N56" s="1764">
        <f t="shared" si="108"/>
        <v>0</v>
      </c>
      <c r="O56" s="1764">
        <f t="shared" si="6"/>
        <v>5163476577</v>
      </c>
      <c r="P56" s="1764">
        <f t="shared" ref="P56:V56" si="109">SUBTOTAL(9,P57:P59)</f>
        <v>0</v>
      </c>
      <c r="Q56" s="1765">
        <f t="shared" ref="Q56" si="110">+P56/L56</f>
        <v>0</v>
      </c>
      <c r="R56" s="1764">
        <f t="shared" si="109"/>
        <v>4647128919.3000002</v>
      </c>
      <c r="S56" s="1765">
        <f>+R56/L56</f>
        <v>0.9</v>
      </c>
      <c r="T56" s="1764">
        <f t="shared" si="109"/>
        <v>516347657.70000005</v>
      </c>
      <c r="U56" s="1765">
        <f>+T56/L56</f>
        <v>0.1</v>
      </c>
      <c r="V56" s="1781">
        <f t="shared" si="109"/>
        <v>0</v>
      </c>
      <c r="W56" s="1765">
        <f>+V56/L56</f>
        <v>0</v>
      </c>
      <c r="X56" s="1781">
        <f t="shared" ref="X56:Z56" si="111">SUBTOTAL(9,X57:X59)</f>
        <v>2129819123</v>
      </c>
      <c r="Y56" s="1781">
        <f t="shared" si="111"/>
        <v>784751178</v>
      </c>
      <c r="Z56" s="1781">
        <f t="shared" si="111"/>
        <v>1345067945</v>
      </c>
      <c r="AA56" s="1781">
        <f t="shared" si="7"/>
        <v>2129819123</v>
      </c>
      <c r="AB56" s="1875">
        <f t="shared" si="8"/>
        <v>1</v>
      </c>
    </row>
    <row r="57" spans="1:28" ht="22.5" customHeight="1" thickTop="1" thickBot="1">
      <c r="A57" s="1772">
        <v>1</v>
      </c>
      <c r="B57" s="1773" t="s">
        <v>127</v>
      </c>
      <c r="C57" s="1773" t="s">
        <v>127</v>
      </c>
      <c r="D57" s="1773" t="s">
        <v>134</v>
      </c>
      <c r="E57" s="1773" t="s">
        <v>134</v>
      </c>
      <c r="F57" s="1773" t="s">
        <v>1656</v>
      </c>
      <c r="G57" s="1782">
        <v>1</v>
      </c>
      <c r="H57" s="1773"/>
      <c r="I57" s="1773"/>
      <c r="J57" s="1773"/>
      <c r="K57" s="1917" t="s">
        <v>944</v>
      </c>
      <c r="L57" s="1918">
        <v>4663476577</v>
      </c>
      <c r="M57" s="1918"/>
      <c r="N57" s="1918"/>
      <c r="O57" s="1918">
        <f t="shared" si="6"/>
        <v>4663476577</v>
      </c>
      <c r="P57" s="1918">
        <f t="shared" ref="P57:P58" si="112">+L57*Q57</f>
        <v>0</v>
      </c>
      <c r="Q57" s="1925">
        <v>0</v>
      </c>
      <c r="R57" s="1918">
        <v>4197128919.3000002</v>
      </c>
      <c r="S57" s="1920">
        <v>0.9</v>
      </c>
      <c r="T57" s="1918">
        <f t="shared" ref="T57:T58" si="113">+L57*U57</f>
        <v>466347657.70000005</v>
      </c>
      <c r="U57" s="1920">
        <v>0.1</v>
      </c>
      <c r="V57" s="1919">
        <f t="shared" ref="V57:V58" si="114">+L57*W57</f>
        <v>0</v>
      </c>
      <c r="W57" s="1920">
        <v>0</v>
      </c>
      <c r="X57" s="1919">
        <f>+AA57</f>
        <v>2034731840</v>
      </c>
      <c r="Y57" s="1919">
        <f>+'[8]INGRESOS CRA OCT2022'!P34</f>
        <v>693307454</v>
      </c>
      <c r="Z57" s="1919">
        <f>+'[8]INGRESOS CRA OCT2022'!Y34</f>
        <v>1341424386</v>
      </c>
      <c r="AA57" s="1919">
        <f t="shared" si="7"/>
        <v>2034731840</v>
      </c>
      <c r="AB57" s="1877">
        <f t="shared" si="8"/>
        <v>1</v>
      </c>
    </row>
    <row r="58" spans="1:28" ht="22.5" customHeight="1" thickTop="1" thickBot="1">
      <c r="A58" s="1772">
        <v>1</v>
      </c>
      <c r="B58" s="1773" t="s">
        <v>127</v>
      </c>
      <c r="C58" s="1773" t="s">
        <v>127</v>
      </c>
      <c r="D58" s="1773" t="s">
        <v>134</v>
      </c>
      <c r="E58" s="1773" t="s">
        <v>134</v>
      </c>
      <c r="F58" s="1773" t="s">
        <v>1656</v>
      </c>
      <c r="G58" s="1782">
        <v>2</v>
      </c>
      <c r="H58" s="1773"/>
      <c r="I58" s="1773"/>
      <c r="J58" s="1773"/>
      <c r="K58" s="1917" t="s">
        <v>945</v>
      </c>
      <c r="L58" s="1918">
        <v>500000000</v>
      </c>
      <c r="M58" s="1918">
        <f t="shared" ref="M58:N58" si="115">SUBTOTAL(9,M59:M61)</f>
        <v>0</v>
      </c>
      <c r="N58" s="1918">
        <f t="shared" si="115"/>
        <v>0</v>
      </c>
      <c r="O58" s="1918">
        <f t="shared" si="6"/>
        <v>500000000</v>
      </c>
      <c r="P58" s="1918">
        <f t="shared" si="112"/>
        <v>0</v>
      </c>
      <c r="Q58" s="1775">
        <v>0</v>
      </c>
      <c r="R58" s="1918">
        <f t="shared" ref="R58" si="116">+L58*S58</f>
        <v>450000000</v>
      </c>
      <c r="S58" s="1775">
        <v>0.9</v>
      </c>
      <c r="T58" s="1918">
        <f t="shared" si="113"/>
        <v>50000000</v>
      </c>
      <c r="U58" s="1775">
        <v>0.1</v>
      </c>
      <c r="V58" s="1777">
        <f t="shared" si="114"/>
        <v>0</v>
      </c>
      <c r="W58" s="1775">
        <v>0</v>
      </c>
      <c r="X58" s="1777">
        <f>+AA58</f>
        <v>95087283</v>
      </c>
      <c r="Y58" s="1777">
        <f>+'[8]INGRESOS CRA OCT2022'!P35</f>
        <v>91443724</v>
      </c>
      <c r="Z58" s="1777">
        <f>+'[8]INGRESOS CRA OCT2022'!Y35</f>
        <v>3643559</v>
      </c>
      <c r="AA58" s="1919">
        <f t="shared" si="7"/>
        <v>95087283</v>
      </c>
      <c r="AB58" s="1877">
        <f t="shared" si="8"/>
        <v>1</v>
      </c>
    </row>
    <row r="59" spans="1:28" ht="22.5" hidden="1" customHeight="1" thickTop="1" thickBot="1">
      <c r="A59" s="1772">
        <v>1</v>
      </c>
      <c r="B59" s="1773" t="s">
        <v>127</v>
      </c>
      <c r="C59" s="1773" t="s">
        <v>127</v>
      </c>
      <c r="D59" s="1773" t="s">
        <v>134</v>
      </c>
      <c r="E59" s="1773" t="s">
        <v>134</v>
      </c>
      <c r="F59" s="1773" t="s">
        <v>1656</v>
      </c>
      <c r="G59" s="1782">
        <v>3</v>
      </c>
      <c r="H59" s="1773"/>
      <c r="I59" s="1773"/>
      <c r="J59" s="1773"/>
      <c r="K59" s="1776" t="s">
        <v>1657</v>
      </c>
      <c r="L59" s="1774"/>
      <c r="M59" s="1774"/>
      <c r="N59" s="1774"/>
      <c r="O59" s="1774">
        <f t="shared" si="6"/>
        <v>0</v>
      </c>
      <c r="P59" s="1777"/>
      <c r="Q59" s="1775"/>
      <c r="R59" s="1777"/>
      <c r="S59" s="1775"/>
      <c r="T59" s="1777"/>
      <c r="U59" s="1775"/>
      <c r="V59" s="1777"/>
      <c r="W59" s="1775"/>
      <c r="X59" s="1777"/>
      <c r="Y59" s="1777"/>
      <c r="Z59" s="1777"/>
      <c r="AA59" s="1777">
        <f t="shared" si="7"/>
        <v>0</v>
      </c>
      <c r="AB59" s="1877" t="e">
        <f t="shared" si="8"/>
        <v>#DIV/0!</v>
      </c>
    </row>
    <row r="60" spans="1:28" s="1766" customFormat="1" ht="22.5" customHeight="1" thickTop="1" thickBot="1">
      <c r="A60" s="1761">
        <v>1</v>
      </c>
      <c r="B60" s="1762" t="s">
        <v>127</v>
      </c>
      <c r="C60" s="1762" t="s">
        <v>127</v>
      </c>
      <c r="D60" s="1762" t="s">
        <v>134</v>
      </c>
      <c r="E60" s="1762" t="s">
        <v>134</v>
      </c>
      <c r="F60" s="1762" t="s">
        <v>1658</v>
      </c>
      <c r="G60" s="1780"/>
      <c r="H60" s="1762"/>
      <c r="I60" s="1762"/>
      <c r="J60" s="1762"/>
      <c r="K60" s="1763" t="s">
        <v>142</v>
      </c>
      <c r="L60" s="1764">
        <f t="shared" ref="L60:P60" si="117">SUBTOTAL(9,L61:L63)</f>
        <v>7065443769</v>
      </c>
      <c r="M60" s="1764">
        <f t="shared" si="117"/>
        <v>0</v>
      </c>
      <c r="N60" s="1764">
        <f t="shared" si="117"/>
        <v>0</v>
      </c>
      <c r="O60" s="1764">
        <f t="shared" si="6"/>
        <v>7065443769</v>
      </c>
      <c r="P60" s="1764">
        <f t="shared" si="117"/>
        <v>0</v>
      </c>
      <c r="Q60" s="1765">
        <f t="shared" ref="Q60" si="118">+P60/L60</f>
        <v>0</v>
      </c>
      <c r="R60" s="1764">
        <f t="shared" ref="R60" si="119">SUBTOTAL(9,R61:R63)</f>
        <v>6358899392.1000004</v>
      </c>
      <c r="S60" s="1765">
        <f>+R60/L60</f>
        <v>0.9</v>
      </c>
      <c r="T60" s="1764">
        <f t="shared" ref="T60" si="120">SUBTOTAL(9,T61:T63)</f>
        <v>706544376.89999998</v>
      </c>
      <c r="U60" s="1765">
        <f>+T60/L60</f>
        <v>9.9999999999999992E-2</v>
      </c>
      <c r="V60" s="1781">
        <f t="shared" ref="V60" si="121">SUBTOTAL(9,V61:V63)</f>
        <v>0</v>
      </c>
      <c r="W60" s="1765">
        <f>+V60/L60</f>
        <v>0</v>
      </c>
      <c r="X60" s="1781">
        <f t="shared" ref="X60:Z60" si="122">SUBTOTAL(9,X61:X63)</f>
        <v>6650605432</v>
      </c>
      <c r="Y60" s="1781">
        <f t="shared" si="122"/>
        <v>3286840635</v>
      </c>
      <c r="Z60" s="1781">
        <f t="shared" si="122"/>
        <v>952062632</v>
      </c>
      <c r="AA60" s="1781">
        <f t="shared" si="7"/>
        <v>4238903267</v>
      </c>
      <c r="AB60" s="1875">
        <f t="shared" si="8"/>
        <v>0.63737103491422398</v>
      </c>
    </row>
    <row r="61" spans="1:28" ht="22.5" customHeight="1" thickTop="1" thickBot="1">
      <c r="A61" s="1772">
        <v>1</v>
      </c>
      <c r="B61" s="1773" t="s">
        <v>127</v>
      </c>
      <c r="C61" s="1773" t="s">
        <v>127</v>
      </c>
      <c r="D61" s="1773" t="s">
        <v>134</v>
      </c>
      <c r="E61" s="1773" t="s">
        <v>134</v>
      </c>
      <c r="F61" s="1773" t="s">
        <v>1658</v>
      </c>
      <c r="G61" s="1782">
        <v>1</v>
      </c>
      <c r="H61" s="1773"/>
      <c r="I61" s="1773"/>
      <c r="J61" s="1773"/>
      <c r="K61" s="1917" t="s">
        <v>1659</v>
      </c>
      <c r="L61" s="1918">
        <v>6995488880</v>
      </c>
      <c r="M61" s="1918"/>
      <c r="N61" s="1918"/>
      <c r="O61" s="1918">
        <f t="shared" si="6"/>
        <v>6995488880</v>
      </c>
      <c r="P61" s="1918">
        <f t="shared" ref="P61:P62" si="123">+L61*Q61</f>
        <v>0</v>
      </c>
      <c r="Q61" s="1775">
        <v>0</v>
      </c>
      <c r="R61" s="1918">
        <v>6295939992</v>
      </c>
      <c r="S61" s="1775">
        <v>0.9</v>
      </c>
      <c r="T61" s="1918">
        <v>699548888</v>
      </c>
      <c r="U61" s="1775">
        <v>0.1</v>
      </c>
      <c r="V61" s="1777">
        <f t="shared" ref="V61:V62" si="124">+L61*W61</f>
        <v>0</v>
      </c>
      <c r="W61" s="1775">
        <v>0</v>
      </c>
      <c r="X61" s="1777">
        <f>2411702165+AA61</f>
        <v>6536926648</v>
      </c>
      <c r="Y61" s="1777">
        <f>+'[8]INGRESOS CRA OCT2022'!P37</f>
        <v>3241435783</v>
      </c>
      <c r="Z61" s="1777">
        <f>+'[8]INGRESOS CRA OCT2022'!Y37</f>
        <v>883788700</v>
      </c>
      <c r="AA61" s="1919">
        <f t="shared" si="7"/>
        <v>4125224483</v>
      </c>
      <c r="AB61" s="1877">
        <f t="shared" si="8"/>
        <v>0.63106482681156129</v>
      </c>
    </row>
    <row r="62" spans="1:28" ht="22.5" customHeight="1" thickTop="1" thickBot="1">
      <c r="A62" s="1772">
        <v>1</v>
      </c>
      <c r="B62" s="1773" t="s">
        <v>127</v>
      </c>
      <c r="C62" s="1773" t="s">
        <v>127</v>
      </c>
      <c r="D62" s="1773" t="s">
        <v>134</v>
      </c>
      <c r="E62" s="1773" t="s">
        <v>134</v>
      </c>
      <c r="F62" s="1773" t="s">
        <v>1658</v>
      </c>
      <c r="G62" s="1782">
        <v>2</v>
      </c>
      <c r="H62" s="1773"/>
      <c r="I62" s="1773"/>
      <c r="J62" s="1773"/>
      <c r="K62" s="1917" t="s">
        <v>1660</v>
      </c>
      <c r="L62" s="1918">
        <v>69954889</v>
      </c>
      <c r="M62" s="1918">
        <f t="shared" ref="M62:N62" si="125">SUBTOTAL(9,M63:M65)</f>
        <v>0</v>
      </c>
      <c r="N62" s="1918">
        <f t="shared" si="125"/>
        <v>0</v>
      </c>
      <c r="O62" s="1918">
        <f t="shared" si="6"/>
        <v>69954889</v>
      </c>
      <c r="P62" s="1918">
        <f t="shared" si="123"/>
        <v>0</v>
      </c>
      <c r="Q62" s="1775">
        <v>0</v>
      </c>
      <c r="R62" s="1918">
        <v>62959400.100000001</v>
      </c>
      <c r="S62" s="1775">
        <v>0.9</v>
      </c>
      <c r="T62" s="1918">
        <v>6995488.9000000004</v>
      </c>
      <c r="U62" s="1775">
        <v>0.1</v>
      </c>
      <c r="V62" s="1777">
        <f t="shared" si="124"/>
        <v>0</v>
      </c>
      <c r="W62" s="1775">
        <v>0</v>
      </c>
      <c r="X62" s="1777">
        <f>+AA62</f>
        <v>113678784</v>
      </c>
      <c r="Y62" s="1777">
        <f>+'[8]INGRESOS CRA OCT2022'!P38</f>
        <v>45404852</v>
      </c>
      <c r="Z62" s="1777">
        <f>+'[8]INGRESOS CRA OCT2022'!Y38</f>
        <v>68273932</v>
      </c>
      <c r="AA62" s="1919">
        <f t="shared" si="7"/>
        <v>113678784</v>
      </c>
      <c r="AB62" s="1877">
        <f t="shared" si="8"/>
        <v>1</v>
      </c>
    </row>
    <row r="63" spans="1:28" ht="22.5" hidden="1" customHeight="1" thickTop="1" thickBot="1">
      <c r="A63" s="1772">
        <v>1</v>
      </c>
      <c r="B63" s="1773" t="s">
        <v>127</v>
      </c>
      <c r="C63" s="1773" t="s">
        <v>127</v>
      </c>
      <c r="D63" s="1773" t="s">
        <v>134</v>
      </c>
      <c r="E63" s="1773" t="s">
        <v>134</v>
      </c>
      <c r="F63" s="1773" t="s">
        <v>1658</v>
      </c>
      <c r="G63" s="1782">
        <v>3</v>
      </c>
      <c r="H63" s="1773"/>
      <c r="I63" s="1773"/>
      <c r="J63" s="1773"/>
      <c r="K63" s="1776" t="s">
        <v>1661</v>
      </c>
      <c r="L63" s="1774"/>
      <c r="M63" s="1774"/>
      <c r="N63" s="1774"/>
      <c r="O63" s="1774">
        <f t="shared" si="6"/>
        <v>0</v>
      </c>
      <c r="P63" s="1777"/>
      <c r="Q63" s="1775"/>
      <c r="R63" s="1777"/>
      <c r="S63" s="1775"/>
      <c r="T63" s="1777"/>
      <c r="U63" s="1775"/>
      <c r="V63" s="1777"/>
      <c r="W63" s="1775"/>
      <c r="X63" s="1777"/>
      <c r="Y63" s="1777"/>
      <c r="Z63" s="1777"/>
      <c r="AA63" s="1777">
        <f t="shared" si="7"/>
        <v>0</v>
      </c>
      <c r="AB63" s="1877" t="e">
        <f t="shared" si="8"/>
        <v>#DIV/0!</v>
      </c>
    </row>
    <row r="64" spans="1:28" s="1766" customFormat="1" ht="22.5" customHeight="1" thickTop="1" thickBot="1">
      <c r="A64" s="1761">
        <v>1</v>
      </c>
      <c r="B64" s="1762" t="s">
        <v>127</v>
      </c>
      <c r="C64" s="1762" t="s">
        <v>127</v>
      </c>
      <c r="D64" s="1762" t="s">
        <v>134</v>
      </c>
      <c r="E64" s="1762" t="s">
        <v>134</v>
      </c>
      <c r="F64" s="1762" t="s">
        <v>1662</v>
      </c>
      <c r="G64" s="1780"/>
      <c r="H64" s="1762"/>
      <c r="I64" s="1762"/>
      <c r="J64" s="1762"/>
      <c r="K64" s="1763" t="s">
        <v>1663</v>
      </c>
      <c r="L64" s="1764">
        <f>SUBTOTAL(9,L65:L67)</f>
        <v>233570325.42000002</v>
      </c>
      <c r="M64" s="1764">
        <f t="shared" ref="M64:N64" si="126">SUBTOTAL(9,M65:M67)</f>
        <v>0</v>
      </c>
      <c r="N64" s="1764">
        <f t="shared" si="126"/>
        <v>0</v>
      </c>
      <c r="O64" s="1764">
        <f t="shared" si="6"/>
        <v>233570325.42000002</v>
      </c>
      <c r="P64" s="1764">
        <f t="shared" ref="P64" si="127">SUBTOTAL(9,P65:P67)</f>
        <v>0</v>
      </c>
      <c r="Q64" s="1765">
        <f t="shared" ref="Q64" si="128">+P64/L64</f>
        <v>0</v>
      </c>
      <c r="R64" s="1764">
        <f t="shared" ref="R64" si="129">SUBTOTAL(9,R65:R67)</f>
        <v>210213292.88</v>
      </c>
      <c r="S64" s="1765">
        <f>+R64/L64</f>
        <v>0.90000000000856262</v>
      </c>
      <c r="T64" s="1764">
        <f t="shared" ref="T64" si="130">SUBTOTAL(9,T65:T67)</f>
        <v>23357032.550000001</v>
      </c>
      <c r="U64" s="1765">
        <f>+T64/L64</f>
        <v>0.10000000003425093</v>
      </c>
      <c r="V64" s="1781">
        <f t="shared" ref="V64" si="131">SUBTOTAL(9,V65:V67)</f>
        <v>0</v>
      </c>
      <c r="W64" s="1765">
        <f>+V64/L64</f>
        <v>0</v>
      </c>
      <c r="X64" s="1781">
        <f t="shared" ref="X64:Z64" si="132">SUBTOTAL(9,X65:X67)</f>
        <v>0</v>
      </c>
      <c r="Y64" s="1781">
        <f t="shared" si="132"/>
        <v>0</v>
      </c>
      <c r="Z64" s="1781">
        <f t="shared" si="132"/>
        <v>0</v>
      </c>
      <c r="AA64" s="1781">
        <f t="shared" si="7"/>
        <v>0</v>
      </c>
      <c r="AB64" s="1875" t="e">
        <f t="shared" si="8"/>
        <v>#DIV/0!</v>
      </c>
    </row>
    <row r="65" spans="1:28" ht="22.5" customHeight="1" thickTop="1" thickBot="1">
      <c r="A65" s="1772">
        <v>1</v>
      </c>
      <c r="B65" s="1773" t="s">
        <v>127</v>
      </c>
      <c r="C65" s="1773" t="s">
        <v>127</v>
      </c>
      <c r="D65" s="1773" t="s">
        <v>134</v>
      </c>
      <c r="E65" s="1773" t="s">
        <v>134</v>
      </c>
      <c r="F65" s="1773" t="s">
        <v>1662</v>
      </c>
      <c r="G65" s="1782">
        <v>1</v>
      </c>
      <c r="H65" s="1773"/>
      <c r="I65" s="1773"/>
      <c r="J65" s="1773"/>
      <c r="K65" s="1917" t="s">
        <v>946</v>
      </c>
      <c r="L65" s="1918">
        <v>186169346.77000001</v>
      </c>
      <c r="M65" s="1918"/>
      <c r="N65" s="1918"/>
      <c r="O65" s="1918">
        <f t="shared" si="6"/>
        <v>186169346.77000001</v>
      </c>
      <c r="P65" s="1918">
        <f t="shared" ref="P65:P66" si="133">+L65*Q65</f>
        <v>0</v>
      </c>
      <c r="Q65" s="1775">
        <v>0</v>
      </c>
      <c r="R65" s="1918">
        <v>167552412.09</v>
      </c>
      <c r="S65" s="1775">
        <v>0.9</v>
      </c>
      <c r="T65" s="1918">
        <v>18616934.68</v>
      </c>
      <c r="U65" s="1775">
        <v>0.1</v>
      </c>
      <c r="V65" s="1777">
        <f t="shared" ref="V65:V66" si="134">+L65*W65</f>
        <v>0</v>
      </c>
      <c r="W65" s="1775">
        <v>0</v>
      </c>
      <c r="X65" s="1777"/>
      <c r="Y65" s="1777">
        <f>+'[8]INGRESOS CRA OCT2022'!P40</f>
        <v>0</v>
      </c>
      <c r="Z65" s="1777">
        <f>+'[8]INGRESOS CRA OCT2022'!Y40</f>
        <v>0</v>
      </c>
      <c r="AA65" s="1919">
        <f t="shared" si="7"/>
        <v>0</v>
      </c>
      <c r="AB65" s="1877" t="e">
        <f t="shared" si="8"/>
        <v>#DIV/0!</v>
      </c>
    </row>
    <row r="66" spans="1:28" ht="22.5" customHeight="1" thickTop="1" thickBot="1">
      <c r="A66" s="1772">
        <v>1</v>
      </c>
      <c r="B66" s="1773" t="s">
        <v>127</v>
      </c>
      <c r="C66" s="1773" t="s">
        <v>127</v>
      </c>
      <c r="D66" s="1773" t="s">
        <v>134</v>
      </c>
      <c r="E66" s="1773" t="s">
        <v>134</v>
      </c>
      <c r="F66" s="1773" t="s">
        <v>1662</v>
      </c>
      <c r="G66" s="1782">
        <v>2</v>
      </c>
      <c r="H66" s="1773"/>
      <c r="I66" s="1773"/>
      <c r="J66" s="1773"/>
      <c r="K66" s="1917" t="s">
        <v>947</v>
      </c>
      <c r="L66" s="1918">
        <v>47400978.649999999</v>
      </c>
      <c r="M66" s="1918">
        <f t="shared" ref="M66:N66" si="135">SUBTOTAL(9,M67:M69)</f>
        <v>0</v>
      </c>
      <c r="N66" s="1918">
        <f t="shared" si="135"/>
        <v>0</v>
      </c>
      <c r="O66" s="1918">
        <f t="shared" si="6"/>
        <v>47400978.649999999</v>
      </c>
      <c r="P66" s="1918">
        <f t="shared" si="133"/>
        <v>0</v>
      </c>
      <c r="Q66" s="1775">
        <v>0</v>
      </c>
      <c r="R66" s="1918">
        <v>42660880.789999999</v>
      </c>
      <c r="S66" s="1775">
        <v>0.9</v>
      </c>
      <c r="T66" s="1918">
        <v>4740097.87</v>
      </c>
      <c r="U66" s="1775">
        <v>0.1</v>
      </c>
      <c r="V66" s="1777">
        <f t="shared" si="134"/>
        <v>0</v>
      </c>
      <c r="W66" s="1775">
        <v>0</v>
      </c>
      <c r="X66" s="1777"/>
      <c r="Y66" s="1777">
        <f>+'[8]INGRESOS CRA OCT2022'!P41</f>
        <v>0</v>
      </c>
      <c r="Z66" s="1777">
        <f>+'[8]INGRESOS CRA OCT2022'!Y41</f>
        <v>0</v>
      </c>
      <c r="AA66" s="1919">
        <f t="shared" si="7"/>
        <v>0</v>
      </c>
      <c r="AB66" s="1877" t="e">
        <f t="shared" si="8"/>
        <v>#DIV/0!</v>
      </c>
    </row>
    <row r="67" spans="1:28" ht="22.5" hidden="1" customHeight="1" thickTop="1" thickBot="1">
      <c r="A67" s="1772">
        <v>1</v>
      </c>
      <c r="B67" s="1773" t="s">
        <v>127</v>
      </c>
      <c r="C67" s="1773" t="s">
        <v>127</v>
      </c>
      <c r="D67" s="1773" t="s">
        <v>134</v>
      </c>
      <c r="E67" s="1773" t="s">
        <v>134</v>
      </c>
      <c r="F67" s="1773" t="s">
        <v>1662</v>
      </c>
      <c r="G67" s="1782">
        <v>3</v>
      </c>
      <c r="H67" s="1773"/>
      <c r="I67" s="1773"/>
      <c r="J67" s="1773"/>
      <c r="K67" s="1776" t="s">
        <v>1664</v>
      </c>
      <c r="L67" s="1795"/>
      <c r="M67" s="1795"/>
      <c r="N67" s="1795"/>
      <c r="O67" s="1795">
        <f t="shared" si="6"/>
        <v>0</v>
      </c>
      <c r="P67" s="1777"/>
      <c r="Q67" s="1775"/>
      <c r="R67" s="1777"/>
      <c r="S67" s="1775"/>
      <c r="T67" s="1777"/>
      <c r="U67" s="1775"/>
      <c r="V67" s="1777"/>
      <c r="W67" s="1775"/>
      <c r="X67" s="1777"/>
      <c r="Y67" s="1777"/>
      <c r="Z67" s="1777"/>
      <c r="AA67" s="1777">
        <f t="shared" si="7"/>
        <v>0</v>
      </c>
      <c r="AB67" s="1877" t="e">
        <f t="shared" si="8"/>
        <v>#DIV/0!</v>
      </c>
    </row>
    <row r="68" spans="1:28" s="1766" customFormat="1" ht="22.5" hidden="1" customHeight="1" thickTop="1" thickBot="1">
      <c r="A68" s="1761">
        <v>1</v>
      </c>
      <c r="B68" s="1762" t="s">
        <v>127</v>
      </c>
      <c r="C68" s="1762" t="s">
        <v>127</v>
      </c>
      <c r="D68" s="1762" t="s">
        <v>134</v>
      </c>
      <c r="E68" s="1762" t="s">
        <v>134</v>
      </c>
      <c r="F68" s="1762" t="s">
        <v>1665</v>
      </c>
      <c r="G68" s="1780"/>
      <c r="H68" s="1762"/>
      <c r="I68" s="1762"/>
      <c r="J68" s="1762"/>
      <c r="K68" s="1763" t="s">
        <v>1666</v>
      </c>
      <c r="L68" s="1764">
        <f>SUBTOTAL(9,L69:L71)</f>
        <v>0</v>
      </c>
      <c r="M68" s="1764">
        <f t="shared" ref="M68:N68" si="136">SUBTOTAL(9,M69:M71)</f>
        <v>0</v>
      </c>
      <c r="N68" s="1764">
        <f t="shared" si="136"/>
        <v>0</v>
      </c>
      <c r="O68" s="1764">
        <f t="shared" si="6"/>
        <v>0</v>
      </c>
      <c r="P68" s="1781">
        <f t="shared" ref="P68" si="137">SUBTOTAL(9,P69:P71)</f>
        <v>0</v>
      </c>
      <c r="Q68" s="1765" t="e">
        <f t="shared" ref="Q68" si="138">+P68/L68</f>
        <v>#DIV/0!</v>
      </c>
      <c r="R68" s="1781">
        <f t="shared" ref="R68" si="139">SUBTOTAL(9,R69:R71)</f>
        <v>0</v>
      </c>
      <c r="S68" s="1765" t="e">
        <f>+R68/L68</f>
        <v>#DIV/0!</v>
      </c>
      <c r="T68" s="1781">
        <f t="shared" ref="T68" si="140">SUBTOTAL(9,T69:T71)</f>
        <v>0</v>
      </c>
      <c r="U68" s="1765" t="e">
        <f>+T68/L68</f>
        <v>#DIV/0!</v>
      </c>
      <c r="V68" s="1781">
        <f t="shared" ref="V68" si="141">SUBTOTAL(9,V69:V71)</f>
        <v>0</v>
      </c>
      <c r="W68" s="1765" t="e">
        <f>+V68/L68</f>
        <v>#DIV/0!</v>
      </c>
      <c r="X68" s="1781">
        <f t="shared" ref="X68:Z68" si="142">SUBTOTAL(9,X69:X71)</f>
        <v>0</v>
      </c>
      <c r="Y68" s="1781">
        <f t="shared" si="142"/>
        <v>0</v>
      </c>
      <c r="Z68" s="1781">
        <f t="shared" si="142"/>
        <v>0</v>
      </c>
      <c r="AA68" s="1781">
        <f t="shared" si="7"/>
        <v>0</v>
      </c>
      <c r="AB68" s="1875" t="e">
        <f t="shared" si="8"/>
        <v>#DIV/0!</v>
      </c>
    </row>
    <row r="69" spans="1:28" ht="22.5" hidden="1" customHeight="1" thickTop="1" thickBot="1">
      <c r="A69" s="1772">
        <v>1</v>
      </c>
      <c r="B69" s="1773" t="s">
        <v>127</v>
      </c>
      <c r="C69" s="1773" t="s">
        <v>127</v>
      </c>
      <c r="D69" s="1773" t="s">
        <v>134</v>
      </c>
      <c r="E69" s="1773" t="s">
        <v>134</v>
      </c>
      <c r="F69" s="1773" t="s">
        <v>1665</v>
      </c>
      <c r="G69" s="1782">
        <v>1</v>
      </c>
      <c r="H69" s="1773"/>
      <c r="I69" s="1773"/>
      <c r="J69" s="1773"/>
      <c r="K69" s="1776" t="s">
        <v>1667</v>
      </c>
      <c r="L69" s="1774"/>
      <c r="M69" s="1774"/>
      <c r="N69" s="1774"/>
      <c r="O69" s="1774">
        <f t="shared" si="6"/>
        <v>0</v>
      </c>
      <c r="P69" s="1777">
        <f t="shared" ref="P69:P70" si="143">+L69*Q69</f>
        <v>0</v>
      </c>
      <c r="Q69" s="1775"/>
      <c r="R69" s="1777">
        <f t="shared" ref="R69:R70" si="144">+L69*S69</f>
        <v>0</v>
      </c>
      <c r="S69" s="1775"/>
      <c r="T69" s="1777">
        <f t="shared" ref="T69:T70" si="145">+L69*U69</f>
        <v>0</v>
      </c>
      <c r="U69" s="1775"/>
      <c r="V69" s="1777">
        <f t="shared" ref="V69:V70" si="146">+L69*W69</f>
        <v>0</v>
      </c>
      <c r="W69" s="1775"/>
      <c r="X69" s="1777"/>
      <c r="Y69" s="1777"/>
      <c r="Z69" s="1777"/>
      <c r="AA69" s="1777">
        <f t="shared" si="7"/>
        <v>0</v>
      </c>
      <c r="AB69" s="1877" t="e">
        <f t="shared" si="8"/>
        <v>#DIV/0!</v>
      </c>
    </row>
    <row r="70" spans="1:28" ht="22.5" hidden="1" customHeight="1" thickTop="1" thickBot="1">
      <c r="A70" s="1772">
        <v>1</v>
      </c>
      <c r="B70" s="1773" t="s">
        <v>127</v>
      </c>
      <c r="C70" s="1773" t="s">
        <v>127</v>
      </c>
      <c r="D70" s="1773" t="s">
        <v>134</v>
      </c>
      <c r="E70" s="1773" t="s">
        <v>134</v>
      </c>
      <c r="F70" s="1773" t="s">
        <v>1665</v>
      </c>
      <c r="G70" s="1782">
        <v>2</v>
      </c>
      <c r="H70" s="1773"/>
      <c r="I70" s="1773"/>
      <c r="J70" s="1773"/>
      <c r="K70" s="1776" t="s">
        <v>1668</v>
      </c>
      <c r="L70" s="1774"/>
      <c r="M70" s="1774">
        <f t="shared" ref="M70:N70" si="147">SUBTOTAL(9,M71:M73)</f>
        <v>0</v>
      </c>
      <c r="N70" s="1774">
        <f t="shared" si="147"/>
        <v>0</v>
      </c>
      <c r="O70" s="1774">
        <f t="shared" si="6"/>
        <v>0</v>
      </c>
      <c r="P70" s="1777">
        <f t="shared" si="143"/>
        <v>0</v>
      </c>
      <c r="Q70" s="1775"/>
      <c r="R70" s="1777">
        <f t="shared" si="144"/>
        <v>0</v>
      </c>
      <c r="S70" s="1775"/>
      <c r="T70" s="1777">
        <f t="shared" si="145"/>
        <v>0</v>
      </c>
      <c r="U70" s="1775"/>
      <c r="V70" s="1777">
        <f t="shared" si="146"/>
        <v>0</v>
      </c>
      <c r="W70" s="1775"/>
      <c r="X70" s="1777"/>
      <c r="Y70" s="1777"/>
      <c r="Z70" s="1777"/>
      <c r="AA70" s="1777">
        <f t="shared" si="7"/>
        <v>0</v>
      </c>
      <c r="AB70" s="1877" t="e">
        <f t="shared" si="8"/>
        <v>#DIV/0!</v>
      </c>
    </row>
    <row r="71" spans="1:28" ht="22.5" hidden="1" customHeight="1" thickTop="1" thickBot="1">
      <c r="A71" s="1772">
        <v>1</v>
      </c>
      <c r="B71" s="1773" t="s">
        <v>127</v>
      </c>
      <c r="C71" s="1773" t="s">
        <v>127</v>
      </c>
      <c r="D71" s="1773" t="s">
        <v>134</v>
      </c>
      <c r="E71" s="1773" t="s">
        <v>134</v>
      </c>
      <c r="F71" s="1773" t="s">
        <v>1665</v>
      </c>
      <c r="G71" s="1782">
        <v>3</v>
      </c>
      <c r="H71" s="1773"/>
      <c r="I71" s="1773"/>
      <c r="J71" s="1773"/>
      <c r="K71" s="1776" t="s">
        <v>1669</v>
      </c>
      <c r="L71" s="1774"/>
      <c r="M71" s="1774"/>
      <c r="N71" s="1774"/>
      <c r="O71" s="1774">
        <f t="shared" si="6"/>
        <v>0</v>
      </c>
      <c r="P71" s="1777"/>
      <c r="Q71" s="1775"/>
      <c r="R71" s="1777"/>
      <c r="S71" s="1775"/>
      <c r="T71" s="1777"/>
      <c r="U71" s="1775"/>
      <c r="V71" s="1777"/>
      <c r="W71" s="1775"/>
      <c r="X71" s="1777"/>
      <c r="Y71" s="1777"/>
      <c r="Z71" s="1777"/>
      <c r="AA71" s="1777">
        <f t="shared" si="7"/>
        <v>0</v>
      </c>
      <c r="AB71" s="1877" t="e">
        <f t="shared" si="8"/>
        <v>#DIV/0!</v>
      </c>
    </row>
    <row r="72" spans="1:28" s="1766" customFormat="1" ht="22.5" hidden="1" customHeight="1" thickTop="1" thickBot="1">
      <c r="A72" s="1761">
        <v>1</v>
      </c>
      <c r="B72" s="1762" t="s">
        <v>127</v>
      </c>
      <c r="C72" s="1762" t="s">
        <v>127</v>
      </c>
      <c r="D72" s="1762" t="s">
        <v>134</v>
      </c>
      <c r="E72" s="1762" t="s">
        <v>134</v>
      </c>
      <c r="F72" s="1762" t="s">
        <v>1670</v>
      </c>
      <c r="G72" s="1780"/>
      <c r="H72" s="1762"/>
      <c r="I72" s="1762"/>
      <c r="J72" s="1762"/>
      <c r="K72" s="1763" t="s">
        <v>133</v>
      </c>
      <c r="L72" s="1764">
        <f>SUBTOTAL(9,L73:L75)</f>
        <v>0</v>
      </c>
      <c r="M72" s="1764">
        <f t="shared" ref="M72:N72" si="148">SUBTOTAL(9,M73:M75)</f>
        <v>0</v>
      </c>
      <c r="N72" s="1764">
        <f t="shared" si="148"/>
        <v>0</v>
      </c>
      <c r="O72" s="1764">
        <f t="shared" ref="O72:O135" si="149">+L72+M72-N72</f>
        <v>0</v>
      </c>
      <c r="P72" s="1781">
        <f t="shared" ref="P72" si="150">SUBTOTAL(9,P73:P75)</f>
        <v>0</v>
      </c>
      <c r="Q72" s="1765" t="e">
        <f t="shared" ref="Q72" si="151">+P72/L72</f>
        <v>#DIV/0!</v>
      </c>
      <c r="R72" s="1781">
        <f t="shared" ref="R72" si="152">SUBTOTAL(9,R73:R75)</f>
        <v>0</v>
      </c>
      <c r="S72" s="1765" t="e">
        <f>+R72/L72</f>
        <v>#DIV/0!</v>
      </c>
      <c r="T72" s="1781">
        <f t="shared" ref="T72" si="153">SUBTOTAL(9,T73:T75)</f>
        <v>0</v>
      </c>
      <c r="U72" s="1765" t="e">
        <f>+T72/L72</f>
        <v>#DIV/0!</v>
      </c>
      <c r="V72" s="1781">
        <f t="shared" ref="V72" si="154">SUBTOTAL(9,V73:V75)</f>
        <v>0</v>
      </c>
      <c r="W72" s="1765" t="e">
        <f>+V72/L72</f>
        <v>#DIV/0!</v>
      </c>
      <c r="X72" s="1781">
        <f t="shared" ref="X72:Z72" si="155">SUBTOTAL(9,X73:X75)</f>
        <v>0</v>
      </c>
      <c r="Y72" s="1781">
        <f t="shared" si="155"/>
        <v>0</v>
      </c>
      <c r="Z72" s="1781">
        <f t="shared" si="155"/>
        <v>0</v>
      </c>
      <c r="AA72" s="1781">
        <f t="shared" ref="AA72:AA135" si="156">+Y72+Z72</f>
        <v>0</v>
      </c>
      <c r="AB72" s="1875" t="e">
        <f t="shared" ref="AB72:AB135" si="157">+AA72/X72</f>
        <v>#DIV/0!</v>
      </c>
    </row>
    <row r="73" spans="1:28" ht="22.5" hidden="1" customHeight="1" thickTop="1" thickBot="1">
      <c r="A73" s="1772">
        <v>1</v>
      </c>
      <c r="B73" s="1773" t="s">
        <v>127</v>
      </c>
      <c r="C73" s="1773" t="s">
        <v>127</v>
      </c>
      <c r="D73" s="1773" t="s">
        <v>134</v>
      </c>
      <c r="E73" s="1773" t="s">
        <v>134</v>
      </c>
      <c r="F73" s="1773" t="s">
        <v>1670</v>
      </c>
      <c r="G73" s="1782">
        <v>1</v>
      </c>
      <c r="H73" s="1773"/>
      <c r="I73" s="1773"/>
      <c r="J73" s="1773"/>
      <c r="K73" s="1776" t="s">
        <v>1671</v>
      </c>
      <c r="L73" s="1774"/>
      <c r="M73" s="1774"/>
      <c r="N73" s="1774"/>
      <c r="O73" s="1774">
        <f t="shared" si="149"/>
        <v>0</v>
      </c>
      <c r="P73" s="1777">
        <f t="shared" ref="P73:P74" si="158">+L73*Q73</f>
        <v>0</v>
      </c>
      <c r="Q73" s="1775"/>
      <c r="R73" s="1777">
        <f t="shared" ref="R73:R74" si="159">+L73*S73</f>
        <v>0</v>
      </c>
      <c r="S73" s="1775"/>
      <c r="T73" s="1777">
        <f t="shared" ref="T73:T74" si="160">+L73*U73</f>
        <v>0</v>
      </c>
      <c r="U73" s="1775"/>
      <c r="V73" s="1777">
        <f t="shared" ref="V73:V74" si="161">+L73*W73</f>
        <v>0</v>
      </c>
      <c r="W73" s="1775"/>
      <c r="X73" s="1777"/>
      <c r="Y73" s="1777"/>
      <c r="Z73" s="1777"/>
      <c r="AA73" s="1777">
        <f t="shared" si="156"/>
        <v>0</v>
      </c>
      <c r="AB73" s="1877" t="e">
        <f t="shared" si="157"/>
        <v>#DIV/0!</v>
      </c>
    </row>
    <row r="74" spans="1:28" ht="22.5" hidden="1" customHeight="1" thickTop="1" thickBot="1">
      <c r="A74" s="1772">
        <v>1</v>
      </c>
      <c r="B74" s="1773" t="s">
        <v>127</v>
      </c>
      <c r="C74" s="1773" t="s">
        <v>127</v>
      </c>
      <c r="D74" s="1773" t="s">
        <v>134</v>
      </c>
      <c r="E74" s="1773" t="s">
        <v>134</v>
      </c>
      <c r="F74" s="1773" t="s">
        <v>1670</v>
      </c>
      <c r="G74" s="1782">
        <v>2</v>
      </c>
      <c r="H74" s="1773"/>
      <c r="I74" s="1773"/>
      <c r="J74" s="1773"/>
      <c r="K74" s="1776" t="s">
        <v>1672</v>
      </c>
      <c r="L74" s="1774"/>
      <c r="M74" s="1774">
        <f t="shared" ref="M74:N74" si="162">SUM(M75:M77)</f>
        <v>0</v>
      </c>
      <c r="N74" s="1774">
        <f t="shared" si="162"/>
        <v>0</v>
      </c>
      <c r="O74" s="1774">
        <f t="shared" si="149"/>
        <v>0</v>
      </c>
      <c r="P74" s="1777">
        <f t="shared" si="158"/>
        <v>0</v>
      </c>
      <c r="Q74" s="1775"/>
      <c r="R74" s="1777">
        <f t="shared" si="159"/>
        <v>0</v>
      </c>
      <c r="S74" s="1775"/>
      <c r="T74" s="1777">
        <f t="shared" si="160"/>
        <v>0</v>
      </c>
      <c r="U74" s="1775"/>
      <c r="V74" s="1777">
        <f t="shared" si="161"/>
        <v>0</v>
      </c>
      <c r="W74" s="1775"/>
      <c r="X74" s="1777"/>
      <c r="Y74" s="1777"/>
      <c r="Z74" s="1777"/>
      <c r="AA74" s="1777">
        <f t="shared" si="156"/>
        <v>0</v>
      </c>
      <c r="AB74" s="1877" t="e">
        <f t="shared" si="157"/>
        <v>#DIV/0!</v>
      </c>
    </row>
    <row r="75" spans="1:28" ht="22.5" hidden="1" customHeight="1" thickTop="1" thickBot="1">
      <c r="A75" s="1772">
        <v>1</v>
      </c>
      <c r="B75" s="1773" t="s">
        <v>127</v>
      </c>
      <c r="C75" s="1773" t="s">
        <v>127</v>
      </c>
      <c r="D75" s="1773" t="s">
        <v>134</v>
      </c>
      <c r="E75" s="1773" t="s">
        <v>134</v>
      </c>
      <c r="F75" s="1773" t="s">
        <v>1670</v>
      </c>
      <c r="G75" s="1782">
        <v>3</v>
      </c>
      <c r="H75" s="1773"/>
      <c r="I75" s="1773"/>
      <c r="J75" s="1773"/>
      <c r="K75" s="1776" t="s">
        <v>1673</v>
      </c>
      <c r="L75" s="1774"/>
      <c r="M75" s="1774"/>
      <c r="N75" s="1774"/>
      <c r="O75" s="1774">
        <f t="shared" si="149"/>
        <v>0</v>
      </c>
      <c r="P75" s="1777"/>
      <c r="Q75" s="1775"/>
      <c r="R75" s="1777"/>
      <c r="S75" s="1775"/>
      <c r="T75" s="1777"/>
      <c r="U75" s="1775"/>
      <c r="V75" s="1777"/>
      <c r="W75" s="1775"/>
      <c r="X75" s="1777"/>
      <c r="Y75" s="1777"/>
      <c r="Z75" s="1777"/>
      <c r="AA75" s="1777">
        <f t="shared" si="156"/>
        <v>0</v>
      </c>
      <c r="AB75" s="1877" t="e">
        <f t="shared" si="157"/>
        <v>#DIV/0!</v>
      </c>
    </row>
    <row r="76" spans="1:28" s="1766" customFormat="1" ht="22.5" hidden="1" customHeight="1" thickTop="1" thickBot="1">
      <c r="A76" s="1761">
        <v>1</v>
      </c>
      <c r="B76" s="1762" t="s">
        <v>127</v>
      </c>
      <c r="C76" s="1762" t="s">
        <v>127</v>
      </c>
      <c r="D76" s="1762" t="s">
        <v>134</v>
      </c>
      <c r="E76" s="1762" t="s">
        <v>134</v>
      </c>
      <c r="F76" s="1762" t="s">
        <v>1674</v>
      </c>
      <c r="G76" s="1780"/>
      <c r="H76" s="1762"/>
      <c r="I76" s="1762"/>
      <c r="J76" s="1762"/>
      <c r="K76" s="1763" t="s">
        <v>1675</v>
      </c>
      <c r="L76" s="1764">
        <f>SUBTOTAL(9,L77:L79)</f>
        <v>0</v>
      </c>
      <c r="M76" s="1764">
        <f t="shared" ref="M76:N76" si="163">SUBTOTAL(9,M77:M79)</f>
        <v>0</v>
      </c>
      <c r="N76" s="1764">
        <f t="shared" si="163"/>
        <v>0</v>
      </c>
      <c r="O76" s="1764">
        <f t="shared" si="149"/>
        <v>0</v>
      </c>
      <c r="P76" s="1781">
        <f t="shared" ref="P76" si="164">SUBTOTAL(9,P77:P79)</f>
        <v>0</v>
      </c>
      <c r="Q76" s="1765" t="e">
        <f t="shared" ref="Q76" si="165">+P76/L76</f>
        <v>#DIV/0!</v>
      </c>
      <c r="R76" s="1781">
        <f t="shared" ref="R76" si="166">SUBTOTAL(9,R77:R79)</f>
        <v>0</v>
      </c>
      <c r="S76" s="1765" t="e">
        <f>+R76/L76</f>
        <v>#DIV/0!</v>
      </c>
      <c r="T76" s="1781">
        <f t="shared" ref="T76" si="167">SUBTOTAL(9,T77:T79)</f>
        <v>0</v>
      </c>
      <c r="U76" s="1765" t="e">
        <f>+T76/L76</f>
        <v>#DIV/0!</v>
      </c>
      <c r="V76" s="1781">
        <f t="shared" ref="V76" si="168">SUBTOTAL(9,V77:V79)</f>
        <v>0</v>
      </c>
      <c r="W76" s="1765" t="e">
        <f>+V76/L76</f>
        <v>#DIV/0!</v>
      </c>
      <c r="X76" s="1781">
        <f t="shared" ref="X76:Z76" si="169">SUBTOTAL(9,X77:X79)</f>
        <v>0</v>
      </c>
      <c r="Y76" s="1781">
        <f t="shared" si="169"/>
        <v>0</v>
      </c>
      <c r="Z76" s="1781">
        <f t="shared" si="169"/>
        <v>0</v>
      </c>
      <c r="AA76" s="1781">
        <f t="shared" si="156"/>
        <v>0</v>
      </c>
      <c r="AB76" s="1875" t="e">
        <f t="shared" si="157"/>
        <v>#DIV/0!</v>
      </c>
    </row>
    <row r="77" spans="1:28" ht="22.5" hidden="1" customHeight="1" thickTop="1" thickBot="1">
      <c r="A77" s="1772">
        <v>1</v>
      </c>
      <c r="B77" s="1773" t="s">
        <v>127</v>
      </c>
      <c r="C77" s="1773" t="s">
        <v>127</v>
      </c>
      <c r="D77" s="1773" t="s">
        <v>134</v>
      </c>
      <c r="E77" s="1773" t="s">
        <v>134</v>
      </c>
      <c r="F77" s="1773" t="s">
        <v>1674</v>
      </c>
      <c r="G77" s="1782">
        <v>1</v>
      </c>
      <c r="H77" s="1773"/>
      <c r="I77" s="1773"/>
      <c r="J77" s="1773"/>
      <c r="K77" s="1776" t="s">
        <v>1676</v>
      </c>
      <c r="L77" s="1774"/>
      <c r="M77" s="1774"/>
      <c r="N77" s="1774"/>
      <c r="O77" s="1774">
        <f t="shared" si="149"/>
        <v>0</v>
      </c>
      <c r="P77" s="1777">
        <f t="shared" ref="P77:P78" si="170">+L77*Q77</f>
        <v>0</v>
      </c>
      <c r="Q77" s="1775"/>
      <c r="R77" s="1777">
        <f t="shared" ref="R77:R78" si="171">+L77*S77</f>
        <v>0</v>
      </c>
      <c r="S77" s="1775"/>
      <c r="T77" s="1777">
        <f t="shared" ref="T77:T78" si="172">+L77*U77</f>
        <v>0</v>
      </c>
      <c r="U77" s="1775"/>
      <c r="V77" s="1777">
        <f t="shared" ref="V77:V78" si="173">+L77*W77</f>
        <v>0</v>
      </c>
      <c r="W77" s="1775"/>
      <c r="X77" s="1777"/>
      <c r="Y77" s="1777"/>
      <c r="Z77" s="1777"/>
      <c r="AA77" s="1777">
        <f t="shared" si="156"/>
        <v>0</v>
      </c>
      <c r="AB77" s="1877" t="e">
        <f t="shared" si="157"/>
        <v>#DIV/0!</v>
      </c>
    </row>
    <row r="78" spans="1:28" ht="22.5" hidden="1" customHeight="1" thickTop="1" thickBot="1">
      <c r="A78" s="1772">
        <v>1</v>
      </c>
      <c r="B78" s="1773" t="s">
        <v>127</v>
      </c>
      <c r="C78" s="1773" t="s">
        <v>127</v>
      </c>
      <c r="D78" s="1773" t="s">
        <v>134</v>
      </c>
      <c r="E78" s="1773" t="s">
        <v>134</v>
      </c>
      <c r="F78" s="1773" t="s">
        <v>1674</v>
      </c>
      <c r="G78" s="1782">
        <v>2</v>
      </c>
      <c r="H78" s="1773"/>
      <c r="I78" s="1773"/>
      <c r="J78" s="1773"/>
      <c r="K78" s="1776" t="s">
        <v>1677</v>
      </c>
      <c r="L78" s="1774"/>
      <c r="M78" s="1774">
        <f t="shared" ref="M78:N78" si="174">+M79+M100</f>
        <v>0</v>
      </c>
      <c r="N78" s="1774">
        <f t="shared" si="174"/>
        <v>0</v>
      </c>
      <c r="O78" s="1774">
        <f t="shared" si="149"/>
        <v>0</v>
      </c>
      <c r="P78" s="1777">
        <f t="shared" si="170"/>
        <v>0</v>
      </c>
      <c r="Q78" s="1775"/>
      <c r="R78" s="1777">
        <f t="shared" si="171"/>
        <v>0</v>
      </c>
      <c r="S78" s="1775"/>
      <c r="T78" s="1777">
        <f t="shared" si="172"/>
        <v>0</v>
      </c>
      <c r="U78" s="1775"/>
      <c r="V78" s="1777">
        <f t="shared" si="173"/>
        <v>0</v>
      </c>
      <c r="W78" s="1775"/>
      <c r="X78" s="1777"/>
      <c r="Y78" s="1777"/>
      <c r="Z78" s="1777"/>
      <c r="AA78" s="1777">
        <f t="shared" si="156"/>
        <v>0</v>
      </c>
      <c r="AB78" s="1877" t="e">
        <f t="shared" si="157"/>
        <v>#DIV/0!</v>
      </c>
    </row>
    <row r="79" spans="1:28" ht="22.5" hidden="1" customHeight="1" thickTop="1" thickBot="1">
      <c r="A79" s="1772">
        <v>1</v>
      </c>
      <c r="B79" s="1773" t="s">
        <v>127</v>
      </c>
      <c r="C79" s="1773" t="s">
        <v>127</v>
      </c>
      <c r="D79" s="1773" t="s">
        <v>134</v>
      </c>
      <c r="E79" s="1773" t="s">
        <v>134</v>
      </c>
      <c r="F79" s="1773" t="s">
        <v>1674</v>
      </c>
      <c r="G79" s="1782">
        <v>3</v>
      </c>
      <c r="H79" s="1773"/>
      <c r="I79" s="1773"/>
      <c r="J79" s="1773"/>
      <c r="K79" s="1776" t="s">
        <v>1678</v>
      </c>
      <c r="L79" s="1774"/>
      <c r="M79" s="1774">
        <f t="shared" ref="M79:N79" si="175">+M80+M84+M88+M92+M96</f>
        <v>0</v>
      </c>
      <c r="N79" s="1774">
        <f t="shared" si="175"/>
        <v>0</v>
      </c>
      <c r="O79" s="1774">
        <f t="shared" si="149"/>
        <v>0</v>
      </c>
      <c r="P79" s="1777"/>
      <c r="Q79" s="1775"/>
      <c r="R79" s="1777"/>
      <c r="S79" s="1775"/>
      <c r="T79" s="1777"/>
      <c r="U79" s="1775"/>
      <c r="V79" s="1777"/>
      <c r="W79" s="1775"/>
      <c r="X79" s="1777"/>
      <c r="Y79" s="1777"/>
      <c r="Z79" s="1777"/>
      <c r="AA79" s="1777">
        <f t="shared" si="156"/>
        <v>0</v>
      </c>
      <c r="AB79" s="1877" t="e">
        <f t="shared" si="157"/>
        <v>#DIV/0!</v>
      </c>
    </row>
    <row r="80" spans="1:28" s="1766" customFormat="1" ht="22.5" hidden="1" customHeight="1" thickTop="1" thickBot="1">
      <c r="A80" s="1761">
        <v>1</v>
      </c>
      <c r="B80" s="1762" t="s">
        <v>127</v>
      </c>
      <c r="C80" s="1762" t="s">
        <v>127</v>
      </c>
      <c r="D80" s="1762" t="s">
        <v>134</v>
      </c>
      <c r="E80" s="1762" t="s">
        <v>134</v>
      </c>
      <c r="F80" s="1762" t="s">
        <v>1679</v>
      </c>
      <c r="G80" s="1780"/>
      <c r="H80" s="1762"/>
      <c r="I80" s="1762"/>
      <c r="J80" s="1762"/>
      <c r="K80" s="1763" t="s">
        <v>1680</v>
      </c>
      <c r="L80" s="1764">
        <f>SUM(L81:L83)</f>
        <v>0</v>
      </c>
      <c r="M80" s="1764">
        <f t="shared" ref="M80:N80" si="176">SUM(M81:M83)</f>
        <v>0</v>
      </c>
      <c r="N80" s="1764">
        <f t="shared" si="176"/>
        <v>0</v>
      </c>
      <c r="O80" s="1764">
        <f t="shared" si="149"/>
        <v>0</v>
      </c>
      <c r="P80" s="1781">
        <f t="shared" ref="P80" si="177">SUBTOTAL(9,P81:P83)</f>
        <v>0</v>
      </c>
      <c r="Q80" s="1765" t="e">
        <f t="shared" ref="Q80" si="178">+P80/L80</f>
        <v>#DIV/0!</v>
      </c>
      <c r="R80" s="1781">
        <f t="shared" ref="R80" si="179">SUBTOTAL(9,R81:R83)</f>
        <v>0</v>
      </c>
      <c r="S80" s="1765" t="e">
        <f>+R80/L80</f>
        <v>#DIV/0!</v>
      </c>
      <c r="T80" s="1781">
        <f t="shared" ref="T80" si="180">SUBTOTAL(9,T81:T83)</f>
        <v>0</v>
      </c>
      <c r="U80" s="1765" t="e">
        <f>+T80/L80</f>
        <v>#DIV/0!</v>
      </c>
      <c r="V80" s="1781">
        <f t="shared" ref="V80" si="181">SUBTOTAL(9,V81:V83)</f>
        <v>0</v>
      </c>
      <c r="W80" s="1765" t="e">
        <f>+V80/L80</f>
        <v>#DIV/0!</v>
      </c>
      <c r="X80" s="1781">
        <f t="shared" ref="X80:Z80" si="182">SUBTOTAL(9,X81:X83)</f>
        <v>0</v>
      </c>
      <c r="Y80" s="1781">
        <f t="shared" si="182"/>
        <v>0</v>
      </c>
      <c r="Z80" s="1781">
        <f t="shared" si="182"/>
        <v>0</v>
      </c>
      <c r="AA80" s="1781">
        <f t="shared" si="156"/>
        <v>0</v>
      </c>
      <c r="AB80" s="1875" t="e">
        <f t="shared" si="157"/>
        <v>#DIV/0!</v>
      </c>
    </row>
    <row r="81" spans="1:28" ht="22.5" hidden="1" customHeight="1" thickTop="1" thickBot="1">
      <c r="A81" s="1772">
        <v>1</v>
      </c>
      <c r="B81" s="1773" t="s">
        <v>127</v>
      </c>
      <c r="C81" s="1773" t="s">
        <v>127</v>
      </c>
      <c r="D81" s="1773" t="s">
        <v>134</v>
      </c>
      <c r="E81" s="1773" t="s">
        <v>134</v>
      </c>
      <c r="F81" s="1773" t="s">
        <v>1679</v>
      </c>
      <c r="G81" s="1782">
        <v>1</v>
      </c>
      <c r="H81" s="1773"/>
      <c r="I81" s="1773"/>
      <c r="J81" s="1773"/>
      <c r="K81" s="1776" t="s">
        <v>1681</v>
      </c>
      <c r="L81" s="1774"/>
      <c r="M81" s="1774"/>
      <c r="N81" s="1774"/>
      <c r="O81" s="1774">
        <f t="shared" si="149"/>
        <v>0</v>
      </c>
      <c r="P81" s="1777">
        <f t="shared" ref="P81:P82" si="183">+L81*Q81</f>
        <v>0</v>
      </c>
      <c r="Q81" s="1775"/>
      <c r="R81" s="1777">
        <f t="shared" ref="R81:R82" si="184">+L81*S81</f>
        <v>0</v>
      </c>
      <c r="S81" s="1775"/>
      <c r="T81" s="1777">
        <f t="shared" ref="T81:T82" si="185">+L81*U81</f>
        <v>0</v>
      </c>
      <c r="U81" s="1775"/>
      <c r="V81" s="1777">
        <f t="shared" ref="V81:V82" si="186">+L81*W81</f>
        <v>0</v>
      </c>
      <c r="W81" s="1775"/>
      <c r="X81" s="1777"/>
      <c r="Y81" s="1777"/>
      <c r="Z81" s="1777"/>
      <c r="AA81" s="1777">
        <f t="shared" si="156"/>
        <v>0</v>
      </c>
      <c r="AB81" s="1877" t="e">
        <f t="shared" si="157"/>
        <v>#DIV/0!</v>
      </c>
    </row>
    <row r="82" spans="1:28" ht="22.5" hidden="1" customHeight="1" thickTop="1" thickBot="1">
      <c r="A82" s="1772">
        <v>1</v>
      </c>
      <c r="B82" s="1773" t="s">
        <v>127</v>
      </c>
      <c r="C82" s="1773" t="s">
        <v>127</v>
      </c>
      <c r="D82" s="1773" t="s">
        <v>134</v>
      </c>
      <c r="E82" s="1773" t="s">
        <v>134</v>
      </c>
      <c r="F82" s="1773" t="s">
        <v>1679</v>
      </c>
      <c r="G82" s="1782">
        <v>2</v>
      </c>
      <c r="H82" s="1773"/>
      <c r="I82" s="1773"/>
      <c r="J82" s="1773"/>
      <c r="K82" s="1776" t="s">
        <v>1682</v>
      </c>
      <c r="L82" s="1774"/>
      <c r="M82" s="1774"/>
      <c r="N82" s="1774"/>
      <c r="O82" s="1774">
        <f t="shared" si="149"/>
        <v>0</v>
      </c>
      <c r="P82" s="1777">
        <f t="shared" si="183"/>
        <v>0</v>
      </c>
      <c r="Q82" s="1775"/>
      <c r="R82" s="1777">
        <f t="shared" si="184"/>
        <v>0</v>
      </c>
      <c r="S82" s="1775"/>
      <c r="T82" s="1777">
        <f t="shared" si="185"/>
        <v>0</v>
      </c>
      <c r="U82" s="1775"/>
      <c r="V82" s="1777">
        <f t="shared" si="186"/>
        <v>0</v>
      </c>
      <c r="W82" s="1775"/>
      <c r="X82" s="1777"/>
      <c r="Y82" s="1777"/>
      <c r="Z82" s="1777"/>
      <c r="AA82" s="1777">
        <f t="shared" si="156"/>
        <v>0</v>
      </c>
      <c r="AB82" s="1877" t="e">
        <f t="shared" si="157"/>
        <v>#DIV/0!</v>
      </c>
    </row>
    <row r="83" spans="1:28" ht="22.5" hidden="1" customHeight="1" thickTop="1" thickBot="1">
      <c r="A83" s="1772">
        <v>1</v>
      </c>
      <c r="B83" s="1773" t="s">
        <v>127</v>
      </c>
      <c r="C83" s="1773" t="s">
        <v>127</v>
      </c>
      <c r="D83" s="1773" t="s">
        <v>134</v>
      </c>
      <c r="E83" s="1773" t="s">
        <v>134</v>
      </c>
      <c r="F83" s="1773" t="s">
        <v>1679</v>
      </c>
      <c r="G83" s="1782">
        <v>3</v>
      </c>
      <c r="H83" s="1773"/>
      <c r="I83" s="1773"/>
      <c r="J83" s="1773"/>
      <c r="K83" s="1776" t="s">
        <v>1683</v>
      </c>
      <c r="L83" s="1774"/>
      <c r="M83" s="1774"/>
      <c r="N83" s="1774"/>
      <c r="O83" s="1774">
        <f t="shared" si="149"/>
        <v>0</v>
      </c>
      <c r="P83" s="1777"/>
      <c r="Q83" s="1775"/>
      <c r="R83" s="1777"/>
      <c r="S83" s="1775"/>
      <c r="T83" s="1777"/>
      <c r="U83" s="1775"/>
      <c r="V83" s="1777"/>
      <c r="W83" s="1775"/>
      <c r="X83" s="1777"/>
      <c r="Y83" s="1777"/>
      <c r="Z83" s="1777"/>
      <c r="AA83" s="1777">
        <f t="shared" si="156"/>
        <v>0</v>
      </c>
      <c r="AB83" s="1877" t="e">
        <f t="shared" si="157"/>
        <v>#DIV/0!</v>
      </c>
    </row>
    <row r="84" spans="1:28" s="1756" customFormat="1" ht="22.5" customHeight="1" thickTop="1" thickBot="1">
      <c r="A84" s="1756">
        <v>1</v>
      </c>
      <c r="B84" s="1756" t="s">
        <v>127</v>
      </c>
      <c r="C84" s="1756" t="s">
        <v>127</v>
      </c>
      <c r="D84" s="1756" t="s">
        <v>134</v>
      </c>
      <c r="E84" s="1756" t="s">
        <v>139</v>
      </c>
      <c r="K84" s="1798" t="s">
        <v>148</v>
      </c>
      <c r="L84" s="1758">
        <f>+L85+L106</f>
        <v>66754958.840000004</v>
      </c>
      <c r="M84" s="1758">
        <f t="shared" ref="M84:N84" si="187">+M85+M106</f>
        <v>0</v>
      </c>
      <c r="N84" s="1758">
        <f t="shared" si="187"/>
        <v>0</v>
      </c>
      <c r="O84" s="1758">
        <f t="shared" si="149"/>
        <v>66754958.840000004</v>
      </c>
      <c r="P84" s="1758">
        <f t="shared" ref="P84:V84" si="188">+P85+P106</f>
        <v>0</v>
      </c>
      <c r="Q84" s="1759">
        <f t="shared" ref="Q84:Q86" si="189">+P84/L84</f>
        <v>0</v>
      </c>
      <c r="R84" s="1799">
        <f t="shared" si="188"/>
        <v>60079462.960000001</v>
      </c>
      <c r="S84" s="1759">
        <f>+R84/L84</f>
        <v>0.90000000005992065</v>
      </c>
      <c r="T84" s="1758">
        <f t="shared" si="188"/>
        <v>6675495.8799999999</v>
      </c>
      <c r="U84" s="1759">
        <f>+T84/L84</f>
        <v>9.9999999940079354E-2</v>
      </c>
      <c r="V84" s="1756">
        <f t="shared" si="188"/>
        <v>0</v>
      </c>
      <c r="W84" s="1759">
        <f>+V84/L84</f>
        <v>0</v>
      </c>
      <c r="X84" s="1756">
        <f t="shared" ref="X84:Z84" si="190">+X85+X106</f>
        <v>5058091569</v>
      </c>
      <c r="Y84" s="1756">
        <f t="shared" si="190"/>
        <v>26444237</v>
      </c>
      <c r="Z84" s="1756">
        <f t="shared" si="190"/>
        <v>117079536</v>
      </c>
      <c r="AA84" s="1756">
        <f t="shared" si="156"/>
        <v>143523773</v>
      </c>
      <c r="AB84" s="1880">
        <f t="shared" si="157"/>
        <v>2.8375083970331342E-2</v>
      </c>
    </row>
    <row r="85" spans="1:28" s="1791" customFormat="1" ht="22.5" customHeight="1" thickTop="1" thickBot="1">
      <c r="A85" s="1785">
        <v>1</v>
      </c>
      <c r="B85" s="1786" t="s">
        <v>127</v>
      </c>
      <c r="C85" s="1786" t="s">
        <v>127</v>
      </c>
      <c r="D85" s="1786" t="s">
        <v>134</v>
      </c>
      <c r="E85" s="1786" t="s">
        <v>139</v>
      </c>
      <c r="F85" s="1786" t="s">
        <v>1684</v>
      </c>
      <c r="G85" s="1787"/>
      <c r="H85" s="1786"/>
      <c r="I85" s="1786"/>
      <c r="J85" s="1786"/>
      <c r="K85" s="1788" t="s">
        <v>51</v>
      </c>
      <c r="L85" s="1789">
        <f>+L86+L90+L94+L98+L102</f>
        <v>66754958.840000004</v>
      </c>
      <c r="M85" s="1789">
        <f t="shared" ref="M85:N85" si="191">+M86+M90+M94+M98+M102</f>
        <v>0</v>
      </c>
      <c r="N85" s="1789">
        <f t="shared" si="191"/>
        <v>0</v>
      </c>
      <c r="O85" s="1789">
        <f t="shared" si="149"/>
        <v>66754958.840000004</v>
      </c>
      <c r="P85" s="1789">
        <f t="shared" ref="P85:V85" si="192">+P86+P90+P94+P98+P102</f>
        <v>0</v>
      </c>
      <c r="Q85" s="1790">
        <f t="shared" si="189"/>
        <v>0</v>
      </c>
      <c r="R85" s="1789">
        <f t="shared" si="192"/>
        <v>60079462.960000001</v>
      </c>
      <c r="S85" s="1790">
        <f t="shared" ref="S85:S86" si="193">+R85/L85</f>
        <v>0.90000000005992065</v>
      </c>
      <c r="T85" s="1789">
        <f t="shared" si="192"/>
        <v>6675495.8799999999</v>
      </c>
      <c r="U85" s="1790">
        <f t="shared" ref="U85:U86" si="194">+T85/L85</f>
        <v>9.9999999940079354E-2</v>
      </c>
      <c r="V85" s="1800">
        <f t="shared" si="192"/>
        <v>0</v>
      </c>
      <c r="W85" s="1790">
        <f t="shared" ref="W85:W86" si="195">+V85/L85</f>
        <v>0</v>
      </c>
      <c r="X85" s="1800">
        <f t="shared" ref="X85:Z85" si="196">+X86+X90+X94+X98+X102</f>
        <v>5058091569</v>
      </c>
      <c r="Y85" s="1800">
        <f t="shared" si="196"/>
        <v>26444237</v>
      </c>
      <c r="Z85" s="1800">
        <f t="shared" si="196"/>
        <v>117079536</v>
      </c>
      <c r="AA85" s="1800">
        <f t="shared" si="156"/>
        <v>143523773</v>
      </c>
      <c r="AB85" s="1878">
        <f t="shared" si="157"/>
        <v>2.8375083970331342E-2</v>
      </c>
    </row>
    <row r="86" spans="1:28" s="1729" customFormat="1" ht="22.5" hidden="1" customHeight="1" thickTop="1" thickBot="1">
      <c r="A86" s="1767">
        <v>1</v>
      </c>
      <c r="B86" s="1768" t="s">
        <v>127</v>
      </c>
      <c r="C86" s="1768" t="s">
        <v>127</v>
      </c>
      <c r="D86" s="1768" t="s">
        <v>134</v>
      </c>
      <c r="E86" s="1768" t="s">
        <v>139</v>
      </c>
      <c r="F86" s="1768" t="s">
        <v>1684</v>
      </c>
      <c r="G86" s="1768" t="s">
        <v>139</v>
      </c>
      <c r="H86" s="1768"/>
      <c r="I86" s="1768"/>
      <c r="J86" s="1768"/>
      <c r="K86" s="1769" t="s">
        <v>1685</v>
      </c>
      <c r="L86" s="1770">
        <f>SUM(L87:L89)</f>
        <v>0</v>
      </c>
      <c r="M86" s="1770">
        <f t="shared" ref="M86:N86" si="197">SUM(M87:M89)</f>
        <v>0</v>
      </c>
      <c r="N86" s="1770">
        <f t="shared" si="197"/>
        <v>0</v>
      </c>
      <c r="O86" s="1770">
        <f t="shared" si="149"/>
        <v>0</v>
      </c>
      <c r="P86" s="1778">
        <f t="shared" ref="P86:V86" si="198">SUM(P87:P89)</f>
        <v>0</v>
      </c>
      <c r="Q86" s="1771" t="e">
        <f t="shared" si="189"/>
        <v>#DIV/0!</v>
      </c>
      <c r="R86" s="1778">
        <f t="shared" si="198"/>
        <v>0</v>
      </c>
      <c r="S86" s="1771" t="e">
        <f t="shared" si="193"/>
        <v>#DIV/0!</v>
      </c>
      <c r="T86" s="1778">
        <f t="shared" si="198"/>
        <v>0</v>
      </c>
      <c r="U86" s="1771" t="e">
        <f t="shared" si="194"/>
        <v>#DIV/0!</v>
      </c>
      <c r="V86" s="1778">
        <f t="shared" si="198"/>
        <v>0</v>
      </c>
      <c r="W86" s="1771" t="e">
        <f t="shared" si="195"/>
        <v>#DIV/0!</v>
      </c>
      <c r="X86" s="1778">
        <f t="shared" ref="X86:Z86" si="199">SUM(X87:X89)</f>
        <v>0</v>
      </c>
      <c r="Y86" s="1778">
        <f t="shared" si="199"/>
        <v>0</v>
      </c>
      <c r="Z86" s="1778">
        <f t="shared" si="199"/>
        <v>0</v>
      </c>
      <c r="AA86" s="1778">
        <f t="shared" si="156"/>
        <v>0</v>
      </c>
      <c r="AB86" s="1876" t="e">
        <f t="shared" si="157"/>
        <v>#DIV/0!</v>
      </c>
    </row>
    <row r="87" spans="1:28" ht="22.5" hidden="1" customHeight="1" thickTop="1" thickBot="1">
      <c r="A87" s="1772">
        <v>1</v>
      </c>
      <c r="B87" s="1773" t="s">
        <v>127</v>
      </c>
      <c r="C87" s="1773" t="s">
        <v>127</v>
      </c>
      <c r="D87" s="1773" t="s">
        <v>134</v>
      </c>
      <c r="E87" s="1773" t="s">
        <v>139</v>
      </c>
      <c r="F87" s="1773" t="s">
        <v>1684</v>
      </c>
      <c r="G87" s="1773" t="s">
        <v>139</v>
      </c>
      <c r="H87" s="1773" t="s">
        <v>127</v>
      </c>
      <c r="I87" s="1773"/>
      <c r="J87" s="1773"/>
      <c r="K87" s="1776" t="s">
        <v>1686</v>
      </c>
      <c r="L87" s="1774"/>
      <c r="M87" s="1774"/>
      <c r="N87" s="1774"/>
      <c r="O87" s="1774">
        <f t="shared" si="149"/>
        <v>0</v>
      </c>
      <c r="P87" s="1777">
        <f t="shared" ref="P87:P89" si="200">+L87*Q87</f>
        <v>0</v>
      </c>
      <c r="Q87" s="1775"/>
      <c r="R87" s="1777">
        <f t="shared" ref="R87:R106" si="201">+L87*S87</f>
        <v>0</v>
      </c>
      <c r="S87" s="1775"/>
      <c r="T87" s="1777">
        <f t="shared" ref="T87:T89" si="202">+L87*U87</f>
        <v>0</v>
      </c>
      <c r="U87" s="1775"/>
      <c r="V87" s="1777">
        <f t="shared" ref="V87:V89" si="203">+L87*W87</f>
        <v>0</v>
      </c>
      <c r="W87" s="1775"/>
      <c r="X87" s="1777"/>
      <c r="Y87" s="1777"/>
      <c r="Z87" s="1777"/>
      <c r="AA87" s="1777">
        <f t="shared" si="156"/>
        <v>0</v>
      </c>
      <c r="AB87" s="1877" t="e">
        <f t="shared" si="157"/>
        <v>#DIV/0!</v>
      </c>
    </row>
    <row r="88" spans="1:28" ht="22.5" hidden="1" customHeight="1" thickTop="1" thickBot="1">
      <c r="A88" s="1772">
        <v>1</v>
      </c>
      <c r="B88" s="1773" t="s">
        <v>127</v>
      </c>
      <c r="C88" s="1773" t="s">
        <v>127</v>
      </c>
      <c r="D88" s="1773" t="s">
        <v>134</v>
      </c>
      <c r="E88" s="1773" t="s">
        <v>139</v>
      </c>
      <c r="F88" s="1773" t="s">
        <v>1684</v>
      </c>
      <c r="G88" s="1773" t="s">
        <v>139</v>
      </c>
      <c r="H88" s="1773" t="s">
        <v>209</v>
      </c>
      <c r="I88" s="1773"/>
      <c r="J88" s="1773"/>
      <c r="K88" s="1776" t="s">
        <v>1687</v>
      </c>
      <c r="L88" s="1774"/>
      <c r="M88" s="1774"/>
      <c r="N88" s="1774"/>
      <c r="O88" s="1774">
        <f t="shared" si="149"/>
        <v>0</v>
      </c>
      <c r="P88" s="1777">
        <f t="shared" si="200"/>
        <v>0</v>
      </c>
      <c r="Q88" s="1775"/>
      <c r="R88" s="1777">
        <f t="shared" si="201"/>
        <v>0</v>
      </c>
      <c r="S88" s="1775"/>
      <c r="T88" s="1777">
        <f t="shared" si="202"/>
        <v>0</v>
      </c>
      <c r="U88" s="1775"/>
      <c r="V88" s="1777">
        <f t="shared" si="203"/>
        <v>0</v>
      </c>
      <c r="W88" s="1775"/>
      <c r="X88" s="1777"/>
      <c r="Y88" s="1777"/>
      <c r="Z88" s="1777"/>
      <c r="AA88" s="1777">
        <f t="shared" si="156"/>
        <v>0</v>
      </c>
      <c r="AB88" s="1877" t="e">
        <f t="shared" si="157"/>
        <v>#DIV/0!</v>
      </c>
    </row>
    <row r="89" spans="1:28" ht="22.5" hidden="1" customHeight="1" thickTop="1" thickBot="1">
      <c r="A89" s="1772">
        <v>1</v>
      </c>
      <c r="B89" s="1773" t="s">
        <v>127</v>
      </c>
      <c r="C89" s="1773" t="s">
        <v>127</v>
      </c>
      <c r="D89" s="1773" t="s">
        <v>134</v>
      </c>
      <c r="E89" s="1773" t="s">
        <v>139</v>
      </c>
      <c r="F89" s="1773" t="s">
        <v>1684</v>
      </c>
      <c r="G89" s="1773" t="s">
        <v>139</v>
      </c>
      <c r="H89" s="1773" t="s">
        <v>1622</v>
      </c>
      <c r="I89" s="1773"/>
      <c r="J89" s="1773"/>
      <c r="K89" s="1776" t="s">
        <v>1688</v>
      </c>
      <c r="L89" s="1774"/>
      <c r="M89" s="1774"/>
      <c r="N89" s="1774"/>
      <c r="O89" s="1774">
        <f t="shared" si="149"/>
        <v>0</v>
      </c>
      <c r="P89" s="1777">
        <f t="shared" si="200"/>
        <v>0</v>
      </c>
      <c r="Q89" s="1775"/>
      <c r="R89" s="1777">
        <f t="shared" si="201"/>
        <v>0</v>
      </c>
      <c r="S89" s="1775"/>
      <c r="T89" s="1777">
        <f t="shared" si="202"/>
        <v>0</v>
      </c>
      <c r="U89" s="1775"/>
      <c r="V89" s="1777">
        <f t="shared" si="203"/>
        <v>0</v>
      </c>
      <c r="W89" s="1775"/>
      <c r="X89" s="1777"/>
      <c r="Y89" s="1777"/>
      <c r="Z89" s="1777"/>
      <c r="AA89" s="1777">
        <f t="shared" si="156"/>
        <v>0</v>
      </c>
      <c r="AB89" s="1877" t="e">
        <f t="shared" si="157"/>
        <v>#DIV/0!</v>
      </c>
    </row>
    <row r="90" spans="1:28" s="1729" customFormat="1" ht="22.5" hidden="1" customHeight="1" thickTop="1" thickBot="1">
      <c r="A90" s="1767">
        <v>1</v>
      </c>
      <c r="B90" s="1768" t="s">
        <v>127</v>
      </c>
      <c r="C90" s="1768" t="s">
        <v>127</v>
      </c>
      <c r="D90" s="1768" t="s">
        <v>134</v>
      </c>
      <c r="E90" s="1768" t="s">
        <v>139</v>
      </c>
      <c r="F90" s="1768" t="s">
        <v>1684</v>
      </c>
      <c r="G90" s="1768" t="s">
        <v>140</v>
      </c>
      <c r="H90" s="1768"/>
      <c r="I90" s="1768"/>
      <c r="J90" s="1768"/>
      <c r="K90" s="1769" t="s">
        <v>1689</v>
      </c>
      <c r="L90" s="1770">
        <f>SUM(L91:L93)</f>
        <v>0</v>
      </c>
      <c r="M90" s="1770">
        <f t="shared" ref="M90:N90" si="204">SUM(M91:M93)</f>
        <v>0</v>
      </c>
      <c r="N90" s="1770">
        <f t="shared" si="204"/>
        <v>0</v>
      </c>
      <c r="O90" s="1770">
        <f t="shared" si="149"/>
        <v>0</v>
      </c>
      <c r="P90" s="1778">
        <f t="shared" ref="P90:V90" si="205">SUM(P91:P93)</f>
        <v>0</v>
      </c>
      <c r="Q90" s="1771" t="e">
        <f t="shared" ref="Q90" si="206">+P90/L90</f>
        <v>#DIV/0!</v>
      </c>
      <c r="R90" s="1778">
        <f t="shared" si="205"/>
        <v>0</v>
      </c>
      <c r="S90" s="1771" t="e">
        <f>+R90/L90</f>
        <v>#DIV/0!</v>
      </c>
      <c r="T90" s="1778">
        <f t="shared" si="205"/>
        <v>0</v>
      </c>
      <c r="U90" s="1771" t="e">
        <f>+T90/L90</f>
        <v>#DIV/0!</v>
      </c>
      <c r="V90" s="1778">
        <f t="shared" si="205"/>
        <v>0</v>
      </c>
      <c r="W90" s="1771" t="e">
        <f>+V90/L90</f>
        <v>#DIV/0!</v>
      </c>
      <c r="X90" s="1778">
        <f t="shared" ref="X90:Z90" si="207">SUM(X91:X93)</f>
        <v>0</v>
      </c>
      <c r="Y90" s="1778">
        <f t="shared" si="207"/>
        <v>0</v>
      </c>
      <c r="Z90" s="1778">
        <f t="shared" si="207"/>
        <v>0</v>
      </c>
      <c r="AA90" s="1778">
        <f t="shared" si="156"/>
        <v>0</v>
      </c>
      <c r="AB90" s="1876" t="e">
        <f t="shared" si="157"/>
        <v>#DIV/0!</v>
      </c>
    </row>
    <row r="91" spans="1:28" ht="22.5" hidden="1" customHeight="1" thickTop="1" thickBot="1">
      <c r="A91" s="1772">
        <v>1</v>
      </c>
      <c r="B91" s="1773" t="s">
        <v>127</v>
      </c>
      <c r="C91" s="1773" t="s">
        <v>127</v>
      </c>
      <c r="D91" s="1773" t="s">
        <v>134</v>
      </c>
      <c r="E91" s="1773" t="s">
        <v>139</v>
      </c>
      <c r="F91" s="1773" t="s">
        <v>1684</v>
      </c>
      <c r="G91" s="1773" t="s">
        <v>140</v>
      </c>
      <c r="H91" s="1773" t="s">
        <v>127</v>
      </c>
      <c r="I91" s="1773"/>
      <c r="J91" s="1773"/>
      <c r="K91" s="1776" t="s">
        <v>1690</v>
      </c>
      <c r="L91" s="1774"/>
      <c r="M91" s="1774"/>
      <c r="N91" s="1774"/>
      <c r="O91" s="1774">
        <f t="shared" si="149"/>
        <v>0</v>
      </c>
      <c r="P91" s="1777">
        <f t="shared" ref="P91:P106" si="208">+L91*Q91</f>
        <v>0</v>
      </c>
      <c r="Q91" s="1775"/>
      <c r="R91" s="1777">
        <f t="shared" si="201"/>
        <v>0</v>
      </c>
      <c r="S91" s="1775"/>
      <c r="T91" s="1777">
        <f t="shared" ref="T91:T93" si="209">+L91*U91</f>
        <v>0</v>
      </c>
      <c r="U91" s="1775"/>
      <c r="V91" s="1777">
        <f t="shared" ref="V91:V93" si="210">+L91*W91</f>
        <v>0</v>
      </c>
      <c r="W91" s="1775"/>
      <c r="X91" s="1777"/>
      <c r="Y91" s="1777"/>
      <c r="Z91" s="1777"/>
      <c r="AA91" s="1777">
        <f t="shared" si="156"/>
        <v>0</v>
      </c>
      <c r="AB91" s="1877" t="e">
        <f t="shared" si="157"/>
        <v>#DIV/0!</v>
      </c>
    </row>
    <row r="92" spans="1:28" ht="22.5" hidden="1" customHeight="1" thickTop="1" thickBot="1">
      <c r="A92" s="1772">
        <v>1</v>
      </c>
      <c r="B92" s="1773" t="s">
        <v>127</v>
      </c>
      <c r="C92" s="1773" t="s">
        <v>127</v>
      </c>
      <c r="D92" s="1773" t="s">
        <v>134</v>
      </c>
      <c r="E92" s="1773" t="s">
        <v>139</v>
      </c>
      <c r="F92" s="1773" t="s">
        <v>1684</v>
      </c>
      <c r="G92" s="1773" t="s">
        <v>140</v>
      </c>
      <c r="H92" s="1773" t="s">
        <v>209</v>
      </c>
      <c r="I92" s="1773"/>
      <c r="J92" s="1773"/>
      <c r="K92" s="1776" t="s">
        <v>1691</v>
      </c>
      <c r="L92" s="1774"/>
      <c r="M92" s="1774"/>
      <c r="N92" s="1774"/>
      <c r="O92" s="1774">
        <f t="shared" si="149"/>
        <v>0</v>
      </c>
      <c r="P92" s="1777">
        <f t="shared" si="208"/>
        <v>0</v>
      </c>
      <c r="Q92" s="1775"/>
      <c r="R92" s="1777">
        <f t="shared" si="201"/>
        <v>0</v>
      </c>
      <c r="S92" s="1775"/>
      <c r="T92" s="1777">
        <f t="shared" si="209"/>
        <v>0</v>
      </c>
      <c r="U92" s="1775"/>
      <c r="V92" s="1777">
        <f t="shared" si="210"/>
        <v>0</v>
      </c>
      <c r="W92" s="1775"/>
      <c r="X92" s="1777"/>
      <c r="Y92" s="1777"/>
      <c r="Z92" s="1777"/>
      <c r="AA92" s="1777">
        <f t="shared" si="156"/>
        <v>0</v>
      </c>
      <c r="AB92" s="1877" t="e">
        <f t="shared" si="157"/>
        <v>#DIV/0!</v>
      </c>
    </row>
    <row r="93" spans="1:28" ht="22.5" hidden="1" customHeight="1" thickTop="1" thickBot="1">
      <c r="A93" s="1772">
        <v>1</v>
      </c>
      <c r="B93" s="1773" t="s">
        <v>127</v>
      </c>
      <c r="C93" s="1773" t="s">
        <v>127</v>
      </c>
      <c r="D93" s="1773" t="s">
        <v>134</v>
      </c>
      <c r="E93" s="1773" t="s">
        <v>139</v>
      </c>
      <c r="F93" s="1773" t="s">
        <v>1684</v>
      </c>
      <c r="G93" s="1773" t="s">
        <v>140</v>
      </c>
      <c r="H93" s="1773" t="s">
        <v>1622</v>
      </c>
      <c r="I93" s="1773"/>
      <c r="J93" s="1773"/>
      <c r="K93" s="1776" t="s">
        <v>1692</v>
      </c>
      <c r="L93" s="1774"/>
      <c r="M93" s="1774"/>
      <c r="N93" s="1774"/>
      <c r="O93" s="1774">
        <f t="shared" si="149"/>
        <v>0</v>
      </c>
      <c r="P93" s="1777">
        <f t="shared" si="208"/>
        <v>0</v>
      </c>
      <c r="Q93" s="1775"/>
      <c r="R93" s="1777">
        <f t="shared" si="201"/>
        <v>0</v>
      </c>
      <c r="S93" s="1775"/>
      <c r="T93" s="1777">
        <f t="shared" si="209"/>
        <v>0</v>
      </c>
      <c r="U93" s="1775"/>
      <c r="V93" s="1777">
        <f t="shared" si="210"/>
        <v>0</v>
      </c>
      <c r="W93" s="1775"/>
      <c r="X93" s="1777"/>
      <c r="Y93" s="1777"/>
      <c r="Z93" s="1777"/>
      <c r="AA93" s="1777">
        <f t="shared" si="156"/>
        <v>0</v>
      </c>
      <c r="AB93" s="1877" t="e">
        <f t="shared" si="157"/>
        <v>#DIV/0!</v>
      </c>
    </row>
    <row r="94" spans="1:28" s="1729" customFormat="1" ht="22.5" hidden="1" customHeight="1" thickTop="1" thickBot="1">
      <c r="A94" s="1767">
        <v>1</v>
      </c>
      <c r="B94" s="1768" t="s">
        <v>127</v>
      </c>
      <c r="C94" s="1768" t="s">
        <v>127</v>
      </c>
      <c r="D94" s="1768" t="s">
        <v>134</v>
      </c>
      <c r="E94" s="1768" t="s">
        <v>139</v>
      </c>
      <c r="F94" s="1768" t="s">
        <v>1684</v>
      </c>
      <c r="G94" s="1768" t="s">
        <v>144</v>
      </c>
      <c r="H94" s="1768"/>
      <c r="I94" s="1768"/>
      <c r="J94" s="1768"/>
      <c r="K94" s="1769" t="s">
        <v>1693</v>
      </c>
      <c r="L94" s="1770">
        <f>SUM(L95:L97)</f>
        <v>0</v>
      </c>
      <c r="M94" s="1770">
        <f t="shared" ref="M94:N94" si="211">SUM(M95:M97)</f>
        <v>0</v>
      </c>
      <c r="N94" s="1770">
        <f t="shared" si="211"/>
        <v>0</v>
      </c>
      <c r="O94" s="1770">
        <f t="shared" si="149"/>
        <v>0</v>
      </c>
      <c r="P94" s="1778">
        <f t="shared" ref="P94:V94" si="212">SUM(P95:P97)</f>
        <v>0</v>
      </c>
      <c r="Q94" s="1771" t="e">
        <f t="shared" ref="Q94" si="213">+P94/L94</f>
        <v>#DIV/0!</v>
      </c>
      <c r="R94" s="1778">
        <f t="shared" si="212"/>
        <v>0</v>
      </c>
      <c r="S94" s="1771" t="e">
        <f>+R94/L94</f>
        <v>#DIV/0!</v>
      </c>
      <c r="T94" s="1778">
        <f t="shared" si="212"/>
        <v>0</v>
      </c>
      <c r="U94" s="1771" t="e">
        <f>+T94/L94</f>
        <v>#DIV/0!</v>
      </c>
      <c r="V94" s="1778">
        <f t="shared" si="212"/>
        <v>0</v>
      </c>
      <c r="W94" s="1771" t="e">
        <f>+V94/L94</f>
        <v>#DIV/0!</v>
      </c>
      <c r="X94" s="1778">
        <f t="shared" ref="X94:Z94" si="214">SUM(X95:X97)</f>
        <v>0</v>
      </c>
      <c r="Y94" s="1778">
        <f t="shared" si="214"/>
        <v>0</v>
      </c>
      <c r="Z94" s="1778">
        <f t="shared" si="214"/>
        <v>0</v>
      </c>
      <c r="AA94" s="1778">
        <f t="shared" si="156"/>
        <v>0</v>
      </c>
      <c r="AB94" s="1876" t="e">
        <f t="shared" si="157"/>
        <v>#DIV/0!</v>
      </c>
    </row>
    <row r="95" spans="1:28" ht="22.5" hidden="1" customHeight="1" thickTop="1" thickBot="1">
      <c r="A95" s="1772">
        <v>1</v>
      </c>
      <c r="B95" s="1773" t="s">
        <v>127</v>
      </c>
      <c r="C95" s="1773" t="s">
        <v>127</v>
      </c>
      <c r="D95" s="1773" t="s">
        <v>134</v>
      </c>
      <c r="E95" s="1773" t="s">
        <v>139</v>
      </c>
      <c r="F95" s="1773" t="s">
        <v>1684</v>
      </c>
      <c r="G95" s="1773" t="s">
        <v>144</v>
      </c>
      <c r="H95" s="1773" t="s">
        <v>127</v>
      </c>
      <c r="I95" s="1773"/>
      <c r="J95" s="1773"/>
      <c r="K95" s="1776" t="s">
        <v>1694</v>
      </c>
      <c r="L95" s="1774"/>
      <c r="M95" s="1774"/>
      <c r="N95" s="1774"/>
      <c r="O95" s="1774">
        <f t="shared" si="149"/>
        <v>0</v>
      </c>
      <c r="P95" s="1777">
        <f t="shared" si="208"/>
        <v>0</v>
      </c>
      <c r="Q95" s="1775"/>
      <c r="R95" s="1777">
        <f t="shared" si="201"/>
        <v>0</v>
      </c>
      <c r="S95" s="1775"/>
      <c r="T95" s="1777">
        <f t="shared" ref="T95:T97" si="215">+L95*U95</f>
        <v>0</v>
      </c>
      <c r="U95" s="1775"/>
      <c r="V95" s="1777">
        <f t="shared" ref="V95:V97" si="216">+L95*W95</f>
        <v>0</v>
      </c>
      <c r="W95" s="1775"/>
      <c r="X95" s="1777"/>
      <c r="Y95" s="1777"/>
      <c r="Z95" s="1777"/>
      <c r="AA95" s="1777">
        <f t="shared" si="156"/>
        <v>0</v>
      </c>
      <c r="AB95" s="1877" t="e">
        <f t="shared" si="157"/>
        <v>#DIV/0!</v>
      </c>
    </row>
    <row r="96" spans="1:28" ht="22.5" hidden="1" customHeight="1" thickTop="1" thickBot="1">
      <c r="A96" s="1772">
        <v>1</v>
      </c>
      <c r="B96" s="1773" t="s">
        <v>127</v>
      </c>
      <c r="C96" s="1773" t="s">
        <v>127</v>
      </c>
      <c r="D96" s="1773" t="s">
        <v>134</v>
      </c>
      <c r="E96" s="1773" t="s">
        <v>139</v>
      </c>
      <c r="F96" s="1773" t="s">
        <v>1684</v>
      </c>
      <c r="G96" s="1773" t="s">
        <v>144</v>
      </c>
      <c r="H96" s="1773" t="s">
        <v>209</v>
      </c>
      <c r="I96" s="1773"/>
      <c r="J96" s="1773"/>
      <c r="K96" s="1776" t="s">
        <v>1695</v>
      </c>
      <c r="L96" s="1774"/>
      <c r="M96" s="1774"/>
      <c r="N96" s="1774"/>
      <c r="O96" s="1774">
        <f t="shared" si="149"/>
        <v>0</v>
      </c>
      <c r="P96" s="1777">
        <f t="shared" si="208"/>
        <v>0</v>
      </c>
      <c r="Q96" s="1775"/>
      <c r="R96" s="1777">
        <f t="shared" si="201"/>
        <v>0</v>
      </c>
      <c r="S96" s="1775"/>
      <c r="T96" s="1777">
        <f t="shared" si="215"/>
        <v>0</v>
      </c>
      <c r="U96" s="1775"/>
      <c r="V96" s="1777">
        <f t="shared" si="216"/>
        <v>0</v>
      </c>
      <c r="W96" s="1775"/>
      <c r="X96" s="1777"/>
      <c r="Y96" s="1777"/>
      <c r="Z96" s="1777"/>
      <c r="AA96" s="1777">
        <f t="shared" si="156"/>
        <v>0</v>
      </c>
      <c r="AB96" s="1877" t="e">
        <f t="shared" si="157"/>
        <v>#DIV/0!</v>
      </c>
    </row>
    <row r="97" spans="1:28" ht="22.5" hidden="1" customHeight="1" thickTop="1" thickBot="1">
      <c r="A97" s="1772">
        <v>1</v>
      </c>
      <c r="B97" s="1773" t="s">
        <v>127</v>
      </c>
      <c r="C97" s="1773" t="s">
        <v>127</v>
      </c>
      <c r="D97" s="1773" t="s">
        <v>134</v>
      </c>
      <c r="E97" s="1773" t="s">
        <v>139</v>
      </c>
      <c r="F97" s="1773" t="s">
        <v>1684</v>
      </c>
      <c r="G97" s="1773" t="s">
        <v>144</v>
      </c>
      <c r="H97" s="1773" t="s">
        <v>1622</v>
      </c>
      <c r="I97" s="1773"/>
      <c r="J97" s="1773"/>
      <c r="K97" s="1776" t="s">
        <v>1696</v>
      </c>
      <c r="L97" s="1774"/>
      <c r="M97" s="1774"/>
      <c r="N97" s="1774"/>
      <c r="O97" s="1774">
        <f t="shared" si="149"/>
        <v>0</v>
      </c>
      <c r="P97" s="1777">
        <f t="shared" si="208"/>
        <v>0</v>
      </c>
      <c r="Q97" s="1775"/>
      <c r="R97" s="1777">
        <f t="shared" si="201"/>
        <v>0</v>
      </c>
      <c r="S97" s="1775"/>
      <c r="T97" s="1777">
        <f t="shared" si="215"/>
        <v>0</v>
      </c>
      <c r="U97" s="1775"/>
      <c r="V97" s="1777">
        <f t="shared" si="216"/>
        <v>0</v>
      </c>
      <c r="W97" s="1775"/>
      <c r="X97" s="1777"/>
      <c r="Y97" s="1777"/>
      <c r="Z97" s="1777"/>
      <c r="AA97" s="1777">
        <f t="shared" si="156"/>
        <v>0</v>
      </c>
      <c r="AB97" s="1877" t="e">
        <f t="shared" si="157"/>
        <v>#DIV/0!</v>
      </c>
    </row>
    <row r="98" spans="1:28" s="1729" customFormat="1" ht="22.5" hidden="1" customHeight="1" thickTop="1" thickBot="1">
      <c r="A98" s="1767">
        <v>1</v>
      </c>
      <c r="B98" s="1768" t="s">
        <v>127</v>
      </c>
      <c r="C98" s="1768" t="s">
        <v>127</v>
      </c>
      <c r="D98" s="1768" t="s">
        <v>134</v>
      </c>
      <c r="E98" s="1768" t="s">
        <v>139</v>
      </c>
      <c r="F98" s="1768" t="s">
        <v>1684</v>
      </c>
      <c r="G98" s="1768" t="s">
        <v>193</v>
      </c>
      <c r="H98" s="1768"/>
      <c r="I98" s="1768"/>
      <c r="J98" s="1768"/>
      <c r="K98" s="1769" t="s">
        <v>1697</v>
      </c>
      <c r="L98" s="1770">
        <f>SUM(L99:L101)</f>
        <v>0</v>
      </c>
      <c r="M98" s="1770">
        <f t="shared" ref="M98:N98" si="217">SUM(M99:M101)</f>
        <v>0</v>
      </c>
      <c r="N98" s="1770">
        <f t="shared" si="217"/>
        <v>0</v>
      </c>
      <c r="O98" s="1770">
        <f t="shared" si="149"/>
        <v>0</v>
      </c>
      <c r="P98" s="1778">
        <f t="shared" ref="P98:V98" si="218">SUM(P99:P101)</f>
        <v>0</v>
      </c>
      <c r="Q98" s="1771" t="e">
        <f t="shared" ref="Q98" si="219">+P98/L98</f>
        <v>#DIV/0!</v>
      </c>
      <c r="R98" s="1778">
        <f t="shared" si="218"/>
        <v>0</v>
      </c>
      <c r="S98" s="1771" t="e">
        <f>+R98/L98</f>
        <v>#DIV/0!</v>
      </c>
      <c r="T98" s="1778">
        <f t="shared" si="218"/>
        <v>0</v>
      </c>
      <c r="U98" s="1771" t="e">
        <f>+T98/L98</f>
        <v>#DIV/0!</v>
      </c>
      <c r="V98" s="1778">
        <f t="shared" si="218"/>
        <v>0</v>
      </c>
      <c r="W98" s="1771" t="e">
        <f>+V98/L98</f>
        <v>#DIV/0!</v>
      </c>
      <c r="X98" s="1778">
        <f t="shared" ref="X98:Z98" si="220">SUM(X99:X101)</f>
        <v>0</v>
      </c>
      <c r="Y98" s="1778">
        <f t="shared" si="220"/>
        <v>0</v>
      </c>
      <c r="Z98" s="1778">
        <f t="shared" si="220"/>
        <v>0</v>
      </c>
      <c r="AA98" s="1778">
        <f t="shared" si="156"/>
        <v>0</v>
      </c>
      <c r="AB98" s="1876" t="e">
        <f t="shared" si="157"/>
        <v>#DIV/0!</v>
      </c>
    </row>
    <row r="99" spans="1:28" ht="22.5" hidden="1" customHeight="1" thickTop="1" thickBot="1">
      <c r="A99" s="1772">
        <v>1</v>
      </c>
      <c r="B99" s="1773" t="s">
        <v>127</v>
      </c>
      <c r="C99" s="1773" t="s">
        <v>127</v>
      </c>
      <c r="D99" s="1773" t="s">
        <v>134</v>
      </c>
      <c r="E99" s="1773" t="s">
        <v>139</v>
      </c>
      <c r="F99" s="1773" t="s">
        <v>1684</v>
      </c>
      <c r="G99" s="1773" t="s">
        <v>193</v>
      </c>
      <c r="H99" s="1773" t="s">
        <v>127</v>
      </c>
      <c r="I99" s="1773"/>
      <c r="J99" s="1773"/>
      <c r="K99" s="1776" t="s">
        <v>1698</v>
      </c>
      <c r="L99" s="1774"/>
      <c r="M99" s="1774"/>
      <c r="N99" s="1774"/>
      <c r="O99" s="1774">
        <f t="shared" si="149"/>
        <v>0</v>
      </c>
      <c r="P99" s="1777">
        <f t="shared" si="208"/>
        <v>0</v>
      </c>
      <c r="Q99" s="1775"/>
      <c r="R99" s="1777">
        <f t="shared" si="201"/>
        <v>0</v>
      </c>
      <c r="S99" s="1775"/>
      <c r="T99" s="1777">
        <f t="shared" ref="T99:T101" si="221">+L99*U99</f>
        <v>0</v>
      </c>
      <c r="U99" s="1775"/>
      <c r="V99" s="1777">
        <f t="shared" ref="V99:V101" si="222">+L99*W99</f>
        <v>0</v>
      </c>
      <c r="W99" s="1775"/>
      <c r="X99" s="1777"/>
      <c r="Y99" s="1777"/>
      <c r="Z99" s="1777"/>
      <c r="AA99" s="1777">
        <f t="shared" si="156"/>
        <v>0</v>
      </c>
      <c r="AB99" s="1877" t="e">
        <f t="shared" si="157"/>
        <v>#DIV/0!</v>
      </c>
    </row>
    <row r="100" spans="1:28" ht="22.5" hidden="1" customHeight="1" thickTop="1" thickBot="1">
      <c r="A100" s="1772">
        <v>1</v>
      </c>
      <c r="B100" s="1773" t="s">
        <v>127</v>
      </c>
      <c r="C100" s="1773" t="s">
        <v>127</v>
      </c>
      <c r="D100" s="1773" t="s">
        <v>134</v>
      </c>
      <c r="E100" s="1773" t="s">
        <v>139</v>
      </c>
      <c r="F100" s="1773" t="s">
        <v>1684</v>
      </c>
      <c r="G100" s="1773" t="s">
        <v>193</v>
      </c>
      <c r="H100" s="1773" t="s">
        <v>209</v>
      </c>
      <c r="I100" s="1773"/>
      <c r="J100" s="1773"/>
      <c r="K100" s="1776" t="s">
        <v>1699</v>
      </c>
      <c r="L100" s="1774"/>
      <c r="M100" s="1774"/>
      <c r="N100" s="1774"/>
      <c r="O100" s="1774">
        <f t="shared" si="149"/>
        <v>0</v>
      </c>
      <c r="P100" s="1777">
        <f t="shared" si="208"/>
        <v>0</v>
      </c>
      <c r="Q100" s="1775"/>
      <c r="R100" s="1777">
        <f t="shared" si="201"/>
        <v>0</v>
      </c>
      <c r="S100" s="1775"/>
      <c r="T100" s="1777">
        <f t="shared" si="221"/>
        <v>0</v>
      </c>
      <c r="U100" s="1775"/>
      <c r="V100" s="1777">
        <f t="shared" si="222"/>
        <v>0</v>
      </c>
      <c r="W100" s="1775"/>
      <c r="X100" s="1777"/>
      <c r="Y100" s="1777"/>
      <c r="Z100" s="1777"/>
      <c r="AA100" s="1777">
        <f t="shared" si="156"/>
        <v>0</v>
      </c>
      <c r="AB100" s="1877" t="e">
        <f t="shared" si="157"/>
        <v>#DIV/0!</v>
      </c>
    </row>
    <row r="101" spans="1:28" ht="22.5" hidden="1" customHeight="1" thickTop="1" thickBot="1">
      <c r="A101" s="1772">
        <v>1</v>
      </c>
      <c r="B101" s="1773" t="s">
        <v>127</v>
      </c>
      <c r="C101" s="1773" t="s">
        <v>127</v>
      </c>
      <c r="D101" s="1773" t="s">
        <v>134</v>
      </c>
      <c r="E101" s="1773" t="s">
        <v>139</v>
      </c>
      <c r="F101" s="1773" t="s">
        <v>1684</v>
      </c>
      <c r="G101" s="1773" t="s">
        <v>193</v>
      </c>
      <c r="H101" s="1773" t="s">
        <v>1622</v>
      </c>
      <c r="I101" s="1773"/>
      <c r="J101" s="1773"/>
      <c r="K101" s="1776" t="s">
        <v>1700</v>
      </c>
      <c r="L101" s="1774"/>
      <c r="M101" s="1774">
        <f t="shared" ref="M101:N101" si="223">+M102+M147</f>
        <v>0</v>
      </c>
      <c r="N101" s="1774">
        <f t="shared" si="223"/>
        <v>0</v>
      </c>
      <c r="O101" s="1774">
        <f t="shared" si="149"/>
        <v>0</v>
      </c>
      <c r="P101" s="1777">
        <f t="shared" si="208"/>
        <v>0</v>
      </c>
      <c r="Q101" s="1775"/>
      <c r="R101" s="1777">
        <f t="shared" si="201"/>
        <v>0</v>
      </c>
      <c r="S101" s="1775"/>
      <c r="T101" s="1777">
        <f t="shared" si="221"/>
        <v>0</v>
      </c>
      <c r="U101" s="1775"/>
      <c r="V101" s="1777">
        <f t="shared" si="222"/>
        <v>0</v>
      </c>
      <c r="W101" s="1775"/>
      <c r="X101" s="1777"/>
      <c r="Y101" s="1777"/>
      <c r="Z101" s="1777"/>
      <c r="AA101" s="1777">
        <f t="shared" si="156"/>
        <v>0</v>
      </c>
      <c r="AB101" s="1877" t="e">
        <f t="shared" si="157"/>
        <v>#DIV/0!</v>
      </c>
    </row>
    <row r="102" spans="1:28" s="1729" customFormat="1" ht="22.5" customHeight="1" thickTop="1" thickBot="1">
      <c r="A102" s="1767">
        <v>1</v>
      </c>
      <c r="B102" s="1768" t="s">
        <v>127</v>
      </c>
      <c r="C102" s="1768" t="s">
        <v>127</v>
      </c>
      <c r="D102" s="1768" t="s">
        <v>134</v>
      </c>
      <c r="E102" s="1768" t="s">
        <v>139</v>
      </c>
      <c r="F102" s="1768" t="s">
        <v>1684</v>
      </c>
      <c r="G102" s="1768" t="s">
        <v>1701</v>
      </c>
      <c r="H102" s="1768"/>
      <c r="I102" s="1768"/>
      <c r="J102" s="1768"/>
      <c r="K102" s="1769" t="s">
        <v>149</v>
      </c>
      <c r="L102" s="1770">
        <f>SUM(L103:L105)</f>
        <v>66754958.840000004</v>
      </c>
      <c r="M102" s="1770">
        <f t="shared" ref="M102:N103" si="224">SUM(M103:M105)</f>
        <v>0</v>
      </c>
      <c r="N102" s="1770">
        <f t="shared" si="224"/>
        <v>0</v>
      </c>
      <c r="O102" s="1770">
        <f t="shared" si="149"/>
        <v>66754958.840000004</v>
      </c>
      <c r="P102" s="1770">
        <f t="shared" ref="P102:V102" si="225">SUM(P103:P105)</f>
        <v>0</v>
      </c>
      <c r="Q102" s="1771">
        <f t="shared" ref="Q102" si="226">+P102/L102</f>
        <v>0</v>
      </c>
      <c r="R102" s="1770">
        <f t="shared" si="225"/>
        <v>60079462.960000001</v>
      </c>
      <c r="S102" s="1771">
        <f>+R102/L102</f>
        <v>0.90000000005992065</v>
      </c>
      <c r="T102" s="1770">
        <f t="shared" si="225"/>
        <v>6675495.8799999999</v>
      </c>
      <c r="U102" s="1771">
        <f>+T102/L102</f>
        <v>9.9999999940079354E-2</v>
      </c>
      <c r="V102" s="1778">
        <f t="shared" si="225"/>
        <v>0</v>
      </c>
      <c r="W102" s="1771">
        <f>+V102/L102</f>
        <v>0</v>
      </c>
      <c r="X102" s="1778">
        <f t="shared" ref="X102:Z102" si="227">SUM(X103:X105)</f>
        <v>5058091569</v>
      </c>
      <c r="Y102" s="1778">
        <f t="shared" si="227"/>
        <v>26444237</v>
      </c>
      <c r="Z102" s="1778">
        <f t="shared" si="227"/>
        <v>117079536</v>
      </c>
      <c r="AA102" s="1778">
        <f t="shared" si="156"/>
        <v>143523773</v>
      </c>
      <c r="AB102" s="1876">
        <f t="shared" si="157"/>
        <v>2.8375083970331342E-2</v>
      </c>
    </row>
    <row r="103" spans="1:28" ht="22.5" customHeight="1" thickTop="1" thickBot="1">
      <c r="A103" s="1772">
        <v>1</v>
      </c>
      <c r="B103" s="1773" t="s">
        <v>127</v>
      </c>
      <c r="C103" s="1773" t="s">
        <v>127</v>
      </c>
      <c r="D103" s="1773" t="s">
        <v>134</v>
      </c>
      <c r="E103" s="1773" t="s">
        <v>139</v>
      </c>
      <c r="F103" s="1773" t="s">
        <v>1684</v>
      </c>
      <c r="G103" s="1773" t="s">
        <v>1701</v>
      </c>
      <c r="H103" s="1773" t="s">
        <v>127</v>
      </c>
      <c r="I103" s="1773"/>
      <c r="J103" s="1773"/>
      <c r="K103" s="1917" t="s">
        <v>948</v>
      </c>
      <c r="L103" s="1918">
        <v>48728187.740000002</v>
      </c>
      <c r="M103" s="1918">
        <f t="shared" si="224"/>
        <v>0</v>
      </c>
      <c r="N103" s="1918">
        <f t="shared" si="224"/>
        <v>0</v>
      </c>
      <c r="O103" s="1918">
        <f t="shared" si="149"/>
        <v>48728187.740000002</v>
      </c>
      <c r="P103" s="1796"/>
      <c r="Q103" s="1775">
        <v>0.9</v>
      </c>
      <c r="R103" s="1796">
        <v>43855368.969999999</v>
      </c>
      <c r="S103" s="1775">
        <v>0</v>
      </c>
      <c r="T103" s="1918">
        <v>4872818.7699999996</v>
      </c>
      <c r="U103" s="1775">
        <v>0.1</v>
      </c>
      <c r="V103" s="1777">
        <f t="shared" ref="V103:V106" si="228">+L103*W103</f>
        <v>0</v>
      </c>
      <c r="W103" s="1775">
        <v>0</v>
      </c>
      <c r="X103" s="1777">
        <f>4914567796+AA103</f>
        <v>4933025612</v>
      </c>
      <c r="Y103" s="1777">
        <f>+'[8]INGRESOS CRA OCT2022'!P45</f>
        <v>10403496</v>
      </c>
      <c r="Z103" s="1777">
        <f>+'[8]INGRESOS CRA OCT2022'!Y45</f>
        <v>8054320</v>
      </c>
      <c r="AA103" s="1919">
        <f t="shared" si="156"/>
        <v>18457816</v>
      </c>
      <c r="AB103" s="1877">
        <f t="shared" si="157"/>
        <v>3.7416825801795573E-3</v>
      </c>
    </row>
    <row r="104" spans="1:28" ht="22.5" customHeight="1" thickTop="1" thickBot="1">
      <c r="A104" s="1772">
        <v>1</v>
      </c>
      <c r="B104" s="1773" t="s">
        <v>127</v>
      </c>
      <c r="C104" s="1773" t="s">
        <v>127</v>
      </c>
      <c r="D104" s="1773" t="s">
        <v>134</v>
      </c>
      <c r="E104" s="1773" t="s">
        <v>139</v>
      </c>
      <c r="F104" s="1773" t="s">
        <v>1684</v>
      </c>
      <c r="G104" s="1773" t="s">
        <v>1701</v>
      </c>
      <c r="H104" s="1773" t="s">
        <v>209</v>
      </c>
      <c r="I104" s="1773"/>
      <c r="J104" s="1773"/>
      <c r="K104" s="1917" t="s">
        <v>949</v>
      </c>
      <c r="L104" s="1918">
        <v>18026771.100000001</v>
      </c>
      <c r="M104" s="1918"/>
      <c r="N104" s="1918"/>
      <c r="O104" s="1918">
        <f t="shared" si="149"/>
        <v>18026771.100000001</v>
      </c>
      <c r="P104" s="1796"/>
      <c r="Q104" s="1775">
        <v>0.9</v>
      </c>
      <c r="R104" s="1796">
        <v>16224093.99</v>
      </c>
      <c r="S104" s="1775">
        <v>0</v>
      </c>
      <c r="T104" s="1918">
        <v>1802677.11</v>
      </c>
      <c r="U104" s="1775">
        <v>0.1</v>
      </c>
      <c r="V104" s="1777">
        <f t="shared" si="228"/>
        <v>0</v>
      </c>
      <c r="W104" s="1775">
        <v>0</v>
      </c>
      <c r="X104" s="1777">
        <f>+AA104</f>
        <v>125065957</v>
      </c>
      <c r="Y104" s="1777">
        <f>+'[8]INGRESOS CRA OCT2022'!P46</f>
        <v>16040741</v>
      </c>
      <c r="Z104" s="1777">
        <f>+'[8]INGRESOS CRA OCT2022'!Y46</f>
        <v>109025216</v>
      </c>
      <c r="AA104" s="1919">
        <f t="shared" si="156"/>
        <v>125065957</v>
      </c>
      <c r="AB104" s="1877">
        <f t="shared" si="157"/>
        <v>1</v>
      </c>
    </row>
    <row r="105" spans="1:28" ht="22.5" hidden="1" customHeight="1" thickTop="1" thickBot="1">
      <c r="A105" s="1772">
        <v>1</v>
      </c>
      <c r="B105" s="1773" t="s">
        <v>127</v>
      </c>
      <c r="C105" s="1773" t="s">
        <v>127</v>
      </c>
      <c r="D105" s="1773" t="s">
        <v>134</v>
      </c>
      <c r="E105" s="1773" t="s">
        <v>139</v>
      </c>
      <c r="F105" s="1773" t="s">
        <v>1684</v>
      </c>
      <c r="G105" s="1773" t="s">
        <v>1701</v>
      </c>
      <c r="H105" s="1773" t="s">
        <v>1622</v>
      </c>
      <c r="I105" s="1773"/>
      <c r="J105" s="1773"/>
      <c r="K105" s="1776" t="s">
        <v>1702</v>
      </c>
      <c r="L105" s="1774"/>
      <c r="M105" s="1774"/>
      <c r="N105" s="1774"/>
      <c r="O105" s="1774">
        <f t="shared" si="149"/>
        <v>0</v>
      </c>
      <c r="P105" s="1777">
        <f t="shared" si="208"/>
        <v>0</v>
      </c>
      <c r="Q105" s="1775"/>
      <c r="R105" s="1777">
        <f t="shared" si="201"/>
        <v>0</v>
      </c>
      <c r="S105" s="1775"/>
      <c r="T105" s="1777">
        <f t="shared" ref="T105:T106" si="229">+L105*U105</f>
        <v>0</v>
      </c>
      <c r="U105" s="1775"/>
      <c r="V105" s="1777">
        <f t="shared" si="228"/>
        <v>0</v>
      </c>
      <c r="W105" s="1775"/>
      <c r="X105" s="1777"/>
      <c r="Y105" s="1777"/>
      <c r="Z105" s="1777"/>
      <c r="AA105" s="1777">
        <f t="shared" si="156"/>
        <v>0</v>
      </c>
      <c r="AB105" s="1877" t="e">
        <f t="shared" si="157"/>
        <v>#DIV/0!</v>
      </c>
    </row>
    <row r="106" spans="1:28" s="1791" customFormat="1" ht="22.5" hidden="1" customHeight="1" thickTop="1" thickBot="1">
      <c r="A106" s="1785">
        <v>1</v>
      </c>
      <c r="B106" s="1786" t="s">
        <v>127</v>
      </c>
      <c r="C106" s="1786" t="s">
        <v>127</v>
      </c>
      <c r="D106" s="1786" t="s">
        <v>134</v>
      </c>
      <c r="E106" s="1786" t="s">
        <v>139</v>
      </c>
      <c r="F106" s="1786" t="s">
        <v>1703</v>
      </c>
      <c r="G106" s="1786"/>
      <c r="H106" s="1786"/>
      <c r="I106" s="1786"/>
      <c r="J106" s="1786"/>
      <c r="K106" s="1788" t="s">
        <v>150</v>
      </c>
      <c r="L106" s="1789"/>
      <c r="M106" s="1789"/>
      <c r="N106" s="1789"/>
      <c r="O106" s="1789">
        <f t="shared" si="149"/>
        <v>0</v>
      </c>
      <c r="P106" s="1800">
        <f t="shared" si="208"/>
        <v>0</v>
      </c>
      <c r="Q106" s="1790"/>
      <c r="R106" s="1800">
        <f t="shared" si="201"/>
        <v>0</v>
      </c>
      <c r="S106" s="1790"/>
      <c r="T106" s="1800">
        <f t="shared" si="229"/>
        <v>0</v>
      </c>
      <c r="U106" s="1790"/>
      <c r="V106" s="1800">
        <f t="shared" si="228"/>
        <v>0</v>
      </c>
      <c r="W106" s="1790"/>
      <c r="X106" s="1800"/>
      <c r="Y106" s="1800"/>
      <c r="Z106" s="1800"/>
      <c r="AA106" s="1800">
        <f t="shared" si="156"/>
        <v>0</v>
      </c>
      <c r="AB106" s="1878" t="e">
        <f t="shared" si="157"/>
        <v>#DIV/0!</v>
      </c>
    </row>
    <row r="107" spans="1:28" s="1756" customFormat="1" ht="22.5" hidden="1" customHeight="1" thickTop="1" thickBot="1">
      <c r="A107" s="1756">
        <v>1</v>
      </c>
      <c r="B107" s="1756" t="s">
        <v>127</v>
      </c>
      <c r="C107" s="1756" t="s">
        <v>127</v>
      </c>
      <c r="D107" s="1756" t="s">
        <v>134</v>
      </c>
      <c r="E107" s="1756" t="s">
        <v>144</v>
      </c>
      <c r="K107" s="1798" t="s">
        <v>151</v>
      </c>
      <c r="L107" s="1758">
        <f>+L108+L153</f>
        <v>0</v>
      </c>
      <c r="M107" s="1758">
        <f t="shared" ref="M107:N107" si="230">+M108+M153</f>
        <v>0</v>
      </c>
      <c r="N107" s="1758">
        <f t="shared" si="230"/>
        <v>0</v>
      </c>
      <c r="O107" s="1758"/>
      <c r="P107" s="1756">
        <f t="shared" ref="P107:V107" si="231">+P108+P153</f>
        <v>0</v>
      </c>
      <c r="Q107" s="1759" t="e">
        <f t="shared" ref="Q107:Q109" si="232">+P107/L107</f>
        <v>#DIV/0!</v>
      </c>
      <c r="R107" s="1756">
        <f t="shared" si="231"/>
        <v>0</v>
      </c>
      <c r="S107" s="1759" t="e">
        <f t="shared" ref="S107:S109" si="233">+R107/L107</f>
        <v>#DIV/0!</v>
      </c>
      <c r="T107" s="1756">
        <f t="shared" si="231"/>
        <v>0</v>
      </c>
      <c r="U107" s="1759" t="e">
        <f>+T107/L107</f>
        <v>#DIV/0!</v>
      </c>
      <c r="V107" s="1756">
        <f t="shared" si="231"/>
        <v>0</v>
      </c>
      <c r="W107" s="1759" t="e">
        <f>+V107/L107</f>
        <v>#DIV/0!</v>
      </c>
      <c r="X107" s="1756">
        <f t="shared" ref="X107:Z107" si="234">+X108+X153</f>
        <v>0</v>
      </c>
      <c r="Y107" s="1756">
        <f t="shared" si="234"/>
        <v>0</v>
      </c>
      <c r="Z107" s="1756">
        <f t="shared" si="234"/>
        <v>0</v>
      </c>
      <c r="AA107" s="1756">
        <f t="shared" si="156"/>
        <v>0</v>
      </c>
      <c r="AB107" s="1880" t="e">
        <f t="shared" si="157"/>
        <v>#DIV/0!</v>
      </c>
    </row>
    <row r="108" spans="1:28" s="1791" customFormat="1" ht="22.5" hidden="1" customHeight="1" thickTop="1" thickBot="1">
      <c r="A108" s="1785">
        <v>1</v>
      </c>
      <c r="B108" s="1786" t="s">
        <v>127</v>
      </c>
      <c r="C108" s="1786" t="s">
        <v>127</v>
      </c>
      <c r="D108" s="1786" t="s">
        <v>134</v>
      </c>
      <c r="E108" s="1786" t="s">
        <v>144</v>
      </c>
      <c r="F108" s="1786" t="s">
        <v>1684</v>
      </c>
      <c r="G108" s="1786"/>
      <c r="H108" s="1786"/>
      <c r="I108" s="1786"/>
      <c r="J108" s="1786"/>
      <c r="K108" s="1788" t="s">
        <v>152</v>
      </c>
      <c r="L108" s="1789">
        <f>+L109+L113+L117+L121+L125+L129+L133+L137+L141+L145+L149</f>
        <v>0</v>
      </c>
      <c r="M108" s="1789">
        <f t="shared" ref="M108:N108" si="235">+M109+M113+M117+M121+M125+M129+M133+M137+M141+M145+M149</f>
        <v>0</v>
      </c>
      <c r="N108" s="1789">
        <f t="shared" si="235"/>
        <v>0</v>
      </c>
      <c r="O108" s="1789">
        <f t="shared" si="149"/>
        <v>0</v>
      </c>
      <c r="P108" s="1800">
        <f t="shared" ref="P108:V108" si="236">+P109+P113+P117+P121+P125+P129+P133+P137+P141+P145+P149</f>
        <v>0</v>
      </c>
      <c r="Q108" s="1790" t="e">
        <f t="shared" si="232"/>
        <v>#DIV/0!</v>
      </c>
      <c r="R108" s="1800">
        <f t="shared" si="236"/>
        <v>0</v>
      </c>
      <c r="S108" s="1790" t="e">
        <f t="shared" si="233"/>
        <v>#DIV/0!</v>
      </c>
      <c r="T108" s="1800">
        <f t="shared" si="236"/>
        <v>0</v>
      </c>
      <c r="U108" s="1790" t="e">
        <f>+T108/L108</f>
        <v>#DIV/0!</v>
      </c>
      <c r="V108" s="1800">
        <f t="shared" si="236"/>
        <v>0</v>
      </c>
      <c r="W108" s="1790" t="e">
        <f t="shared" ref="W108:W109" si="237">+V108/L108</f>
        <v>#DIV/0!</v>
      </c>
      <c r="X108" s="1800">
        <f t="shared" ref="X108:Z108" si="238">+X109+X113+X117+X121+X125+X129+X133+X137+X141+X145+X149</f>
        <v>0</v>
      </c>
      <c r="Y108" s="1800">
        <f t="shared" si="238"/>
        <v>0</v>
      </c>
      <c r="Z108" s="1800">
        <f t="shared" si="238"/>
        <v>0</v>
      </c>
      <c r="AA108" s="1800">
        <f t="shared" si="156"/>
        <v>0</v>
      </c>
      <c r="AB108" s="1878" t="e">
        <f t="shared" si="157"/>
        <v>#DIV/0!</v>
      </c>
    </row>
    <row r="109" spans="1:28" s="1729" customFormat="1" ht="22.5" hidden="1" customHeight="1" thickTop="1" thickBot="1">
      <c r="A109" s="1767">
        <v>1</v>
      </c>
      <c r="B109" s="1768" t="s">
        <v>127</v>
      </c>
      <c r="C109" s="1768" t="s">
        <v>127</v>
      </c>
      <c r="D109" s="1768" t="s">
        <v>134</v>
      </c>
      <c r="E109" s="1768" t="s">
        <v>144</v>
      </c>
      <c r="F109" s="1768" t="s">
        <v>1684</v>
      </c>
      <c r="G109" s="1768" t="s">
        <v>1704</v>
      </c>
      <c r="H109" s="1768"/>
      <c r="I109" s="1768"/>
      <c r="J109" s="1768"/>
      <c r="K109" s="1769" t="s">
        <v>153</v>
      </c>
      <c r="L109" s="1770">
        <f>SUM(L110:L112)</f>
        <v>0</v>
      </c>
      <c r="M109" s="1770">
        <f t="shared" ref="M109:N109" si="239">SUM(M110:M112)</f>
        <v>0</v>
      </c>
      <c r="N109" s="1770">
        <f t="shared" si="239"/>
        <v>0</v>
      </c>
      <c r="O109" s="1770">
        <f t="shared" si="149"/>
        <v>0</v>
      </c>
      <c r="P109" s="1778">
        <f t="shared" ref="P109:V109" si="240">SUM(P110:P112)</f>
        <v>0</v>
      </c>
      <c r="Q109" s="1771" t="e">
        <f t="shared" si="232"/>
        <v>#DIV/0!</v>
      </c>
      <c r="R109" s="1778">
        <f t="shared" si="240"/>
        <v>0</v>
      </c>
      <c r="S109" s="1771" t="e">
        <f t="shared" si="233"/>
        <v>#DIV/0!</v>
      </c>
      <c r="T109" s="1778">
        <f t="shared" si="240"/>
        <v>0</v>
      </c>
      <c r="U109" s="1771" t="e">
        <f>+T109/L109</f>
        <v>#DIV/0!</v>
      </c>
      <c r="V109" s="1778">
        <f t="shared" si="240"/>
        <v>0</v>
      </c>
      <c r="W109" s="1771" t="e">
        <f t="shared" si="237"/>
        <v>#DIV/0!</v>
      </c>
      <c r="X109" s="1778">
        <f t="shared" ref="X109:Z109" si="241">SUM(X110:X112)</f>
        <v>0</v>
      </c>
      <c r="Y109" s="1778">
        <f t="shared" si="241"/>
        <v>0</v>
      </c>
      <c r="Z109" s="1778">
        <f t="shared" si="241"/>
        <v>0</v>
      </c>
      <c r="AA109" s="1778">
        <f t="shared" si="156"/>
        <v>0</v>
      </c>
      <c r="AB109" s="1876" t="e">
        <f t="shared" si="157"/>
        <v>#DIV/0!</v>
      </c>
    </row>
    <row r="110" spans="1:28" ht="22.5" hidden="1" customHeight="1" thickTop="1" thickBot="1">
      <c r="A110" s="1772">
        <v>1</v>
      </c>
      <c r="B110" s="1773" t="s">
        <v>127</v>
      </c>
      <c r="C110" s="1773" t="s">
        <v>127</v>
      </c>
      <c r="D110" s="1773" t="s">
        <v>134</v>
      </c>
      <c r="E110" s="1773" t="s">
        <v>144</v>
      </c>
      <c r="F110" s="1773" t="s">
        <v>1684</v>
      </c>
      <c r="G110" s="1773" t="s">
        <v>1704</v>
      </c>
      <c r="H110" s="1773" t="s">
        <v>127</v>
      </c>
      <c r="I110" s="1773"/>
      <c r="J110" s="1773"/>
      <c r="K110" s="1776" t="s">
        <v>1705</v>
      </c>
      <c r="L110" s="1774"/>
      <c r="M110" s="1774"/>
      <c r="N110" s="1774"/>
      <c r="O110" s="1774">
        <f t="shared" si="149"/>
        <v>0</v>
      </c>
      <c r="P110" s="1777">
        <f t="shared" ref="P110:P112" si="242">+L110*Q110</f>
        <v>0</v>
      </c>
      <c r="Q110" s="1775"/>
      <c r="R110" s="1777">
        <f t="shared" ref="R110:R112" si="243">+L110*S110</f>
        <v>0</v>
      </c>
      <c r="S110" s="1775"/>
      <c r="T110" s="1777">
        <f t="shared" ref="T110:T112" si="244">+L110*U110</f>
        <v>0</v>
      </c>
      <c r="U110" s="1775"/>
      <c r="V110" s="1777">
        <f t="shared" ref="V110:V152" si="245">+L110*W110</f>
        <v>0</v>
      </c>
      <c r="W110" s="1775"/>
      <c r="X110" s="1777"/>
      <c r="Y110" s="1777"/>
      <c r="Z110" s="1777"/>
      <c r="AA110" s="1777">
        <f t="shared" si="156"/>
        <v>0</v>
      </c>
      <c r="AB110" s="1877" t="e">
        <f t="shared" si="157"/>
        <v>#DIV/0!</v>
      </c>
    </row>
    <row r="111" spans="1:28" ht="22.5" hidden="1" customHeight="1" thickTop="1" thickBot="1">
      <c r="A111" s="1772">
        <v>1</v>
      </c>
      <c r="B111" s="1773" t="s">
        <v>127</v>
      </c>
      <c r="C111" s="1773" t="s">
        <v>127</v>
      </c>
      <c r="D111" s="1773" t="s">
        <v>134</v>
      </c>
      <c r="E111" s="1773" t="s">
        <v>144</v>
      </c>
      <c r="F111" s="1773" t="s">
        <v>1684</v>
      </c>
      <c r="G111" s="1773" t="s">
        <v>1704</v>
      </c>
      <c r="H111" s="1773" t="s">
        <v>209</v>
      </c>
      <c r="I111" s="1773"/>
      <c r="J111" s="1773"/>
      <c r="K111" s="1776" t="s">
        <v>1706</v>
      </c>
      <c r="L111" s="1774"/>
      <c r="M111" s="1774"/>
      <c r="N111" s="1774"/>
      <c r="O111" s="1774">
        <f t="shared" si="149"/>
        <v>0</v>
      </c>
      <c r="P111" s="1777">
        <f t="shared" si="242"/>
        <v>0</v>
      </c>
      <c r="Q111" s="1775"/>
      <c r="R111" s="1777">
        <f t="shared" si="243"/>
        <v>0</v>
      </c>
      <c r="S111" s="1775"/>
      <c r="T111" s="1777">
        <f t="shared" si="244"/>
        <v>0</v>
      </c>
      <c r="U111" s="1775"/>
      <c r="V111" s="1777">
        <f t="shared" si="245"/>
        <v>0</v>
      </c>
      <c r="W111" s="1775"/>
      <c r="X111" s="1777"/>
      <c r="Y111" s="1777"/>
      <c r="Z111" s="1777"/>
      <c r="AA111" s="1777">
        <f t="shared" si="156"/>
        <v>0</v>
      </c>
      <c r="AB111" s="1877" t="e">
        <f t="shared" si="157"/>
        <v>#DIV/0!</v>
      </c>
    </row>
    <row r="112" spans="1:28" ht="22.5" hidden="1" customHeight="1" thickTop="1" thickBot="1">
      <c r="A112" s="1772">
        <v>1</v>
      </c>
      <c r="B112" s="1773" t="s">
        <v>127</v>
      </c>
      <c r="C112" s="1773" t="s">
        <v>127</v>
      </c>
      <c r="D112" s="1773" t="s">
        <v>134</v>
      </c>
      <c r="E112" s="1773" t="s">
        <v>144</v>
      </c>
      <c r="F112" s="1773" t="s">
        <v>1684</v>
      </c>
      <c r="G112" s="1773" t="s">
        <v>1704</v>
      </c>
      <c r="H112" s="1773" t="s">
        <v>1622</v>
      </c>
      <c r="I112" s="1773"/>
      <c r="J112" s="1773"/>
      <c r="K112" s="1776" t="s">
        <v>1707</v>
      </c>
      <c r="L112" s="1774"/>
      <c r="M112" s="1774"/>
      <c r="N112" s="1774"/>
      <c r="O112" s="1774">
        <f t="shared" si="149"/>
        <v>0</v>
      </c>
      <c r="P112" s="1777">
        <f t="shared" si="242"/>
        <v>0</v>
      </c>
      <c r="Q112" s="1775"/>
      <c r="R112" s="1777">
        <f t="shared" si="243"/>
        <v>0</v>
      </c>
      <c r="S112" s="1775"/>
      <c r="T112" s="1777">
        <f t="shared" si="244"/>
        <v>0</v>
      </c>
      <c r="U112" s="1775"/>
      <c r="V112" s="1777">
        <f t="shared" si="245"/>
        <v>0</v>
      </c>
      <c r="W112" s="1775"/>
      <c r="X112" s="1777"/>
      <c r="Y112" s="1777"/>
      <c r="Z112" s="1777"/>
      <c r="AA112" s="1777">
        <f t="shared" si="156"/>
        <v>0</v>
      </c>
      <c r="AB112" s="1877" t="e">
        <f t="shared" si="157"/>
        <v>#DIV/0!</v>
      </c>
    </row>
    <row r="113" spans="1:28" s="1729" customFormat="1" ht="22.5" hidden="1" customHeight="1" thickTop="1" thickBot="1">
      <c r="A113" s="1767">
        <v>1</v>
      </c>
      <c r="B113" s="1768" t="s">
        <v>127</v>
      </c>
      <c r="C113" s="1768" t="s">
        <v>127</v>
      </c>
      <c r="D113" s="1768" t="s">
        <v>134</v>
      </c>
      <c r="E113" s="1768" t="s">
        <v>144</v>
      </c>
      <c r="F113" s="1768" t="s">
        <v>1684</v>
      </c>
      <c r="G113" s="1768" t="s">
        <v>129</v>
      </c>
      <c r="H113" s="1768"/>
      <c r="I113" s="1768"/>
      <c r="J113" s="1768"/>
      <c r="K113" s="1769" t="s">
        <v>1708</v>
      </c>
      <c r="L113" s="1770">
        <f>SUM(L114:L116)</f>
        <v>0</v>
      </c>
      <c r="M113" s="1770">
        <f t="shared" ref="M113:N113" si="246">SUM(M114:M116)</f>
        <v>0</v>
      </c>
      <c r="N113" s="1770">
        <f t="shared" si="246"/>
        <v>0</v>
      </c>
      <c r="O113" s="1770">
        <f t="shared" si="149"/>
        <v>0</v>
      </c>
      <c r="P113" s="1778">
        <f t="shared" ref="P113:V113" si="247">SUM(P114:P116)</f>
        <v>0</v>
      </c>
      <c r="Q113" s="1771" t="e">
        <f t="shared" ref="Q113" si="248">+P113/L113</f>
        <v>#DIV/0!</v>
      </c>
      <c r="R113" s="1778">
        <f t="shared" si="247"/>
        <v>0</v>
      </c>
      <c r="S113" s="1771" t="e">
        <f>+R113/L113</f>
        <v>#DIV/0!</v>
      </c>
      <c r="T113" s="1778">
        <f t="shared" si="247"/>
        <v>0</v>
      </c>
      <c r="U113" s="1771" t="e">
        <f>+T113/L113</f>
        <v>#DIV/0!</v>
      </c>
      <c r="V113" s="1778">
        <f t="shared" si="247"/>
        <v>0</v>
      </c>
      <c r="W113" s="1771" t="e">
        <f>+V113/L113</f>
        <v>#DIV/0!</v>
      </c>
      <c r="X113" s="1778">
        <f t="shared" ref="X113:Z113" si="249">SUM(X114:X116)</f>
        <v>0</v>
      </c>
      <c r="Y113" s="1778">
        <f t="shared" si="249"/>
        <v>0</v>
      </c>
      <c r="Z113" s="1778">
        <f t="shared" si="249"/>
        <v>0</v>
      </c>
      <c r="AA113" s="1778">
        <f t="shared" si="156"/>
        <v>0</v>
      </c>
      <c r="AB113" s="1876" t="e">
        <f t="shared" si="157"/>
        <v>#DIV/0!</v>
      </c>
    </row>
    <row r="114" spans="1:28" ht="22.5" hidden="1" customHeight="1" thickTop="1" thickBot="1">
      <c r="A114" s="1772">
        <v>1</v>
      </c>
      <c r="B114" s="1773" t="s">
        <v>127</v>
      </c>
      <c r="C114" s="1773" t="s">
        <v>127</v>
      </c>
      <c r="D114" s="1773" t="s">
        <v>134</v>
      </c>
      <c r="E114" s="1773" t="s">
        <v>144</v>
      </c>
      <c r="F114" s="1773" t="s">
        <v>1684</v>
      </c>
      <c r="G114" s="1773" t="s">
        <v>129</v>
      </c>
      <c r="H114" s="1773" t="s">
        <v>127</v>
      </c>
      <c r="I114" s="1773"/>
      <c r="J114" s="1773"/>
      <c r="K114" s="1776" t="s">
        <v>1709</v>
      </c>
      <c r="L114" s="1774"/>
      <c r="M114" s="1774"/>
      <c r="N114" s="1774"/>
      <c r="O114" s="1774">
        <f t="shared" si="149"/>
        <v>0</v>
      </c>
      <c r="P114" s="1777">
        <f t="shared" ref="P114:P116" si="250">+L114*Q114</f>
        <v>0</v>
      </c>
      <c r="Q114" s="1775"/>
      <c r="R114" s="1777">
        <f t="shared" ref="R114:R116" si="251">+L114*S114</f>
        <v>0</v>
      </c>
      <c r="S114" s="1775"/>
      <c r="T114" s="1777">
        <f t="shared" ref="T114:T116" si="252">+L114*U114</f>
        <v>0</v>
      </c>
      <c r="U114" s="1775"/>
      <c r="V114" s="1777">
        <f t="shared" si="245"/>
        <v>0</v>
      </c>
      <c r="W114" s="1775"/>
      <c r="X114" s="1777"/>
      <c r="Y114" s="1777"/>
      <c r="Z114" s="1777"/>
      <c r="AA114" s="1777">
        <f t="shared" si="156"/>
        <v>0</v>
      </c>
      <c r="AB114" s="1877" t="e">
        <f t="shared" si="157"/>
        <v>#DIV/0!</v>
      </c>
    </row>
    <row r="115" spans="1:28" ht="22.5" hidden="1" customHeight="1" thickTop="1" thickBot="1">
      <c r="A115" s="1772">
        <v>1</v>
      </c>
      <c r="B115" s="1773" t="s">
        <v>127</v>
      </c>
      <c r="C115" s="1773" t="s">
        <v>127</v>
      </c>
      <c r="D115" s="1773" t="s">
        <v>134</v>
      </c>
      <c r="E115" s="1773" t="s">
        <v>144</v>
      </c>
      <c r="F115" s="1773" t="s">
        <v>1684</v>
      </c>
      <c r="G115" s="1773" t="s">
        <v>129</v>
      </c>
      <c r="H115" s="1773" t="s">
        <v>209</v>
      </c>
      <c r="I115" s="1773"/>
      <c r="J115" s="1773"/>
      <c r="K115" s="1776" t="s">
        <v>1710</v>
      </c>
      <c r="L115" s="1774"/>
      <c r="M115" s="1774"/>
      <c r="N115" s="1774"/>
      <c r="O115" s="1774">
        <f t="shared" si="149"/>
        <v>0</v>
      </c>
      <c r="P115" s="1777">
        <f t="shared" si="250"/>
        <v>0</v>
      </c>
      <c r="Q115" s="1775"/>
      <c r="R115" s="1777">
        <f t="shared" si="251"/>
        <v>0</v>
      </c>
      <c r="S115" s="1775"/>
      <c r="T115" s="1777">
        <f t="shared" si="252"/>
        <v>0</v>
      </c>
      <c r="U115" s="1775"/>
      <c r="V115" s="1777">
        <f t="shared" si="245"/>
        <v>0</v>
      </c>
      <c r="W115" s="1775"/>
      <c r="X115" s="1777"/>
      <c r="Y115" s="1777"/>
      <c r="Z115" s="1777"/>
      <c r="AA115" s="1777">
        <f t="shared" si="156"/>
        <v>0</v>
      </c>
      <c r="AB115" s="1877" t="e">
        <f t="shared" si="157"/>
        <v>#DIV/0!</v>
      </c>
    </row>
    <row r="116" spans="1:28" ht="22.5" hidden="1" customHeight="1" thickTop="1" thickBot="1">
      <c r="A116" s="1772">
        <v>1</v>
      </c>
      <c r="B116" s="1773" t="s">
        <v>127</v>
      </c>
      <c r="C116" s="1773" t="s">
        <v>127</v>
      </c>
      <c r="D116" s="1773" t="s">
        <v>134</v>
      </c>
      <c r="E116" s="1773" t="s">
        <v>144</v>
      </c>
      <c r="F116" s="1773" t="s">
        <v>1684</v>
      </c>
      <c r="G116" s="1773" t="s">
        <v>129</v>
      </c>
      <c r="H116" s="1773" t="s">
        <v>1622</v>
      </c>
      <c r="I116" s="1773"/>
      <c r="J116" s="1773"/>
      <c r="K116" s="1776" t="s">
        <v>1711</v>
      </c>
      <c r="L116" s="1774"/>
      <c r="M116" s="1774"/>
      <c r="N116" s="1774"/>
      <c r="O116" s="1774">
        <f t="shared" si="149"/>
        <v>0</v>
      </c>
      <c r="P116" s="1777">
        <f t="shared" si="250"/>
        <v>0</v>
      </c>
      <c r="Q116" s="1775"/>
      <c r="R116" s="1777">
        <f t="shared" si="251"/>
        <v>0</v>
      </c>
      <c r="S116" s="1775"/>
      <c r="T116" s="1777">
        <f t="shared" si="252"/>
        <v>0</v>
      </c>
      <c r="U116" s="1775"/>
      <c r="V116" s="1777">
        <f t="shared" si="245"/>
        <v>0</v>
      </c>
      <c r="W116" s="1775"/>
      <c r="X116" s="1777"/>
      <c r="Y116" s="1777"/>
      <c r="Z116" s="1777"/>
      <c r="AA116" s="1777">
        <f t="shared" si="156"/>
        <v>0</v>
      </c>
      <c r="AB116" s="1877" t="e">
        <f t="shared" si="157"/>
        <v>#DIV/0!</v>
      </c>
    </row>
    <row r="117" spans="1:28" s="1729" customFormat="1" ht="22.5" hidden="1" customHeight="1" thickTop="1" thickBot="1">
      <c r="A117" s="1767">
        <v>1</v>
      </c>
      <c r="B117" s="1768" t="s">
        <v>127</v>
      </c>
      <c r="C117" s="1768" t="s">
        <v>127</v>
      </c>
      <c r="D117" s="1768" t="s">
        <v>134</v>
      </c>
      <c r="E117" s="1768" t="s">
        <v>144</v>
      </c>
      <c r="F117" s="1768" t="s">
        <v>1684</v>
      </c>
      <c r="G117" s="1768" t="s">
        <v>134</v>
      </c>
      <c r="H117" s="1768"/>
      <c r="I117" s="1768"/>
      <c r="J117" s="1768"/>
      <c r="K117" s="1769" t="s">
        <v>1712</v>
      </c>
      <c r="L117" s="1770">
        <f>SUM(L118:L120)</f>
        <v>0</v>
      </c>
      <c r="M117" s="1770">
        <f t="shared" ref="M117:N117" si="253">SUM(M118:M120)</f>
        <v>0</v>
      </c>
      <c r="N117" s="1770">
        <f t="shared" si="253"/>
        <v>0</v>
      </c>
      <c r="O117" s="1770">
        <f t="shared" si="149"/>
        <v>0</v>
      </c>
      <c r="P117" s="1778">
        <f t="shared" ref="P117:V117" si="254">SUM(P118:P120)</f>
        <v>0</v>
      </c>
      <c r="Q117" s="1771" t="e">
        <f t="shared" ref="Q117" si="255">+P117/L117</f>
        <v>#DIV/0!</v>
      </c>
      <c r="R117" s="1778">
        <f t="shared" si="254"/>
        <v>0</v>
      </c>
      <c r="S117" s="1771" t="e">
        <f>+R117/L117</f>
        <v>#DIV/0!</v>
      </c>
      <c r="T117" s="1778">
        <f t="shared" si="254"/>
        <v>0</v>
      </c>
      <c r="U117" s="1771" t="e">
        <f>+T117/L117</f>
        <v>#DIV/0!</v>
      </c>
      <c r="V117" s="1778">
        <f t="shared" si="254"/>
        <v>0</v>
      </c>
      <c r="W117" s="1771" t="e">
        <f>+V117/L117</f>
        <v>#DIV/0!</v>
      </c>
      <c r="X117" s="1778">
        <f t="shared" ref="X117:Z117" si="256">SUM(X118:X120)</f>
        <v>0</v>
      </c>
      <c r="Y117" s="1778">
        <f t="shared" si="256"/>
        <v>0</v>
      </c>
      <c r="Z117" s="1778">
        <f t="shared" si="256"/>
        <v>0</v>
      </c>
      <c r="AA117" s="1778">
        <f t="shared" si="156"/>
        <v>0</v>
      </c>
      <c r="AB117" s="1876" t="e">
        <f t="shared" si="157"/>
        <v>#DIV/0!</v>
      </c>
    </row>
    <row r="118" spans="1:28" ht="22.5" hidden="1" customHeight="1" thickTop="1" thickBot="1">
      <c r="A118" s="1772">
        <v>1</v>
      </c>
      <c r="B118" s="1773" t="s">
        <v>127</v>
      </c>
      <c r="C118" s="1773" t="s">
        <v>127</v>
      </c>
      <c r="D118" s="1773" t="s">
        <v>134</v>
      </c>
      <c r="E118" s="1773" t="s">
        <v>144</v>
      </c>
      <c r="F118" s="1773" t="s">
        <v>1684</v>
      </c>
      <c r="G118" s="1773" t="s">
        <v>134</v>
      </c>
      <c r="H118" s="1773" t="s">
        <v>127</v>
      </c>
      <c r="I118" s="1773"/>
      <c r="J118" s="1773"/>
      <c r="K118" s="1776" t="s">
        <v>1713</v>
      </c>
      <c r="L118" s="1774"/>
      <c r="M118" s="1774"/>
      <c r="N118" s="1774"/>
      <c r="O118" s="1774">
        <f t="shared" si="149"/>
        <v>0</v>
      </c>
      <c r="P118" s="1777">
        <f t="shared" ref="P118:P120" si="257">+L118*Q118</f>
        <v>0</v>
      </c>
      <c r="Q118" s="1775"/>
      <c r="R118" s="1777">
        <f t="shared" ref="R118:R120" si="258">+L118*S118</f>
        <v>0</v>
      </c>
      <c r="S118" s="1775"/>
      <c r="T118" s="1777">
        <f t="shared" ref="T118:T120" si="259">+L118*U118</f>
        <v>0</v>
      </c>
      <c r="U118" s="1775"/>
      <c r="V118" s="1777">
        <f t="shared" si="245"/>
        <v>0</v>
      </c>
      <c r="W118" s="1775"/>
      <c r="X118" s="1777"/>
      <c r="Y118" s="1777"/>
      <c r="Z118" s="1777"/>
      <c r="AA118" s="1777">
        <f t="shared" si="156"/>
        <v>0</v>
      </c>
      <c r="AB118" s="1877" t="e">
        <f t="shared" si="157"/>
        <v>#DIV/0!</v>
      </c>
    </row>
    <row r="119" spans="1:28" ht="22.5" hidden="1" customHeight="1" thickTop="1" thickBot="1">
      <c r="A119" s="1772">
        <v>1</v>
      </c>
      <c r="B119" s="1773" t="s">
        <v>127</v>
      </c>
      <c r="C119" s="1773" t="s">
        <v>127</v>
      </c>
      <c r="D119" s="1773" t="s">
        <v>134</v>
      </c>
      <c r="E119" s="1773" t="s">
        <v>144</v>
      </c>
      <c r="F119" s="1773" t="s">
        <v>1684</v>
      </c>
      <c r="G119" s="1773" t="s">
        <v>134</v>
      </c>
      <c r="H119" s="1773" t="s">
        <v>209</v>
      </c>
      <c r="I119" s="1773"/>
      <c r="J119" s="1773"/>
      <c r="K119" s="1776" t="s">
        <v>1714</v>
      </c>
      <c r="L119" s="1774"/>
      <c r="M119" s="1774"/>
      <c r="N119" s="1774"/>
      <c r="O119" s="1774">
        <f t="shared" si="149"/>
        <v>0</v>
      </c>
      <c r="P119" s="1777">
        <f t="shared" si="257"/>
        <v>0</v>
      </c>
      <c r="Q119" s="1775"/>
      <c r="R119" s="1777">
        <f t="shared" si="258"/>
        <v>0</v>
      </c>
      <c r="S119" s="1775"/>
      <c r="T119" s="1777">
        <f t="shared" si="259"/>
        <v>0</v>
      </c>
      <c r="U119" s="1775"/>
      <c r="V119" s="1777">
        <f t="shared" si="245"/>
        <v>0</v>
      </c>
      <c r="W119" s="1775"/>
      <c r="X119" s="1777"/>
      <c r="Y119" s="1777"/>
      <c r="Z119" s="1777"/>
      <c r="AA119" s="1777">
        <f t="shared" si="156"/>
        <v>0</v>
      </c>
      <c r="AB119" s="1877" t="e">
        <f t="shared" si="157"/>
        <v>#DIV/0!</v>
      </c>
    </row>
    <row r="120" spans="1:28" ht="22.5" hidden="1" customHeight="1" thickTop="1" thickBot="1">
      <c r="A120" s="1772">
        <v>1</v>
      </c>
      <c r="B120" s="1773" t="s">
        <v>127</v>
      </c>
      <c r="C120" s="1773" t="s">
        <v>127</v>
      </c>
      <c r="D120" s="1773" t="s">
        <v>134</v>
      </c>
      <c r="E120" s="1773" t="s">
        <v>144</v>
      </c>
      <c r="F120" s="1773" t="s">
        <v>1684</v>
      </c>
      <c r="G120" s="1773" t="s">
        <v>134</v>
      </c>
      <c r="H120" s="1773" t="s">
        <v>1622</v>
      </c>
      <c r="I120" s="1773"/>
      <c r="J120" s="1773"/>
      <c r="K120" s="1776" t="s">
        <v>1715</v>
      </c>
      <c r="L120" s="1774"/>
      <c r="M120" s="1774"/>
      <c r="N120" s="1774"/>
      <c r="O120" s="1774">
        <f t="shared" si="149"/>
        <v>0</v>
      </c>
      <c r="P120" s="1777">
        <f t="shared" si="257"/>
        <v>0</v>
      </c>
      <c r="Q120" s="1775"/>
      <c r="R120" s="1777">
        <f t="shared" si="258"/>
        <v>0</v>
      </c>
      <c r="S120" s="1775"/>
      <c r="T120" s="1777">
        <f t="shared" si="259"/>
        <v>0</v>
      </c>
      <c r="U120" s="1775"/>
      <c r="V120" s="1777">
        <f t="shared" si="245"/>
        <v>0</v>
      </c>
      <c r="W120" s="1775"/>
      <c r="X120" s="1777"/>
      <c r="Y120" s="1777"/>
      <c r="Z120" s="1777"/>
      <c r="AA120" s="1777">
        <f t="shared" si="156"/>
        <v>0</v>
      </c>
      <c r="AB120" s="1877" t="e">
        <f t="shared" si="157"/>
        <v>#DIV/0!</v>
      </c>
    </row>
    <row r="121" spans="1:28" s="1729" customFormat="1" ht="22.5" hidden="1" customHeight="1" thickTop="1" thickBot="1">
      <c r="A121" s="1767">
        <v>1</v>
      </c>
      <c r="B121" s="1768" t="s">
        <v>127</v>
      </c>
      <c r="C121" s="1768" t="s">
        <v>127</v>
      </c>
      <c r="D121" s="1768" t="s">
        <v>134</v>
      </c>
      <c r="E121" s="1768" t="s">
        <v>144</v>
      </c>
      <c r="F121" s="1768" t="s">
        <v>1684</v>
      </c>
      <c r="G121" s="1768" t="s">
        <v>139</v>
      </c>
      <c r="H121" s="1768"/>
      <c r="I121" s="1768"/>
      <c r="J121" s="1768"/>
      <c r="K121" s="1769" t="s">
        <v>1716</v>
      </c>
      <c r="L121" s="1770">
        <f>SUM(L122:L124)</f>
        <v>0</v>
      </c>
      <c r="M121" s="1770">
        <f t="shared" ref="M121:N121" si="260">SUM(M122:M124)</f>
        <v>0</v>
      </c>
      <c r="N121" s="1770">
        <f t="shared" si="260"/>
        <v>0</v>
      </c>
      <c r="O121" s="1770">
        <f t="shared" si="149"/>
        <v>0</v>
      </c>
      <c r="P121" s="1778">
        <f t="shared" ref="P121:V121" si="261">SUM(P122:P124)</f>
        <v>0</v>
      </c>
      <c r="Q121" s="1771" t="e">
        <f t="shared" ref="Q121" si="262">+P121/L121</f>
        <v>#DIV/0!</v>
      </c>
      <c r="R121" s="1778">
        <f t="shared" si="261"/>
        <v>0</v>
      </c>
      <c r="S121" s="1771" t="e">
        <f>+R121/L121</f>
        <v>#DIV/0!</v>
      </c>
      <c r="T121" s="1778">
        <f t="shared" si="261"/>
        <v>0</v>
      </c>
      <c r="U121" s="1771" t="e">
        <f>+T121/L121</f>
        <v>#DIV/0!</v>
      </c>
      <c r="V121" s="1778">
        <f t="shared" si="261"/>
        <v>0</v>
      </c>
      <c r="W121" s="1771" t="e">
        <f>+V121/L121</f>
        <v>#DIV/0!</v>
      </c>
      <c r="X121" s="1778">
        <f t="shared" ref="X121:Z121" si="263">SUM(X122:X124)</f>
        <v>0</v>
      </c>
      <c r="Y121" s="1778">
        <f t="shared" si="263"/>
        <v>0</v>
      </c>
      <c r="Z121" s="1778">
        <f t="shared" si="263"/>
        <v>0</v>
      </c>
      <c r="AA121" s="1778">
        <f t="shared" si="156"/>
        <v>0</v>
      </c>
      <c r="AB121" s="1876" t="e">
        <f t="shared" si="157"/>
        <v>#DIV/0!</v>
      </c>
    </row>
    <row r="122" spans="1:28" ht="22.5" hidden="1" customHeight="1" thickTop="1" thickBot="1">
      <c r="A122" s="1772">
        <v>1</v>
      </c>
      <c r="B122" s="1773" t="s">
        <v>127</v>
      </c>
      <c r="C122" s="1773" t="s">
        <v>127</v>
      </c>
      <c r="D122" s="1773" t="s">
        <v>134</v>
      </c>
      <c r="E122" s="1773" t="s">
        <v>144</v>
      </c>
      <c r="F122" s="1773" t="s">
        <v>1684</v>
      </c>
      <c r="G122" s="1773" t="s">
        <v>139</v>
      </c>
      <c r="H122" s="1773" t="s">
        <v>127</v>
      </c>
      <c r="I122" s="1773"/>
      <c r="J122" s="1773"/>
      <c r="K122" s="1776" t="s">
        <v>1717</v>
      </c>
      <c r="L122" s="1774"/>
      <c r="M122" s="1774"/>
      <c r="N122" s="1774"/>
      <c r="O122" s="1774">
        <f t="shared" si="149"/>
        <v>0</v>
      </c>
      <c r="P122" s="1777">
        <f t="shared" ref="P122:P124" si="264">+L122*Q122</f>
        <v>0</v>
      </c>
      <c r="Q122" s="1775"/>
      <c r="R122" s="1777">
        <f t="shared" ref="R122:R124" si="265">+L122*S122</f>
        <v>0</v>
      </c>
      <c r="S122" s="1775"/>
      <c r="T122" s="1777">
        <f t="shared" ref="T122:T124" si="266">+L122*U122</f>
        <v>0</v>
      </c>
      <c r="U122" s="1775"/>
      <c r="V122" s="1777">
        <f t="shared" si="245"/>
        <v>0</v>
      </c>
      <c r="W122" s="1775"/>
      <c r="X122" s="1777"/>
      <c r="Y122" s="1777"/>
      <c r="Z122" s="1777"/>
      <c r="AA122" s="1777">
        <f t="shared" si="156"/>
        <v>0</v>
      </c>
      <c r="AB122" s="1877" t="e">
        <f t="shared" si="157"/>
        <v>#DIV/0!</v>
      </c>
    </row>
    <row r="123" spans="1:28" ht="22.5" hidden="1" customHeight="1" thickTop="1" thickBot="1">
      <c r="A123" s="1772">
        <v>1</v>
      </c>
      <c r="B123" s="1773" t="s">
        <v>127</v>
      </c>
      <c r="C123" s="1773" t="s">
        <v>127</v>
      </c>
      <c r="D123" s="1773" t="s">
        <v>134</v>
      </c>
      <c r="E123" s="1773" t="s">
        <v>144</v>
      </c>
      <c r="F123" s="1773" t="s">
        <v>1684</v>
      </c>
      <c r="G123" s="1773" t="s">
        <v>139</v>
      </c>
      <c r="H123" s="1773" t="s">
        <v>209</v>
      </c>
      <c r="I123" s="1773"/>
      <c r="J123" s="1773"/>
      <c r="K123" s="1776" t="s">
        <v>1718</v>
      </c>
      <c r="L123" s="1774"/>
      <c r="M123" s="1774"/>
      <c r="N123" s="1774"/>
      <c r="O123" s="1774">
        <f t="shared" si="149"/>
        <v>0</v>
      </c>
      <c r="P123" s="1777">
        <f t="shared" si="264"/>
        <v>0</v>
      </c>
      <c r="Q123" s="1775"/>
      <c r="R123" s="1777">
        <f t="shared" si="265"/>
        <v>0</v>
      </c>
      <c r="S123" s="1775"/>
      <c r="T123" s="1777">
        <f t="shared" si="266"/>
        <v>0</v>
      </c>
      <c r="U123" s="1775"/>
      <c r="V123" s="1777">
        <f t="shared" si="245"/>
        <v>0</v>
      </c>
      <c r="W123" s="1775"/>
      <c r="X123" s="1777"/>
      <c r="Y123" s="1777"/>
      <c r="Z123" s="1777"/>
      <c r="AA123" s="1777">
        <f t="shared" si="156"/>
        <v>0</v>
      </c>
      <c r="AB123" s="1877" t="e">
        <f t="shared" si="157"/>
        <v>#DIV/0!</v>
      </c>
    </row>
    <row r="124" spans="1:28" ht="22.5" hidden="1" customHeight="1" thickTop="1" thickBot="1">
      <c r="A124" s="1772">
        <v>1</v>
      </c>
      <c r="B124" s="1773" t="s">
        <v>127</v>
      </c>
      <c r="C124" s="1773" t="s">
        <v>127</v>
      </c>
      <c r="D124" s="1773" t="s">
        <v>134</v>
      </c>
      <c r="E124" s="1773" t="s">
        <v>144</v>
      </c>
      <c r="F124" s="1773" t="s">
        <v>1684</v>
      </c>
      <c r="G124" s="1773" t="s">
        <v>139</v>
      </c>
      <c r="H124" s="1773" t="s">
        <v>1622</v>
      </c>
      <c r="I124" s="1773"/>
      <c r="J124" s="1773"/>
      <c r="K124" s="1776" t="s">
        <v>1719</v>
      </c>
      <c r="L124" s="1774"/>
      <c r="M124" s="1774"/>
      <c r="N124" s="1774"/>
      <c r="O124" s="1774">
        <f t="shared" si="149"/>
        <v>0</v>
      </c>
      <c r="P124" s="1777">
        <f t="shared" si="264"/>
        <v>0</v>
      </c>
      <c r="Q124" s="1775"/>
      <c r="R124" s="1777">
        <f t="shared" si="265"/>
        <v>0</v>
      </c>
      <c r="S124" s="1775"/>
      <c r="T124" s="1777">
        <f t="shared" si="266"/>
        <v>0</v>
      </c>
      <c r="U124" s="1775"/>
      <c r="V124" s="1777">
        <f t="shared" si="245"/>
        <v>0</v>
      </c>
      <c r="W124" s="1775"/>
      <c r="X124" s="1777"/>
      <c r="Y124" s="1777"/>
      <c r="Z124" s="1777"/>
      <c r="AA124" s="1777">
        <f t="shared" si="156"/>
        <v>0</v>
      </c>
      <c r="AB124" s="1877" t="e">
        <f t="shared" si="157"/>
        <v>#DIV/0!</v>
      </c>
    </row>
    <row r="125" spans="1:28" s="1729" customFormat="1" ht="22.5" hidden="1" customHeight="1" thickTop="1" thickBot="1">
      <c r="A125" s="1767">
        <v>1</v>
      </c>
      <c r="B125" s="1768" t="s">
        <v>127</v>
      </c>
      <c r="C125" s="1768" t="s">
        <v>127</v>
      </c>
      <c r="D125" s="1768" t="s">
        <v>134</v>
      </c>
      <c r="E125" s="1768" t="s">
        <v>144</v>
      </c>
      <c r="F125" s="1768" t="s">
        <v>1684</v>
      </c>
      <c r="G125" s="1768" t="s">
        <v>140</v>
      </c>
      <c r="H125" s="1768"/>
      <c r="I125" s="1768"/>
      <c r="J125" s="1768"/>
      <c r="K125" s="1769" t="s">
        <v>154</v>
      </c>
      <c r="L125" s="1770">
        <f>SUM(L126:L128)</f>
        <v>0</v>
      </c>
      <c r="M125" s="1770">
        <f t="shared" ref="M125:N125" si="267">SUM(M126:M128)</f>
        <v>0</v>
      </c>
      <c r="N125" s="1770">
        <f t="shared" si="267"/>
        <v>0</v>
      </c>
      <c r="O125" s="1770">
        <f t="shared" si="149"/>
        <v>0</v>
      </c>
      <c r="P125" s="1778">
        <f t="shared" ref="P125:T125" si="268">SUM(P126)</f>
        <v>0</v>
      </c>
      <c r="Q125" s="1771" t="e">
        <f t="shared" ref="Q125" si="269">+P125/L125</f>
        <v>#DIV/0!</v>
      </c>
      <c r="R125" s="1778">
        <f t="shared" si="268"/>
        <v>0</v>
      </c>
      <c r="S125" s="1771" t="e">
        <f>+R125/L125</f>
        <v>#DIV/0!</v>
      </c>
      <c r="T125" s="1778">
        <f t="shared" si="268"/>
        <v>0</v>
      </c>
      <c r="U125" s="1771" t="e">
        <f>+T125/L125</f>
        <v>#DIV/0!</v>
      </c>
      <c r="V125" s="1778">
        <f>SUM(V126:V128)</f>
        <v>0</v>
      </c>
      <c r="W125" s="1771" t="e">
        <f>+V125/L125</f>
        <v>#DIV/0!</v>
      </c>
      <c r="X125" s="1778">
        <f>SUM(X126:X128)</f>
        <v>0</v>
      </c>
      <c r="Y125" s="1778">
        <f>SUM(Y126:Y128)</f>
        <v>0</v>
      </c>
      <c r="Z125" s="1778">
        <f>SUM(Z126:Z128)</f>
        <v>0</v>
      </c>
      <c r="AA125" s="1778">
        <f t="shared" si="156"/>
        <v>0</v>
      </c>
      <c r="AB125" s="1876" t="e">
        <f t="shared" si="157"/>
        <v>#DIV/0!</v>
      </c>
    </row>
    <row r="126" spans="1:28" ht="22.5" hidden="1" customHeight="1" thickTop="1" thickBot="1">
      <c r="A126" s="1772">
        <v>1</v>
      </c>
      <c r="B126" s="1773" t="s">
        <v>127</v>
      </c>
      <c r="C126" s="1773" t="s">
        <v>127</v>
      </c>
      <c r="D126" s="1773" t="s">
        <v>134</v>
      </c>
      <c r="E126" s="1773" t="s">
        <v>144</v>
      </c>
      <c r="F126" s="1773" t="s">
        <v>1684</v>
      </c>
      <c r="G126" s="1773" t="s">
        <v>140</v>
      </c>
      <c r="H126" s="1773" t="s">
        <v>127</v>
      </c>
      <c r="I126" s="1773"/>
      <c r="J126" s="1773"/>
      <c r="K126" s="1776" t="s">
        <v>1720</v>
      </c>
      <c r="L126" s="1774"/>
      <c r="M126" s="1774"/>
      <c r="N126" s="1774"/>
      <c r="O126" s="1774">
        <f t="shared" si="149"/>
        <v>0</v>
      </c>
      <c r="P126" s="1777">
        <f t="shared" ref="P126:P128" si="270">+L126*Q126</f>
        <v>0</v>
      </c>
      <c r="Q126" s="1775"/>
      <c r="R126" s="1777">
        <f t="shared" ref="R126:R128" si="271">+L126*S126</f>
        <v>0</v>
      </c>
      <c r="S126" s="1775"/>
      <c r="T126" s="1777">
        <f t="shared" ref="T126:T128" si="272">+L126*U126</f>
        <v>0</v>
      </c>
      <c r="U126" s="1775"/>
      <c r="V126" s="1777">
        <f t="shared" si="245"/>
        <v>0</v>
      </c>
      <c r="W126" s="1775"/>
      <c r="X126" s="1777"/>
      <c r="Y126" s="1777"/>
      <c r="Z126" s="1777"/>
      <c r="AA126" s="1777">
        <f t="shared" si="156"/>
        <v>0</v>
      </c>
      <c r="AB126" s="1877" t="e">
        <f t="shared" si="157"/>
        <v>#DIV/0!</v>
      </c>
    </row>
    <row r="127" spans="1:28" ht="22.5" hidden="1" customHeight="1" thickTop="1" thickBot="1">
      <c r="A127" s="1772">
        <v>1</v>
      </c>
      <c r="B127" s="1773" t="s">
        <v>127</v>
      </c>
      <c r="C127" s="1773" t="s">
        <v>127</v>
      </c>
      <c r="D127" s="1773" t="s">
        <v>134</v>
      </c>
      <c r="E127" s="1773" t="s">
        <v>144</v>
      </c>
      <c r="F127" s="1773" t="s">
        <v>1684</v>
      </c>
      <c r="G127" s="1773" t="s">
        <v>140</v>
      </c>
      <c r="H127" s="1773" t="s">
        <v>209</v>
      </c>
      <c r="I127" s="1773"/>
      <c r="J127" s="1773"/>
      <c r="K127" s="1776" t="s">
        <v>1721</v>
      </c>
      <c r="L127" s="1774"/>
      <c r="M127" s="1774"/>
      <c r="N127" s="1774"/>
      <c r="O127" s="1774">
        <f t="shared" si="149"/>
        <v>0</v>
      </c>
      <c r="P127" s="1777">
        <f t="shared" si="270"/>
        <v>0</v>
      </c>
      <c r="Q127" s="1775"/>
      <c r="R127" s="1777">
        <f t="shared" si="271"/>
        <v>0</v>
      </c>
      <c r="S127" s="1775"/>
      <c r="T127" s="1777">
        <f t="shared" si="272"/>
        <v>0</v>
      </c>
      <c r="U127" s="1775"/>
      <c r="V127" s="1777">
        <f t="shared" si="245"/>
        <v>0</v>
      </c>
      <c r="W127" s="1775"/>
      <c r="X127" s="1777"/>
      <c r="Y127" s="1777"/>
      <c r="Z127" s="1777"/>
      <c r="AA127" s="1777">
        <f t="shared" si="156"/>
        <v>0</v>
      </c>
      <c r="AB127" s="1877" t="e">
        <f t="shared" si="157"/>
        <v>#DIV/0!</v>
      </c>
    </row>
    <row r="128" spans="1:28" ht="22.5" hidden="1" customHeight="1" thickTop="1" thickBot="1">
      <c r="A128" s="1772">
        <v>1</v>
      </c>
      <c r="B128" s="1773" t="s">
        <v>127</v>
      </c>
      <c r="C128" s="1773" t="s">
        <v>127</v>
      </c>
      <c r="D128" s="1773" t="s">
        <v>134</v>
      </c>
      <c r="E128" s="1773" t="s">
        <v>144</v>
      </c>
      <c r="F128" s="1773" t="s">
        <v>1684</v>
      </c>
      <c r="G128" s="1773" t="s">
        <v>140</v>
      </c>
      <c r="H128" s="1773" t="s">
        <v>1622</v>
      </c>
      <c r="I128" s="1773"/>
      <c r="J128" s="1773"/>
      <c r="K128" s="1776" t="s">
        <v>1722</v>
      </c>
      <c r="L128" s="1774"/>
      <c r="M128" s="1774"/>
      <c r="N128" s="1774"/>
      <c r="O128" s="1774">
        <f t="shared" si="149"/>
        <v>0</v>
      </c>
      <c r="P128" s="1777">
        <f t="shared" si="270"/>
        <v>0</v>
      </c>
      <c r="Q128" s="1775"/>
      <c r="R128" s="1777">
        <f t="shared" si="271"/>
        <v>0</v>
      </c>
      <c r="S128" s="1775"/>
      <c r="T128" s="1777">
        <f t="shared" si="272"/>
        <v>0</v>
      </c>
      <c r="U128" s="1775"/>
      <c r="V128" s="1777">
        <f t="shared" si="245"/>
        <v>0</v>
      </c>
      <c r="W128" s="1775"/>
      <c r="X128" s="1777"/>
      <c r="Y128" s="1777"/>
      <c r="Z128" s="1777"/>
      <c r="AA128" s="1777">
        <f t="shared" si="156"/>
        <v>0</v>
      </c>
      <c r="AB128" s="1877" t="e">
        <f t="shared" si="157"/>
        <v>#DIV/0!</v>
      </c>
    </row>
    <row r="129" spans="1:28" s="1729" customFormat="1" ht="22.5" hidden="1" customHeight="1" thickTop="1" thickBot="1">
      <c r="A129" s="1767">
        <v>1</v>
      </c>
      <c r="B129" s="1768" t="s">
        <v>127</v>
      </c>
      <c r="C129" s="1768" t="s">
        <v>127</v>
      </c>
      <c r="D129" s="1768" t="s">
        <v>134</v>
      </c>
      <c r="E129" s="1768" t="s">
        <v>144</v>
      </c>
      <c r="F129" s="1768" t="s">
        <v>1684</v>
      </c>
      <c r="G129" s="1768" t="s">
        <v>144</v>
      </c>
      <c r="H129" s="1768"/>
      <c r="I129" s="1768"/>
      <c r="J129" s="1768"/>
      <c r="K129" s="1769" t="s">
        <v>1723</v>
      </c>
      <c r="L129" s="1770">
        <f>SUM(L130:L132)</f>
        <v>0</v>
      </c>
      <c r="M129" s="1770">
        <f t="shared" ref="M129:N129" si="273">SUM(M130:M132)</f>
        <v>0</v>
      </c>
      <c r="N129" s="1770">
        <f t="shared" si="273"/>
        <v>0</v>
      </c>
      <c r="O129" s="1770">
        <f t="shared" si="149"/>
        <v>0</v>
      </c>
      <c r="P129" s="1778">
        <f t="shared" ref="P129:V129" si="274">SUM(P130:P132)</f>
        <v>0</v>
      </c>
      <c r="Q129" s="1771" t="e">
        <f t="shared" ref="Q129" si="275">+P129/L129</f>
        <v>#DIV/0!</v>
      </c>
      <c r="R129" s="1778">
        <f t="shared" si="274"/>
        <v>0</v>
      </c>
      <c r="S129" s="1771" t="e">
        <f>+R129/L129</f>
        <v>#DIV/0!</v>
      </c>
      <c r="T129" s="1778">
        <f t="shared" si="274"/>
        <v>0</v>
      </c>
      <c r="U129" s="1771" t="e">
        <f>+T129/L129</f>
        <v>#DIV/0!</v>
      </c>
      <c r="V129" s="1778">
        <f t="shared" si="274"/>
        <v>0</v>
      </c>
      <c r="W129" s="1771" t="e">
        <f>+V129/L129</f>
        <v>#DIV/0!</v>
      </c>
      <c r="X129" s="1778">
        <f t="shared" ref="X129:Z129" si="276">SUM(X130:X132)</f>
        <v>0</v>
      </c>
      <c r="Y129" s="1778">
        <f t="shared" si="276"/>
        <v>0</v>
      </c>
      <c r="Z129" s="1778">
        <f t="shared" si="276"/>
        <v>0</v>
      </c>
      <c r="AA129" s="1778">
        <f t="shared" si="156"/>
        <v>0</v>
      </c>
      <c r="AB129" s="1876" t="e">
        <f t="shared" si="157"/>
        <v>#DIV/0!</v>
      </c>
    </row>
    <row r="130" spans="1:28" ht="22.5" hidden="1" customHeight="1" thickTop="1" thickBot="1">
      <c r="A130" s="1772">
        <v>1</v>
      </c>
      <c r="B130" s="1773" t="s">
        <v>127</v>
      </c>
      <c r="C130" s="1773" t="s">
        <v>127</v>
      </c>
      <c r="D130" s="1773" t="s">
        <v>134</v>
      </c>
      <c r="E130" s="1773" t="s">
        <v>144</v>
      </c>
      <c r="F130" s="1773" t="s">
        <v>1684</v>
      </c>
      <c r="G130" s="1773" t="s">
        <v>144</v>
      </c>
      <c r="H130" s="1773" t="s">
        <v>127</v>
      </c>
      <c r="I130" s="1773"/>
      <c r="J130" s="1773"/>
      <c r="K130" s="1776" t="s">
        <v>1724</v>
      </c>
      <c r="L130" s="1774"/>
      <c r="M130" s="1774"/>
      <c r="N130" s="1774"/>
      <c r="O130" s="1774">
        <f t="shared" si="149"/>
        <v>0</v>
      </c>
      <c r="P130" s="1777">
        <f t="shared" ref="P130:P132" si="277">+L130*Q130</f>
        <v>0</v>
      </c>
      <c r="Q130" s="1775"/>
      <c r="R130" s="1777">
        <f t="shared" ref="R130:R132" si="278">+L130*S130</f>
        <v>0</v>
      </c>
      <c r="S130" s="1775"/>
      <c r="T130" s="1777">
        <f t="shared" ref="T130:T132" si="279">+L130*U130</f>
        <v>0</v>
      </c>
      <c r="U130" s="1775"/>
      <c r="V130" s="1777">
        <f t="shared" si="245"/>
        <v>0</v>
      </c>
      <c r="W130" s="1775"/>
      <c r="X130" s="1777"/>
      <c r="Y130" s="1777"/>
      <c r="Z130" s="1777"/>
      <c r="AA130" s="1777">
        <f t="shared" si="156"/>
        <v>0</v>
      </c>
      <c r="AB130" s="1877" t="e">
        <f t="shared" si="157"/>
        <v>#DIV/0!</v>
      </c>
    </row>
    <row r="131" spans="1:28" ht="22.5" hidden="1" customHeight="1" thickTop="1" thickBot="1">
      <c r="A131" s="1772">
        <v>1</v>
      </c>
      <c r="B131" s="1773" t="s">
        <v>127</v>
      </c>
      <c r="C131" s="1773" t="s">
        <v>127</v>
      </c>
      <c r="D131" s="1773" t="s">
        <v>134</v>
      </c>
      <c r="E131" s="1773" t="s">
        <v>144</v>
      </c>
      <c r="F131" s="1773" t="s">
        <v>1684</v>
      </c>
      <c r="G131" s="1773" t="s">
        <v>144</v>
      </c>
      <c r="H131" s="1773" t="s">
        <v>209</v>
      </c>
      <c r="I131" s="1773"/>
      <c r="J131" s="1773"/>
      <c r="K131" s="1776" t="s">
        <v>1725</v>
      </c>
      <c r="L131" s="1774"/>
      <c r="M131" s="1774"/>
      <c r="N131" s="1774"/>
      <c r="O131" s="1774">
        <f t="shared" si="149"/>
        <v>0</v>
      </c>
      <c r="P131" s="1777">
        <f t="shared" si="277"/>
        <v>0</v>
      </c>
      <c r="Q131" s="1775"/>
      <c r="R131" s="1777">
        <f t="shared" si="278"/>
        <v>0</v>
      </c>
      <c r="S131" s="1775"/>
      <c r="T131" s="1777">
        <f t="shared" si="279"/>
        <v>0</v>
      </c>
      <c r="U131" s="1775"/>
      <c r="V131" s="1777">
        <f t="shared" si="245"/>
        <v>0</v>
      </c>
      <c r="W131" s="1775"/>
      <c r="X131" s="1777"/>
      <c r="Y131" s="1777"/>
      <c r="Z131" s="1777"/>
      <c r="AA131" s="1777">
        <f t="shared" si="156"/>
        <v>0</v>
      </c>
      <c r="AB131" s="1877" t="e">
        <f t="shared" si="157"/>
        <v>#DIV/0!</v>
      </c>
    </row>
    <row r="132" spans="1:28" ht="22.5" hidden="1" customHeight="1" thickTop="1" thickBot="1">
      <c r="A132" s="1772">
        <v>1</v>
      </c>
      <c r="B132" s="1773" t="s">
        <v>127</v>
      </c>
      <c r="C132" s="1773" t="s">
        <v>127</v>
      </c>
      <c r="D132" s="1773" t="s">
        <v>134</v>
      </c>
      <c r="E132" s="1773" t="s">
        <v>144</v>
      </c>
      <c r="F132" s="1773" t="s">
        <v>1684</v>
      </c>
      <c r="G132" s="1773" t="s">
        <v>144</v>
      </c>
      <c r="H132" s="1773" t="s">
        <v>1622</v>
      </c>
      <c r="I132" s="1773"/>
      <c r="J132" s="1773"/>
      <c r="K132" s="1776" t="s">
        <v>1726</v>
      </c>
      <c r="L132" s="1774"/>
      <c r="M132" s="1774"/>
      <c r="N132" s="1774"/>
      <c r="O132" s="1774">
        <f t="shared" si="149"/>
        <v>0</v>
      </c>
      <c r="P132" s="1777">
        <f t="shared" si="277"/>
        <v>0</v>
      </c>
      <c r="Q132" s="1775"/>
      <c r="R132" s="1777">
        <f t="shared" si="278"/>
        <v>0</v>
      </c>
      <c r="S132" s="1775"/>
      <c r="T132" s="1777">
        <f t="shared" si="279"/>
        <v>0</v>
      </c>
      <c r="U132" s="1775"/>
      <c r="V132" s="1777">
        <f t="shared" si="245"/>
        <v>0</v>
      </c>
      <c r="W132" s="1775"/>
      <c r="X132" s="1777"/>
      <c r="Y132" s="1777"/>
      <c r="Z132" s="1777"/>
      <c r="AA132" s="1777">
        <f t="shared" si="156"/>
        <v>0</v>
      </c>
      <c r="AB132" s="1877" t="e">
        <f t="shared" si="157"/>
        <v>#DIV/0!</v>
      </c>
    </row>
    <row r="133" spans="1:28" s="1729" customFormat="1" ht="22.5" hidden="1" customHeight="1" thickTop="1" thickBot="1">
      <c r="A133" s="1767">
        <v>1</v>
      </c>
      <c r="B133" s="1768" t="s">
        <v>127</v>
      </c>
      <c r="C133" s="1768" t="s">
        <v>127</v>
      </c>
      <c r="D133" s="1768" t="s">
        <v>134</v>
      </c>
      <c r="E133" s="1768" t="s">
        <v>144</v>
      </c>
      <c r="F133" s="1768" t="s">
        <v>1684</v>
      </c>
      <c r="G133" s="1768" t="s">
        <v>145</v>
      </c>
      <c r="H133" s="1768"/>
      <c r="I133" s="1768"/>
      <c r="J133" s="1768"/>
      <c r="K133" s="1769" t="s">
        <v>1727</v>
      </c>
      <c r="L133" s="1770">
        <f>SUM(L134:L136)</f>
        <v>0</v>
      </c>
      <c r="M133" s="1770">
        <f t="shared" ref="M133:N133" si="280">SUM(M134:M136)</f>
        <v>0</v>
      </c>
      <c r="N133" s="1770">
        <f t="shared" si="280"/>
        <v>0</v>
      </c>
      <c r="O133" s="1770">
        <f t="shared" si="149"/>
        <v>0</v>
      </c>
      <c r="P133" s="1778">
        <f t="shared" ref="P133:V133" si="281">SUM(P134:P136)</f>
        <v>0</v>
      </c>
      <c r="Q133" s="1771" t="e">
        <f t="shared" ref="Q133" si="282">+P133/L133</f>
        <v>#DIV/0!</v>
      </c>
      <c r="R133" s="1778">
        <f t="shared" si="281"/>
        <v>0</v>
      </c>
      <c r="S133" s="1771" t="e">
        <f>+R133/L133</f>
        <v>#DIV/0!</v>
      </c>
      <c r="T133" s="1778">
        <f t="shared" si="281"/>
        <v>0</v>
      </c>
      <c r="U133" s="1771" t="e">
        <f>+T133/L133</f>
        <v>#DIV/0!</v>
      </c>
      <c r="V133" s="1778">
        <f t="shared" si="281"/>
        <v>0</v>
      </c>
      <c r="W133" s="1771" t="e">
        <f>+V133/L133</f>
        <v>#DIV/0!</v>
      </c>
      <c r="X133" s="1778">
        <f t="shared" ref="X133:Z133" si="283">SUM(X134:X136)</f>
        <v>0</v>
      </c>
      <c r="Y133" s="1778">
        <f t="shared" si="283"/>
        <v>0</v>
      </c>
      <c r="Z133" s="1778">
        <f t="shared" si="283"/>
        <v>0</v>
      </c>
      <c r="AA133" s="1778">
        <f t="shared" si="156"/>
        <v>0</v>
      </c>
      <c r="AB133" s="1876" t="e">
        <f t="shared" si="157"/>
        <v>#DIV/0!</v>
      </c>
    </row>
    <row r="134" spans="1:28" ht="22.5" hidden="1" customHeight="1" thickTop="1" thickBot="1">
      <c r="A134" s="1772">
        <v>1</v>
      </c>
      <c r="B134" s="1773" t="s">
        <v>127</v>
      </c>
      <c r="C134" s="1773" t="s">
        <v>127</v>
      </c>
      <c r="D134" s="1773" t="s">
        <v>134</v>
      </c>
      <c r="E134" s="1773" t="s">
        <v>144</v>
      </c>
      <c r="F134" s="1773" t="s">
        <v>1684</v>
      </c>
      <c r="G134" s="1773" t="s">
        <v>145</v>
      </c>
      <c r="H134" s="1773" t="s">
        <v>127</v>
      </c>
      <c r="I134" s="1773"/>
      <c r="J134" s="1773"/>
      <c r="K134" s="1776" t="s">
        <v>1728</v>
      </c>
      <c r="L134" s="1774"/>
      <c r="M134" s="1774"/>
      <c r="N134" s="1774"/>
      <c r="O134" s="1774">
        <f t="shared" si="149"/>
        <v>0</v>
      </c>
      <c r="P134" s="1777">
        <f t="shared" ref="P134:P136" si="284">+L134*Q134</f>
        <v>0</v>
      </c>
      <c r="Q134" s="1775"/>
      <c r="R134" s="1777">
        <f t="shared" ref="R134:R136" si="285">+L134*S134</f>
        <v>0</v>
      </c>
      <c r="S134" s="1775"/>
      <c r="T134" s="1777">
        <f t="shared" ref="T134:T136" si="286">+L134*U134</f>
        <v>0</v>
      </c>
      <c r="U134" s="1775"/>
      <c r="V134" s="1777">
        <f t="shared" si="245"/>
        <v>0</v>
      </c>
      <c r="W134" s="1775"/>
      <c r="X134" s="1777"/>
      <c r="Y134" s="1777"/>
      <c r="Z134" s="1777"/>
      <c r="AA134" s="1777">
        <f t="shared" si="156"/>
        <v>0</v>
      </c>
      <c r="AB134" s="1877" t="e">
        <f t="shared" si="157"/>
        <v>#DIV/0!</v>
      </c>
    </row>
    <row r="135" spans="1:28" ht="22.5" hidden="1" customHeight="1" thickTop="1" thickBot="1">
      <c r="A135" s="1772">
        <v>1</v>
      </c>
      <c r="B135" s="1773" t="s">
        <v>127</v>
      </c>
      <c r="C135" s="1773" t="s">
        <v>127</v>
      </c>
      <c r="D135" s="1773" t="s">
        <v>134</v>
      </c>
      <c r="E135" s="1773" t="s">
        <v>144</v>
      </c>
      <c r="F135" s="1773" t="s">
        <v>1684</v>
      </c>
      <c r="G135" s="1773" t="s">
        <v>145</v>
      </c>
      <c r="H135" s="1773" t="s">
        <v>209</v>
      </c>
      <c r="I135" s="1773"/>
      <c r="J135" s="1773"/>
      <c r="K135" s="1776" t="s">
        <v>1729</v>
      </c>
      <c r="L135" s="1774"/>
      <c r="M135" s="1774"/>
      <c r="N135" s="1774"/>
      <c r="O135" s="1774">
        <f t="shared" si="149"/>
        <v>0</v>
      </c>
      <c r="P135" s="1777">
        <f t="shared" si="284"/>
        <v>0</v>
      </c>
      <c r="Q135" s="1775"/>
      <c r="R135" s="1777">
        <f t="shared" si="285"/>
        <v>0</v>
      </c>
      <c r="S135" s="1775"/>
      <c r="T135" s="1777">
        <f t="shared" si="286"/>
        <v>0</v>
      </c>
      <c r="U135" s="1775"/>
      <c r="V135" s="1777">
        <f t="shared" si="245"/>
        <v>0</v>
      </c>
      <c r="W135" s="1775"/>
      <c r="X135" s="1777"/>
      <c r="Y135" s="1777"/>
      <c r="Z135" s="1777"/>
      <c r="AA135" s="1777">
        <f t="shared" si="156"/>
        <v>0</v>
      </c>
      <c r="AB135" s="1877" t="e">
        <f t="shared" si="157"/>
        <v>#DIV/0!</v>
      </c>
    </row>
    <row r="136" spans="1:28" ht="22.5" hidden="1" customHeight="1" thickTop="1" thickBot="1">
      <c r="A136" s="1772">
        <v>1</v>
      </c>
      <c r="B136" s="1773" t="s">
        <v>127</v>
      </c>
      <c r="C136" s="1773" t="s">
        <v>127</v>
      </c>
      <c r="D136" s="1773" t="s">
        <v>134</v>
      </c>
      <c r="E136" s="1773" t="s">
        <v>144</v>
      </c>
      <c r="F136" s="1773" t="s">
        <v>1684</v>
      </c>
      <c r="G136" s="1773" t="s">
        <v>145</v>
      </c>
      <c r="H136" s="1773" t="s">
        <v>1622</v>
      </c>
      <c r="I136" s="1773"/>
      <c r="J136" s="1773"/>
      <c r="K136" s="1776" t="s">
        <v>1730</v>
      </c>
      <c r="L136" s="1774"/>
      <c r="M136" s="1774"/>
      <c r="N136" s="1774"/>
      <c r="O136" s="1774">
        <f t="shared" ref="O136:O199" si="287">+L136+M136-N136</f>
        <v>0</v>
      </c>
      <c r="P136" s="1777">
        <f t="shared" si="284"/>
        <v>0</v>
      </c>
      <c r="Q136" s="1775"/>
      <c r="R136" s="1777">
        <f t="shared" si="285"/>
        <v>0</v>
      </c>
      <c r="S136" s="1775"/>
      <c r="T136" s="1777">
        <f t="shared" si="286"/>
        <v>0</v>
      </c>
      <c r="U136" s="1775"/>
      <c r="V136" s="1777">
        <f t="shared" si="245"/>
        <v>0</v>
      </c>
      <c r="W136" s="1775"/>
      <c r="X136" s="1777"/>
      <c r="Y136" s="1777"/>
      <c r="Z136" s="1777"/>
      <c r="AA136" s="1777">
        <f t="shared" ref="AA136:AA199" si="288">+Y136+Z136</f>
        <v>0</v>
      </c>
      <c r="AB136" s="1877" t="e">
        <f t="shared" ref="AB136:AB199" si="289">+AA136/X136</f>
        <v>#DIV/0!</v>
      </c>
    </row>
    <row r="137" spans="1:28" s="1729" customFormat="1" ht="22.5" hidden="1" customHeight="1" thickTop="1" thickBot="1">
      <c r="A137" s="1767">
        <v>1</v>
      </c>
      <c r="B137" s="1768" t="s">
        <v>127</v>
      </c>
      <c r="C137" s="1768" t="s">
        <v>127</v>
      </c>
      <c r="D137" s="1768" t="s">
        <v>134</v>
      </c>
      <c r="E137" s="1768" t="s">
        <v>144</v>
      </c>
      <c r="F137" s="1768" t="s">
        <v>1684</v>
      </c>
      <c r="G137" s="1768" t="s">
        <v>146</v>
      </c>
      <c r="H137" s="1768"/>
      <c r="I137" s="1768"/>
      <c r="J137" s="1768"/>
      <c r="K137" s="1769" t="s">
        <v>1731</v>
      </c>
      <c r="L137" s="1770">
        <f>SUM(L138:L140)</f>
        <v>0</v>
      </c>
      <c r="M137" s="1770">
        <f t="shared" ref="M137:N137" si="290">SUM(M138:M140)</f>
        <v>0</v>
      </c>
      <c r="N137" s="1770">
        <f t="shared" si="290"/>
        <v>0</v>
      </c>
      <c r="O137" s="1770">
        <f t="shared" si="287"/>
        <v>0</v>
      </c>
      <c r="P137" s="1778">
        <f t="shared" ref="P137:V137" si="291">SUM(P138:P140)</f>
        <v>0</v>
      </c>
      <c r="Q137" s="1771" t="e">
        <f t="shared" ref="Q137" si="292">+P137/L137</f>
        <v>#DIV/0!</v>
      </c>
      <c r="R137" s="1778">
        <f t="shared" si="291"/>
        <v>0</v>
      </c>
      <c r="S137" s="1771" t="e">
        <f>+R137/L137</f>
        <v>#DIV/0!</v>
      </c>
      <c r="T137" s="1778">
        <f t="shared" si="291"/>
        <v>0</v>
      </c>
      <c r="U137" s="1771" t="e">
        <f>+T137/L137</f>
        <v>#DIV/0!</v>
      </c>
      <c r="V137" s="1778">
        <f t="shared" si="291"/>
        <v>0</v>
      </c>
      <c r="W137" s="1771" t="e">
        <f>+V137/L137</f>
        <v>#DIV/0!</v>
      </c>
      <c r="X137" s="1778">
        <f t="shared" ref="X137:Z137" si="293">SUM(X138:X140)</f>
        <v>0</v>
      </c>
      <c r="Y137" s="1778">
        <f t="shared" si="293"/>
        <v>0</v>
      </c>
      <c r="Z137" s="1778">
        <f t="shared" si="293"/>
        <v>0</v>
      </c>
      <c r="AA137" s="1778">
        <f t="shared" si="288"/>
        <v>0</v>
      </c>
      <c r="AB137" s="1876" t="e">
        <f t="shared" si="289"/>
        <v>#DIV/0!</v>
      </c>
    </row>
    <row r="138" spans="1:28" ht="22.5" hidden="1" customHeight="1" thickTop="1" thickBot="1">
      <c r="A138" s="1772">
        <v>1</v>
      </c>
      <c r="B138" s="1773" t="s">
        <v>127</v>
      </c>
      <c r="C138" s="1773" t="s">
        <v>127</v>
      </c>
      <c r="D138" s="1773" t="s">
        <v>134</v>
      </c>
      <c r="E138" s="1773" t="s">
        <v>144</v>
      </c>
      <c r="F138" s="1773" t="s">
        <v>1684</v>
      </c>
      <c r="G138" s="1773" t="s">
        <v>146</v>
      </c>
      <c r="H138" s="1773" t="s">
        <v>127</v>
      </c>
      <c r="I138" s="1773"/>
      <c r="J138" s="1773"/>
      <c r="K138" s="1776" t="s">
        <v>1732</v>
      </c>
      <c r="L138" s="1774"/>
      <c r="M138" s="1774"/>
      <c r="N138" s="1774"/>
      <c r="O138" s="1774">
        <f t="shared" si="287"/>
        <v>0</v>
      </c>
      <c r="P138" s="1777">
        <f t="shared" ref="P138:P140" si="294">+L138*Q138</f>
        <v>0</v>
      </c>
      <c r="Q138" s="1775"/>
      <c r="R138" s="1777">
        <f t="shared" ref="R138:R140" si="295">+L138*S138</f>
        <v>0</v>
      </c>
      <c r="S138" s="1775"/>
      <c r="T138" s="1777">
        <f t="shared" ref="T138:T140" si="296">+L138*U138</f>
        <v>0</v>
      </c>
      <c r="U138" s="1775"/>
      <c r="V138" s="1777">
        <f t="shared" si="245"/>
        <v>0</v>
      </c>
      <c r="W138" s="1775"/>
      <c r="X138" s="1777"/>
      <c r="Y138" s="1777"/>
      <c r="Z138" s="1777"/>
      <c r="AA138" s="1777">
        <f t="shared" si="288"/>
        <v>0</v>
      </c>
      <c r="AB138" s="1877" t="e">
        <f t="shared" si="289"/>
        <v>#DIV/0!</v>
      </c>
    </row>
    <row r="139" spans="1:28" ht="22.5" hidden="1" customHeight="1" thickTop="1" thickBot="1">
      <c r="A139" s="1772">
        <v>1</v>
      </c>
      <c r="B139" s="1773" t="s">
        <v>127</v>
      </c>
      <c r="C139" s="1773" t="s">
        <v>127</v>
      </c>
      <c r="D139" s="1773" t="s">
        <v>134</v>
      </c>
      <c r="E139" s="1773" t="s">
        <v>144</v>
      </c>
      <c r="F139" s="1773" t="s">
        <v>1684</v>
      </c>
      <c r="G139" s="1773" t="s">
        <v>146</v>
      </c>
      <c r="H139" s="1773" t="s">
        <v>209</v>
      </c>
      <c r="I139" s="1773"/>
      <c r="J139" s="1773"/>
      <c r="K139" s="1776" t="s">
        <v>1733</v>
      </c>
      <c r="L139" s="1774"/>
      <c r="M139" s="1774"/>
      <c r="N139" s="1774"/>
      <c r="O139" s="1774">
        <f t="shared" si="287"/>
        <v>0</v>
      </c>
      <c r="P139" s="1777">
        <f t="shared" si="294"/>
        <v>0</v>
      </c>
      <c r="Q139" s="1775"/>
      <c r="R139" s="1777">
        <f t="shared" si="295"/>
        <v>0</v>
      </c>
      <c r="S139" s="1775"/>
      <c r="T139" s="1777">
        <f t="shared" si="296"/>
        <v>0</v>
      </c>
      <c r="U139" s="1775"/>
      <c r="V139" s="1777">
        <f t="shared" si="245"/>
        <v>0</v>
      </c>
      <c r="W139" s="1775"/>
      <c r="X139" s="1777"/>
      <c r="Y139" s="1777"/>
      <c r="Z139" s="1777"/>
      <c r="AA139" s="1777">
        <f t="shared" si="288"/>
        <v>0</v>
      </c>
      <c r="AB139" s="1877" t="e">
        <f t="shared" si="289"/>
        <v>#DIV/0!</v>
      </c>
    </row>
    <row r="140" spans="1:28" ht="22.5" hidden="1" customHeight="1" thickTop="1" thickBot="1">
      <c r="A140" s="1772">
        <v>1</v>
      </c>
      <c r="B140" s="1773" t="s">
        <v>127</v>
      </c>
      <c r="C140" s="1773" t="s">
        <v>127</v>
      </c>
      <c r="D140" s="1773" t="s">
        <v>134</v>
      </c>
      <c r="E140" s="1773" t="s">
        <v>144</v>
      </c>
      <c r="F140" s="1773" t="s">
        <v>1684</v>
      </c>
      <c r="G140" s="1773" t="s">
        <v>146</v>
      </c>
      <c r="H140" s="1773" t="s">
        <v>1622</v>
      </c>
      <c r="I140" s="1773"/>
      <c r="J140" s="1773"/>
      <c r="K140" s="1776" t="s">
        <v>1734</v>
      </c>
      <c r="L140" s="1774"/>
      <c r="M140" s="1774"/>
      <c r="N140" s="1774"/>
      <c r="O140" s="1774">
        <f t="shared" si="287"/>
        <v>0</v>
      </c>
      <c r="P140" s="1777">
        <f t="shared" si="294"/>
        <v>0</v>
      </c>
      <c r="Q140" s="1775"/>
      <c r="R140" s="1777">
        <f t="shared" si="295"/>
        <v>0</v>
      </c>
      <c r="S140" s="1775"/>
      <c r="T140" s="1777">
        <f t="shared" si="296"/>
        <v>0</v>
      </c>
      <c r="U140" s="1775"/>
      <c r="V140" s="1777">
        <f t="shared" si="245"/>
        <v>0</v>
      </c>
      <c r="W140" s="1775"/>
      <c r="X140" s="1777"/>
      <c r="Y140" s="1777"/>
      <c r="Z140" s="1777"/>
      <c r="AA140" s="1777">
        <f t="shared" si="288"/>
        <v>0</v>
      </c>
      <c r="AB140" s="1877" t="e">
        <f t="shared" si="289"/>
        <v>#DIV/0!</v>
      </c>
    </row>
    <row r="141" spans="1:28" s="1729" customFormat="1" ht="22.5" hidden="1" customHeight="1" thickTop="1" thickBot="1">
      <c r="A141" s="1767">
        <v>1</v>
      </c>
      <c r="B141" s="1768" t="s">
        <v>127</v>
      </c>
      <c r="C141" s="1768" t="s">
        <v>127</v>
      </c>
      <c r="D141" s="1768" t="s">
        <v>134</v>
      </c>
      <c r="E141" s="1768" t="s">
        <v>144</v>
      </c>
      <c r="F141" s="1768" t="s">
        <v>1684</v>
      </c>
      <c r="G141" s="1768" t="s">
        <v>147</v>
      </c>
      <c r="H141" s="1768"/>
      <c r="I141" s="1768"/>
      <c r="J141" s="1768"/>
      <c r="K141" s="1769" t="s">
        <v>1735</v>
      </c>
      <c r="L141" s="1770">
        <f>SUM(L142:L144)</f>
        <v>0</v>
      </c>
      <c r="M141" s="1770">
        <f t="shared" ref="M141:N141" si="297">SUM(M142:M144)</f>
        <v>0</v>
      </c>
      <c r="N141" s="1770">
        <f t="shared" si="297"/>
        <v>0</v>
      </c>
      <c r="O141" s="1770">
        <f t="shared" si="287"/>
        <v>0</v>
      </c>
      <c r="P141" s="1778">
        <f t="shared" ref="P141:V141" si="298">SUM(P142:P144)</f>
        <v>0</v>
      </c>
      <c r="Q141" s="1771" t="e">
        <f t="shared" ref="Q141" si="299">+P141/L141</f>
        <v>#DIV/0!</v>
      </c>
      <c r="R141" s="1778">
        <f t="shared" si="298"/>
        <v>0</v>
      </c>
      <c r="S141" s="1771" t="e">
        <f>+R141/L141</f>
        <v>#DIV/0!</v>
      </c>
      <c r="T141" s="1778">
        <f t="shared" si="298"/>
        <v>0</v>
      </c>
      <c r="U141" s="1771" t="e">
        <f>+T141/L141</f>
        <v>#DIV/0!</v>
      </c>
      <c r="V141" s="1778">
        <f t="shared" si="298"/>
        <v>0</v>
      </c>
      <c r="W141" s="1771" t="e">
        <f>+V141/L141</f>
        <v>#DIV/0!</v>
      </c>
      <c r="X141" s="1778">
        <f t="shared" ref="X141:Z141" si="300">SUM(X142:X144)</f>
        <v>0</v>
      </c>
      <c r="Y141" s="1778">
        <f t="shared" si="300"/>
        <v>0</v>
      </c>
      <c r="Z141" s="1778">
        <f t="shared" si="300"/>
        <v>0</v>
      </c>
      <c r="AA141" s="1778">
        <f t="shared" si="288"/>
        <v>0</v>
      </c>
      <c r="AB141" s="1876" t="e">
        <f t="shared" si="289"/>
        <v>#DIV/0!</v>
      </c>
    </row>
    <row r="142" spans="1:28" ht="22.5" hidden="1" customHeight="1" thickTop="1" thickBot="1">
      <c r="A142" s="1772">
        <v>1</v>
      </c>
      <c r="B142" s="1773" t="s">
        <v>127</v>
      </c>
      <c r="C142" s="1773" t="s">
        <v>127</v>
      </c>
      <c r="D142" s="1773" t="s">
        <v>134</v>
      </c>
      <c r="E142" s="1773" t="s">
        <v>144</v>
      </c>
      <c r="F142" s="1773" t="s">
        <v>1684</v>
      </c>
      <c r="G142" s="1773" t="s">
        <v>147</v>
      </c>
      <c r="H142" s="1773" t="s">
        <v>127</v>
      </c>
      <c r="I142" s="1773"/>
      <c r="J142" s="1773"/>
      <c r="K142" s="1776" t="s">
        <v>1736</v>
      </c>
      <c r="L142" s="1774"/>
      <c r="M142" s="1774"/>
      <c r="N142" s="1774"/>
      <c r="O142" s="1774">
        <f t="shared" si="287"/>
        <v>0</v>
      </c>
      <c r="P142" s="1777">
        <f t="shared" ref="P142:P144" si="301">+L142*Q142</f>
        <v>0</v>
      </c>
      <c r="Q142" s="1775"/>
      <c r="R142" s="1777">
        <f t="shared" ref="R142:R144" si="302">+L142*S142</f>
        <v>0</v>
      </c>
      <c r="S142" s="1775"/>
      <c r="T142" s="1777">
        <f t="shared" ref="T142:T144" si="303">+L142*U142</f>
        <v>0</v>
      </c>
      <c r="U142" s="1775"/>
      <c r="V142" s="1777">
        <f t="shared" si="245"/>
        <v>0</v>
      </c>
      <c r="W142" s="1775"/>
      <c r="X142" s="1777"/>
      <c r="Y142" s="1777"/>
      <c r="Z142" s="1777"/>
      <c r="AA142" s="1777">
        <f t="shared" si="288"/>
        <v>0</v>
      </c>
      <c r="AB142" s="1877" t="e">
        <f t="shared" si="289"/>
        <v>#DIV/0!</v>
      </c>
    </row>
    <row r="143" spans="1:28" ht="22.5" hidden="1" customHeight="1" thickTop="1" thickBot="1">
      <c r="A143" s="1772">
        <v>1</v>
      </c>
      <c r="B143" s="1773" t="s">
        <v>127</v>
      </c>
      <c r="C143" s="1773" t="s">
        <v>127</v>
      </c>
      <c r="D143" s="1773" t="s">
        <v>134</v>
      </c>
      <c r="E143" s="1773" t="s">
        <v>144</v>
      </c>
      <c r="F143" s="1773" t="s">
        <v>1684</v>
      </c>
      <c r="G143" s="1773" t="s">
        <v>147</v>
      </c>
      <c r="H143" s="1773" t="s">
        <v>209</v>
      </c>
      <c r="I143" s="1773"/>
      <c r="J143" s="1773"/>
      <c r="K143" s="1776" t="s">
        <v>1737</v>
      </c>
      <c r="L143" s="1774"/>
      <c r="M143" s="1774"/>
      <c r="N143" s="1774"/>
      <c r="O143" s="1774">
        <f t="shared" si="287"/>
        <v>0</v>
      </c>
      <c r="P143" s="1777">
        <f t="shared" si="301"/>
        <v>0</v>
      </c>
      <c r="Q143" s="1775"/>
      <c r="R143" s="1777">
        <f t="shared" si="302"/>
        <v>0</v>
      </c>
      <c r="S143" s="1775"/>
      <c r="T143" s="1777">
        <f t="shared" si="303"/>
        <v>0</v>
      </c>
      <c r="U143" s="1775"/>
      <c r="V143" s="1777">
        <f t="shared" si="245"/>
        <v>0</v>
      </c>
      <c r="W143" s="1775"/>
      <c r="X143" s="1777"/>
      <c r="Y143" s="1777"/>
      <c r="Z143" s="1777"/>
      <c r="AA143" s="1777">
        <f t="shared" si="288"/>
        <v>0</v>
      </c>
      <c r="AB143" s="1877" t="e">
        <f t="shared" si="289"/>
        <v>#DIV/0!</v>
      </c>
    </row>
    <row r="144" spans="1:28" ht="22.5" hidden="1" customHeight="1" thickTop="1" thickBot="1">
      <c r="A144" s="1772">
        <v>1</v>
      </c>
      <c r="B144" s="1773" t="s">
        <v>127</v>
      </c>
      <c r="C144" s="1773" t="s">
        <v>127</v>
      </c>
      <c r="D144" s="1773" t="s">
        <v>134</v>
      </c>
      <c r="E144" s="1773" t="s">
        <v>144</v>
      </c>
      <c r="F144" s="1773" t="s">
        <v>1684</v>
      </c>
      <c r="G144" s="1773" t="s">
        <v>147</v>
      </c>
      <c r="H144" s="1773" t="s">
        <v>1622</v>
      </c>
      <c r="I144" s="1773"/>
      <c r="J144" s="1773"/>
      <c r="K144" s="1776" t="s">
        <v>1738</v>
      </c>
      <c r="L144" s="1774"/>
      <c r="M144" s="1774"/>
      <c r="N144" s="1774"/>
      <c r="O144" s="1774">
        <f t="shared" si="287"/>
        <v>0</v>
      </c>
      <c r="P144" s="1777">
        <f t="shared" si="301"/>
        <v>0</v>
      </c>
      <c r="Q144" s="1775"/>
      <c r="R144" s="1777">
        <f t="shared" si="302"/>
        <v>0</v>
      </c>
      <c r="S144" s="1775"/>
      <c r="T144" s="1777">
        <f t="shared" si="303"/>
        <v>0</v>
      </c>
      <c r="U144" s="1775"/>
      <c r="V144" s="1777">
        <f t="shared" si="245"/>
        <v>0</v>
      </c>
      <c r="W144" s="1775"/>
      <c r="X144" s="1777"/>
      <c r="Y144" s="1777"/>
      <c r="Z144" s="1777"/>
      <c r="AA144" s="1777">
        <f t="shared" si="288"/>
        <v>0</v>
      </c>
      <c r="AB144" s="1877" t="e">
        <f t="shared" si="289"/>
        <v>#DIV/0!</v>
      </c>
    </row>
    <row r="145" spans="1:28" s="1729" customFormat="1" ht="22.5" hidden="1" customHeight="1" thickTop="1" thickBot="1">
      <c r="A145" s="1767">
        <v>1</v>
      </c>
      <c r="B145" s="1768" t="s">
        <v>127</v>
      </c>
      <c r="C145" s="1768" t="s">
        <v>127</v>
      </c>
      <c r="D145" s="1768" t="s">
        <v>134</v>
      </c>
      <c r="E145" s="1768" t="s">
        <v>144</v>
      </c>
      <c r="F145" s="1768" t="s">
        <v>1684</v>
      </c>
      <c r="G145" s="1768" t="s">
        <v>180</v>
      </c>
      <c r="H145" s="1768"/>
      <c r="I145" s="1768"/>
      <c r="J145" s="1768"/>
      <c r="K145" s="1769" t="s">
        <v>1739</v>
      </c>
      <c r="L145" s="1770">
        <f>SUM(L146:L148)</f>
        <v>0</v>
      </c>
      <c r="M145" s="1770">
        <f t="shared" ref="M145:N145" si="304">SUM(M146:M148)</f>
        <v>0</v>
      </c>
      <c r="N145" s="1770">
        <f t="shared" si="304"/>
        <v>0</v>
      </c>
      <c r="O145" s="1770">
        <f t="shared" si="287"/>
        <v>0</v>
      </c>
      <c r="P145" s="1778">
        <f t="shared" ref="P145:V145" si="305">SUM(P146:P148)</f>
        <v>0</v>
      </c>
      <c r="Q145" s="1771" t="e">
        <f t="shared" ref="Q145" si="306">+P145/L145</f>
        <v>#DIV/0!</v>
      </c>
      <c r="R145" s="1778">
        <f t="shared" si="305"/>
        <v>0</v>
      </c>
      <c r="S145" s="1771" t="e">
        <f>+R145/L145</f>
        <v>#DIV/0!</v>
      </c>
      <c r="T145" s="1778">
        <f t="shared" si="305"/>
        <v>0</v>
      </c>
      <c r="U145" s="1771" t="e">
        <f>+T145/L145</f>
        <v>#DIV/0!</v>
      </c>
      <c r="V145" s="1778">
        <f t="shared" si="305"/>
        <v>0</v>
      </c>
      <c r="W145" s="1771" t="e">
        <f>+V145/L145</f>
        <v>#DIV/0!</v>
      </c>
      <c r="X145" s="1778">
        <f t="shared" ref="X145:Z145" si="307">SUM(X146:X148)</f>
        <v>0</v>
      </c>
      <c r="Y145" s="1778">
        <f t="shared" si="307"/>
        <v>0</v>
      </c>
      <c r="Z145" s="1778">
        <f t="shared" si="307"/>
        <v>0</v>
      </c>
      <c r="AA145" s="1778">
        <f t="shared" si="288"/>
        <v>0</v>
      </c>
      <c r="AB145" s="1876" t="e">
        <f t="shared" si="289"/>
        <v>#DIV/0!</v>
      </c>
    </row>
    <row r="146" spans="1:28" ht="22.5" hidden="1" customHeight="1" thickTop="1" thickBot="1">
      <c r="A146" s="1772">
        <v>1</v>
      </c>
      <c r="B146" s="1773" t="s">
        <v>127</v>
      </c>
      <c r="C146" s="1773" t="s">
        <v>127</v>
      </c>
      <c r="D146" s="1773" t="s">
        <v>134</v>
      </c>
      <c r="E146" s="1773" t="s">
        <v>144</v>
      </c>
      <c r="F146" s="1773" t="s">
        <v>1684</v>
      </c>
      <c r="G146" s="1773" t="s">
        <v>180</v>
      </c>
      <c r="H146" s="1773" t="s">
        <v>127</v>
      </c>
      <c r="I146" s="1773"/>
      <c r="J146" s="1773"/>
      <c r="K146" s="1776" t="s">
        <v>1740</v>
      </c>
      <c r="L146" s="1774"/>
      <c r="M146" s="1774"/>
      <c r="N146" s="1774"/>
      <c r="O146" s="1774">
        <f t="shared" si="287"/>
        <v>0</v>
      </c>
      <c r="P146" s="1777">
        <f t="shared" ref="P146:P148" si="308">+L146*Q146</f>
        <v>0</v>
      </c>
      <c r="Q146" s="1775"/>
      <c r="R146" s="1777">
        <f t="shared" ref="R146:R148" si="309">+L146*S146</f>
        <v>0</v>
      </c>
      <c r="S146" s="1775"/>
      <c r="T146" s="1777">
        <f t="shared" ref="T146:T148" si="310">+L146*U146</f>
        <v>0</v>
      </c>
      <c r="U146" s="1775"/>
      <c r="V146" s="1777">
        <f t="shared" si="245"/>
        <v>0</v>
      </c>
      <c r="W146" s="1775"/>
      <c r="X146" s="1777"/>
      <c r="Y146" s="1777"/>
      <c r="Z146" s="1777"/>
      <c r="AA146" s="1777">
        <f t="shared" si="288"/>
        <v>0</v>
      </c>
      <c r="AB146" s="1877" t="e">
        <f t="shared" si="289"/>
        <v>#DIV/0!</v>
      </c>
    </row>
    <row r="147" spans="1:28" ht="22.5" hidden="1" customHeight="1" thickTop="1" thickBot="1">
      <c r="A147" s="1772">
        <v>1</v>
      </c>
      <c r="B147" s="1773" t="s">
        <v>127</v>
      </c>
      <c r="C147" s="1773" t="s">
        <v>127</v>
      </c>
      <c r="D147" s="1773" t="s">
        <v>134</v>
      </c>
      <c r="E147" s="1773" t="s">
        <v>144</v>
      </c>
      <c r="F147" s="1773" t="s">
        <v>1684</v>
      </c>
      <c r="G147" s="1773" t="s">
        <v>180</v>
      </c>
      <c r="H147" s="1773" t="s">
        <v>209</v>
      </c>
      <c r="I147" s="1773"/>
      <c r="J147" s="1773"/>
      <c r="K147" s="1776" t="s">
        <v>1741</v>
      </c>
      <c r="L147" s="1774"/>
      <c r="M147" s="1774"/>
      <c r="N147" s="1774"/>
      <c r="O147" s="1774">
        <f t="shared" si="287"/>
        <v>0</v>
      </c>
      <c r="P147" s="1777">
        <f t="shared" si="308"/>
        <v>0</v>
      </c>
      <c r="Q147" s="1775"/>
      <c r="R147" s="1777">
        <f t="shared" si="309"/>
        <v>0</v>
      </c>
      <c r="S147" s="1775"/>
      <c r="T147" s="1777">
        <f t="shared" si="310"/>
        <v>0</v>
      </c>
      <c r="U147" s="1775"/>
      <c r="V147" s="1777">
        <f t="shared" si="245"/>
        <v>0</v>
      </c>
      <c r="W147" s="1775"/>
      <c r="X147" s="1777"/>
      <c r="Y147" s="1777"/>
      <c r="Z147" s="1777"/>
      <c r="AA147" s="1777">
        <f t="shared" si="288"/>
        <v>0</v>
      </c>
      <c r="AB147" s="1877" t="e">
        <f t="shared" si="289"/>
        <v>#DIV/0!</v>
      </c>
    </row>
    <row r="148" spans="1:28" ht="22.5" hidden="1" customHeight="1" thickTop="1" thickBot="1">
      <c r="A148" s="1772">
        <v>1</v>
      </c>
      <c r="B148" s="1773" t="s">
        <v>127</v>
      </c>
      <c r="C148" s="1773" t="s">
        <v>127</v>
      </c>
      <c r="D148" s="1773" t="s">
        <v>134</v>
      </c>
      <c r="E148" s="1773" t="s">
        <v>144</v>
      </c>
      <c r="F148" s="1773" t="s">
        <v>1684</v>
      </c>
      <c r="G148" s="1773" t="s">
        <v>180</v>
      </c>
      <c r="H148" s="1773" t="s">
        <v>1622</v>
      </c>
      <c r="I148" s="1773"/>
      <c r="J148" s="1773"/>
      <c r="K148" s="1776" t="s">
        <v>1742</v>
      </c>
      <c r="L148" s="1774"/>
      <c r="M148" s="1774"/>
      <c r="N148" s="1774"/>
      <c r="O148" s="1774">
        <f t="shared" si="287"/>
        <v>0</v>
      </c>
      <c r="P148" s="1777">
        <f t="shared" si="308"/>
        <v>0</v>
      </c>
      <c r="Q148" s="1775"/>
      <c r="R148" s="1777">
        <f t="shared" si="309"/>
        <v>0</v>
      </c>
      <c r="S148" s="1775"/>
      <c r="T148" s="1777">
        <f t="shared" si="310"/>
        <v>0</v>
      </c>
      <c r="U148" s="1775"/>
      <c r="V148" s="1777">
        <f t="shared" si="245"/>
        <v>0</v>
      </c>
      <c r="W148" s="1775"/>
      <c r="X148" s="1777"/>
      <c r="Y148" s="1777"/>
      <c r="Z148" s="1777"/>
      <c r="AA148" s="1777">
        <f t="shared" si="288"/>
        <v>0</v>
      </c>
      <c r="AB148" s="1877" t="e">
        <f t="shared" si="289"/>
        <v>#DIV/0!</v>
      </c>
    </row>
    <row r="149" spans="1:28" s="1729" customFormat="1" ht="22.5" hidden="1" customHeight="1" thickTop="1" thickBot="1">
      <c r="A149" s="1767">
        <v>1</v>
      </c>
      <c r="B149" s="1768" t="s">
        <v>127</v>
      </c>
      <c r="C149" s="1768" t="s">
        <v>127</v>
      </c>
      <c r="D149" s="1768" t="s">
        <v>134</v>
      </c>
      <c r="E149" s="1768" t="s">
        <v>144</v>
      </c>
      <c r="F149" s="1768" t="s">
        <v>1684</v>
      </c>
      <c r="G149" s="1768" t="s">
        <v>181</v>
      </c>
      <c r="H149" s="1768"/>
      <c r="I149" s="1768"/>
      <c r="J149" s="1768"/>
      <c r="K149" s="1769" t="s">
        <v>1743</v>
      </c>
      <c r="L149" s="1770">
        <f>SUM(L150:L152)</f>
        <v>0</v>
      </c>
      <c r="M149" s="1770">
        <f t="shared" ref="M149:N149" si="311">SUM(M150:M152)</f>
        <v>0</v>
      </c>
      <c r="N149" s="1770">
        <f t="shared" si="311"/>
        <v>0</v>
      </c>
      <c r="O149" s="1770">
        <f t="shared" si="287"/>
        <v>0</v>
      </c>
      <c r="P149" s="1778">
        <f t="shared" ref="P149:V149" si="312">SUM(P150:P152)</f>
        <v>0</v>
      </c>
      <c r="Q149" s="1771" t="e">
        <f t="shared" ref="Q149" si="313">+P149/L149</f>
        <v>#DIV/0!</v>
      </c>
      <c r="R149" s="1778">
        <f t="shared" si="312"/>
        <v>0</v>
      </c>
      <c r="S149" s="1771" t="e">
        <f>+R149/L149</f>
        <v>#DIV/0!</v>
      </c>
      <c r="T149" s="1778">
        <f t="shared" si="312"/>
        <v>0</v>
      </c>
      <c r="U149" s="1771" t="e">
        <f>+T149/L149</f>
        <v>#DIV/0!</v>
      </c>
      <c r="V149" s="1778">
        <f t="shared" si="312"/>
        <v>0</v>
      </c>
      <c r="W149" s="1771" t="e">
        <f>+V149/L149</f>
        <v>#DIV/0!</v>
      </c>
      <c r="X149" s="1778">
        <f t="shared" ref="X149:Z149" si="314">SUM(X150:X152)</f>
        <v>0</v>
      </c>
      <c r="Y149" s="1778">
        <f t="shared" si="314"/>
        <v>0</v>
      </c>
      <c r="Z149" s="1778">
        <f t="shared" si="314"/>
        <v>0</v>
      </c>
      <c r="AA149" s="1778">
        <f t="shared" si="288"/>
        <v>0</v>
      </c>
      <c r="AB149" s="1876" t="e">
        <f t="shared" si="289"/>
        <v>#DIV/0!</v>
      </c>
    </row>
    <row r="150" spans="1:28" ht="22.5" hidden="1" customHeight="1" thickTop="1" thickBot="1">
      <c r="A150" s="1772">
        <v>1</v>
      </c>
      <c r="B150" s="1773" t="s">
        <v>127</v>
      </c>
      <c r="C150" s="1773" t="s">
        <v>127</v>
      </c>
      <c r="D150" s="1773" t="s">
        <v>134</v>
      </c>
      <c r="E150" s="1773" t="s">
        <v>144</v>
      </c>
      <c r="F150" s="1773" t="s">
        <v>1684</v>
      </c>
      <c r="G150" s="1773" t="s">
        <v>181</v>
      </c>
      <c r="H150" s="1773" t="s">
        <v>127</v>
      </c>
      <c r="I150" s="1773"/>
      <c r="J150" s="1773"/>
      <c r="K150" s="1776" t="s">
        <v>1744</v>
      </c>
      <c r="L150" s="1774"/>
      <c r="M150" s="1774"/>
      <c r="N150" s="1774"/>
      <c r="O150" s="1774">
        <f t="shared" si="287"/>
        <v>0</v>
      </c>
      <c r="P150" s="1777">
        <f t="shared" ref="P150:P152" si="315">+L150*Q150</f>
        <v>0</v>
      </c>
      <c r="Q150" s="1775"/>
      <c r="R150" s="1777">
        <f t="shared" ref="R150:R152" si="316">+L150*S150</f>
        <v>0</v>
      </c>
      <c r="S150" s="1775"/>
      <c r="T150" s="1777">
        <f t="shared" ref="T150:T152" si="317">+L150*U150</f>
        <v>0</v>
      </c>
      <c r="U150" s="1775"/>
      <c r="V150" s="1777">
        <f t="shared" si="245"/>
        <v>0</v>
      </c>
      <c r="W150" s="1775"/>
      <c r="X150" s="1777"/>
      <c r="Y150" s="1777"/>
      <c r="Z150" s="1777"/>
      <c r="AA150" s="1777">
        <f t="shared" si="288"/>
        <v>0</v>
      </c>
      <c r="AB150" s="1877" t="e">
        <f t="shared" si="289"/>
        <v>#DIV/0!</v>
      </c>
    </row>
    <row r="151" spans="1:28" ht="22.5" hidden="1" customHeight="1" thickTop="1" thickBot="1">
      <c r="A151" s="1772">
        <v>1</v>
      </c>
      <c r="B151" s="1773" t="s">
        <v>127</v>
      </c>
      <c r="C151" s="1773" t="s">
        <v>127</v>
      </c>
      <c r="D151" s="1773" t="s">
        <v>134</v>
      </c>
      <c r="E151" s="1773" t="s">
        <v>144</v>
      </c>
      <c r="F151" s="1773" t="s">
        <v>1684</v>
      </c>
      <c r="G151" s="1773" t="s">
        <v>181</v>
      </c>
      <c r="H151" s="1773" t="s">
        <v>209</v>
      </c>
      <c r="I151" s="1773"/>
      <c r="J151" s="1773"/>
      <c r="K151" s="1776" t="s">
        <v>1745</v>
      </c>
      <c r="L151" s="1774"/>
      <c r="M151" s="1774"/>
      <c r="N151" s="1774"/>
      <c r="O151" s="1774">
        <f t="shared" si="287"/>
        <v>0</v>
      </c>
      <c r="P151" s="1777">
        <f t="shared" si="315"/>
        <v>0</v>
      </c>
      <c r="Q151" s="1775"/>
      <c r="R151" s="1777">
        <f t="shared" si="316"/>
        <v>0</v>
      </c>
      <c r="S151" s="1775"/>
      <c r="T151" s="1777">
        <f t="shared" si="317"/>
        <v>0</v>
      </c>
      <c r="U151" s="1775"/>
      <c r="V151" s="1777">
        <f t="shared" si="245"/>
        <v>0</v>
      </c>
      <c r="W151" s="1775"/>
      <c r="X151" s="1777"/>
      <c r="Y151" s="1777"/>
      <c r="Z151" s="1777"/>
      <c r="AA151" s="1777">
        <f t="shared" si="288"/>
        <v>0</v>
      </c>
      <c r="AB151" s="1877" t="e">
        <f t="shared" si="289"/>
        <v>#DIV/0!</v>
      </c>
    </row>
    <row r="152" spans="1:28" ht="22.5" hidden="1" customHeight="1" thickTop="1" thickBot="1">
      <c r="A152" s="1772">
        <v>1</v>
      </c>
      <c r="B152" s="1773" t="s">
        <v>127</v>
      </c>
      <c r="C152" s="1773" t="s">
        <v>127</v>
      </c>
      <c r="D152" s="1773" t="s">
        <v>134</v>
      </c>
      <c r="E152" s="1773" t="s">
        <v>144</v>
      </c>
      <c r="F152" s="1773" t="s">
        <v>1684</v>
      </c>
      <c r="G152" s="1773" t="s">
        <v>181</v>
      </c>
      <c r="H152" s="1773" t="s">
        <v>1622</v>
      </c>
      <c r="I152" s="1773"/>
      <c r="J152" s="1773"/>
      <c r="K152" s="1776" t="s">
        <v>1746</v>
      </c>
      <c r="L152" s="1774"/>
      <c r="M152" s="1774"/>
      <c r="N152" s="1774"/>
      <c r="O152" s="1774">
        <f t="shared" si="287"/>
        <v>0</v>
      </c>
      <c r="P152" s="1777">
        <f t="shared" si="315"/>
        <v>0</v>
      </c>
      <c r="Q152" s="1775"/>
      <c r="R152" s="1777">
        <f t="shared" si="316"/>
        <v>0</v>
      </c>
      <c r="S152" s="1775"/>
      <c r="T152" s="1777">
        <f t="shared" si="317"/>
        <v>0</v>
      </c>
      <c r="U152" s="1775"/>
      <c r="V152" s="1777">
        <f t="shared" si="245"/>
        <v>0</v>
      </c>
      <c r="W152" s="1775"/>
      <c r="X152" s="1777"/>
      <c r="Y152" s="1777"/>
      <c r="Z152" s="1777"/>
      <c r="AA152" s="1777">
        <f t="shared" si="288"/>
        <v>0</v>
      </c>
      <c r="AB152" s="1877" t="e">
        <f t="shared" si="289"/>
        <v>#DIV/0!</v>
      </c>
    </row>
    <row r="153" spans="1:28" s="1791" customFormat="1" ht="22.5" hidden="1" customHeight="1" thickTop="1" thickBot="1">
      <c r="A153" s="1785">
        <v>1</v>
      </c>
      <c r="B153" s="1786" t="s">
        <v>127</v>
      </c>
      <c r="C153" s="1786" t="s">
        <v>127</v>
      </c>
      <c r="D153" s="1786" t="s">
        <v>134</v>
      </c>
      <c r="E153" s="1786" t="s">
        <v>144</v>
      </c>
      <c r="F153" s="1786" t="s">
        <v>1703</v>
      </c>
      <c r="G153" s="1786"/>
      <c r="H153" s="1786"/>
      <c r="I153" s="1786"/>
      <c r="J153" s="1786"/>
      <c r="K153" s="1788" t="s">
        <v>1747</v>
      </c>
      <c r="L153" s="1789">
        <f>+L154+L157+L161+L165+L169+L173+L177+L181+L185+L189</f>
        <v>0</v>
      </c>
      <c r="M153" s="1789">
        <f t="shared" ref="M153:N153" si="318">+M154+M157+M161+M165+M169+M173+M177+M181+M185+M189</f>
        <v>0</v>
      </c>
      <c r="N153" s="1789">
        <f t="shared" si="318"/>
        <v>0</v>
      </c>
      <c r="O153" s="1789">
        <f t="shared" si="287"/>
        <v>0</v>
      </c>
      <c r="P153" s="1800">
        <f t="shared" ref="P153:V153" si="319">+P154+P157+P161+P165+P169+P173+P177+P181+P185+P189</f>
        <v>0</v>
      </c>
      <c r="Q153" s="1790" t="e">
        <f t="shared" ref="Q153:Q154" si="320">+P153/L153</f>
        <v>#DIV/0!</v>
      </c>
      <c r="R153" s="1800">
        <f t="shared" si="319"/>
        <v>0</v>
      </c>
      <c r="S153" s="1790" t="e">
        <f>+R153/L153</f>
        <v>#DIV/0!</v>
      </c>
      <c r="T153" s="1800">
        <f t="shared" si="319"/>
        <v>0</v>
      </c>
      <c r="U153" s="1790" t="e">
        <f>+T153/L153</f>
        <v>#DIV/0!</v>
      </c>
      <c r="V153" s="1800">
        <f t="shared" si="319"/>
        <v>0</v>
      </c>
      <c r="W153" s="1790" t="e">
        <f>+V153/L153</f>
        <v>#DIV/0!</v>
      </c>
      <c r="X153" s="1800">
        <f t="shared" ref="X153:Z153" si="321">+X154+X157+X161+X165+X169+X173+X177+X181+X185+X189</f>
        <v>0</v>
      </c>
      <c r="Y153" s="1800">
        <f t="shared" si="321"/>
        <v>0</v>
      </c>
      <c r="Z153" s="1800">
        <f t="shared" si="321"/>
        <v>0</v>
      </c>
      <c r="AA153" s="1800">
        <f t="shared" si="288"/>
        <v>0</v>
      </c>
      <c r="AB153" s="1878" t="e">
        <f t="shared" si="289"/>
        <v>#DIV/0!</v>
      </c>
    </row>
    <row r="154" spans="1:28" s="1729" customFormat="1" ht="22.5" hidden="1" customHeight="1" thickTop="1" thickBot="1">
      <c r="A154" s="1767">
        <v>1</v>
      </c>
      <c r="B154" s="1768" t="s">
        <v>127</v>
      </c>
      <c r="C154" s="1768" t="s">
        <v>127</v>
      </c>
      <c r="D154" s="1768" t="s">
        <v>134</v>
      </c>
      <c r="E154" s="1768" t="s">
        <v>144</v>
      </c>
      <c r="F154" s="1768" t="s">
        <v>1703</v>
      </c>
      <c r="G154" s="1768" t="s">
        <v>1704</v>
      </c>
      <c r="H154" s="1768"/>
      <c r="I154" s="1768"/>
      <c r="J154" s="1768"/>
      <c r="K154" s="1769" t="s">
        <v>153</v>
      </c>
      <c r="L154" s="1770">
        <f>SUM(L155:L156)</f>
        <v>0</v>
      </c>
      <c r="M154" s="1770">
        <f t="shared" ref="M154:N154" si="322">SUM(M155:M156)</f>
        <v>0</v>
      </c>
      <c r="N154" s="1770">
        <f t="shared" si="322"/>
        <v>0</v>
      </c>
      <c r="O154" s="1770">
        <f t="shared" si="287"/>
        <v>0</v>
      </c>
      <c r="P154" s="1778">
        <f t="shared" ref="P154:V154" si="323">SUM(P155:P156)</f>
        <v>0</v>
      </c>
      <c r="Q154" s="1771" t="e">
        <f t="shared" si="320"/>
        <v>#DIV/0!</v>
      </c>
      <c r="R154" s="1778">
        <f t="shared" si="323"/>
        <v>0</v>
      </c>
      <c r="S154" s="1771" t="e">
        <f>+R154/L154</f>
        <v>#DIV/0!</v>
      </c>
      <c r="T154" s="1778">
        <f t="shared" si="323"/>
        <v>0</v>
      </c>
      <c r="U154" s="1771" t="e">
        <f>+T154/L154</f>
        <v>#DIV/0!</v>
      </c>
      <c r="V154" s="1778">
        <f t="shared" si="323"/>
        <v>0</v>
      </c>
      <c r="W154" s="1771" t="e">
        <f>+V154/L154</f>
        <v>#DIV/0!</v>
      </c>
      <c r="X154" s="1778">
        <f t="shared" ref="X154:Z154" si="324">SUM(X155:X156)</f>
        <v>0</v>
      </c>
      <c r="Y154" s="1778">
        <f t="shared" si="324"/>
        <v>0</v>
      </c>
      <c r="Z154" s="1778">
        <f t="shared" si="324"/>
        <v>0</v>
      </c>
      <c r="AA154" s="1778">
        <f t="shared" si="288"/>
        <v>0</v>
      </c>
      <c r="AB154" s="1876" t="e">
        <f t="shared" si="289"/>
        <v>#DIV/0!</v>
      </c>
    </row>
    <row r="155" spans="1:28" ht="22.5" hidden="1" customHeight="1" thickTop="1" thickBot="1">
      <c r="A155" s="1772">
        <v>1</v>
      </c>
      <c r="B155" s="1773" t="s">
        <v>127</v>
      </c>
      <c r="C155" s="1773" t="s">
        <v>127</v>
      </c>
      <c r="D155" s="1773" t="s">
        <v>134</v>
      </c>
      <c r="E155" s="1773" t="s">
        <v>144</v>
      </c>
      <c r="F155" s="1773" t="s">
        <v>1703</v>
      </c>
      <c r="G155" s="1773" t="s">
        <v>1704</v>
      </c>
      <c r="H155" s="1773" t="s">
        <v>127</v>
      </c>
      <c r="I155" s="1773"/>
      <c r="J155" s="1773"/>
      <c r="K155" s="1776" t="s">
        <v>1705</v>
      </c>
      <c r="L155" s="1774"/>
      <c r="M155" s="1774"/>
      <c r="N155" s="1774"/>
      <c r="O155" s="1774">
        <f t="shared" si="287"/>
        <v>0</v>
      </c>
      <c r="P155" s="1777">
        <f t="shared" ref="P155:P156" si="325">+L155*Q155</f>
        <v>0</v>
      </c>
      <c r="Q155" s="1775"/>
      <c r="R155" s="1777">
        <f t="shared" ref="R155:R156" si="326">+L155*S155</f>
        <v>0</v>
      </c>
      <c r="S155" s="1775"/>
      <c r="T155" s="1777">
        <f t="shared" ref="T155:T156" si="327">+L155*U155</f>
        <v>0</v>
      </c>
      <c r="U155" s="1775"/>
      <c r="V155" s="1777">
        <f t="shared" ref="V155:V156" si="328">+L155*W155</f>
        <v>0</v>
      </c>
      <c r="W155" s="1775"/>
      <c r="X155" s="1777"/>
      <c r="Y155" s="1777"/>
      <c r="Z155" s="1777"/>
      <c r="AA155" s="1777">
        <f t="shared" si="288"/>
        <v>0</v>
      </c>
      <c r="AB155" s="1877" t="e">
        <f t="shared" si="289"/>
        <v>#DIV/0!</v>
      </c>
    </row>
    <row r="156" spans="1:28" ht="22.5" hidden="1" customHeight="1" thickTop="1" thickBot="1">
      <c r="A156" s="1772">
        <v>1</v>
      </c>
      <c r="B156" s="1773" t="s">
        <v>127</v>
      </c>
      <c r="C156" s="1773" t="s">
        <v>127</v>
      </c>
      <c r="D156" s="1773" t="s">
        <v>134</v>
      </c>
      <c r="E156" s="1773" t="s">
        <v>144</v>
      </c>
      <c r="F156" s="1773" t="s">
        <v>1703</v>
      </c>
      <c r="G156" s="1773" t="s">
        <v>1704</v>
      </c>
      <c r="H156" s="1773" t="s">
        <v>209</v>
      </c>
      <c r="I156" s="1773"/>
      <c r="J156" s="1773"/>
      <c r="K156" s="1776" t="s">
        <v>1748</v>
      </c>
      <c r="L156" s="1774"/>
      <c r="M156" s="1774"/>
      <c r="N156" s="1774"/>
      <c r="O156" s="1774">
        <f t="shared" si="287"/>
        <v>0</v>
      </c>
      <c r="P156" s="1777">
        <f t="shared" si="325"/>
        <v>0</v>
      </c>
      <c r="Q156" s="1775"/>
      <c r="R156" s="1777">
        <f t="shared" si="326"/>
        <v>0</v>
      </c>
      <c r="S156" s="1775"/>
      <c r="T156" s="1777">
        <f t="shared" si="327"/>
        <v>0</v>
      </c>
      <c r="U156" s="1775"/>
      <c r="V156" s="1777">
        <f t="shared" si="328"/>
        <v>0</v>
      </c>
      <c r="W156" s="1775"/>
      <c r="X156" s="1777"/>
      <c r="Y156" s="1777"/>
      <c r="Z156" s="1777"/>
      <c r="AA156" s="1777">
        <f t="shared" si="288"/>
        <v>0</v>
      </c>
      <c r="AB156" s="1877" t="e">
        <f t="shared" si="289"/>
        <v>#DIV/0!</v>
      </c>
    </row>
    <row r="157" spans="1:28" s="1729" customFormat="1" ht="22.5" hidden="1" customHeight="1" thickTop="1" thickBot="1">
      <c r="A157" s="1767">
        <v>1</v>
      </c>
      <c r="B157" s="1768" t="s">
        <v>127</v>
      </c>
      <c r="C157" s="1768" t="s">
        <v>127</v>
      </c>
      <c r="D157" s="1768" t="s">
        <v>134</v>
      </c>
      <c r="E157" s="1768" t="s">
        <v>144</v>
      </c>
      <c r="F157" s="1768" t="s">
        <v>1703</v>
      </c>
      <c r="G157" s="1768" t="s">
        <v>129</v>
      </c>
      <c r="H157" s="1768"/>
      <c r="I157" s="1768"/>
      <c r="J157" s="1768"/>
      <c r="K157" s="1769" t="s">
        <v>1708</v>
      </c>
      <c r="L157" s="1770">
        <f>SUM(L158:L160)</f>
        <v>0</v>
      </c>
      <c r="M157" s="1770">
        <f t="shared" ref="M157:N157" si="329">SUM(M158:M160)</f>
        <v>0</v>
      </c>
      <c r="N157" s="1770">
        <f t="shared" si="329"/>
        <v>0</v>
      </c>
      <c r="O157" s="1770">
        <f t="shared" si="287"/>
        <v>0</v>
      </c>
      <c r="P157" s="1778">
        <f t="shared" ref="P157:V157" si="330">SUM(P158:P160)</f>
        <v>0</v>
      </c>
      <c r="Q157" s="1771" t="e">
        <f t="shared" ref="Q157" si="331">+P157/L157</f>
        <v>#DIV/0!</v>
      </c>
      <c r="R157" s="1778">
        <f t="shared" si="330"/>
        <v>0</v>
      </c>
      <c r="S157" s="1771" t="e">
        <f>+R157/L157</f>
        <v>#DIV/0!</v>
      </c>
      <c r="T157" s="1778">
        <f t="shared" si="330"/>
        <v>0</v>
      </c>
      <c r="U157" s="1771" t="e">
        <f>+T157/L157</f>
        <v>#DIV/0!</v>
      </c>
      <c r="V157" s="1778">
        <f t="shared" si="330"/>
        <v>0</v>
      </c>
      <c r="W157" s="1771" t="e">
        <f>+V157/L157</f>
        <v>#DIV/0!</v>
      </c>
      <c r="X157" s="1778">
        <f t="shared" ref="X157:Z157" si="332">SUM(X158:X160)</f>
        <v>0</v>
      </c>
      <c r="Y157" s="1778">
        <f t="shared" si="332"/>
        <v>0</v>
      </c>
      <c r="Z157" s="1778">
        <f t="shared" si="332"/>
        <v>0</v>
      </c>
      <c r="AA157" s="1778">
        <f t="shared" si="288"/>
        <v>0</v>
      </c>
      <c r="AB157" s="1876" t="e">
        <f t="shared" si="289"/>
        <v>#DIV/0!</v>
      </c>
    </row>
    <row r="158" spans="1:28" ht="22.5" hidden="1" customHeight="1" thickTop="1" thickBot="1">
      <c r="A158" s="1772">
        <v>1</v>
      </c>
      <c r="B158" s="1773" t="s">
        <v>127</v>
      </c>
      <c r="C158" s="1773" t="s">
        <v>127</v>
      </c>
      <c r="D158" s="1773" t="s">
        <v>134</v>
      </c>
      <c r="E158" s="1773" t="s">
        <v>144</v>
      </c>
      <c r="F158" s="1773" t="s">
        <v>1703</v>
      </c>
      <c r="G158" s="1773" t="s">
        <v>129</v>
      </c>
      <c r="H158" s="1773" t="s">
        <v>127</v>
      </c>
      <c r="I158" s="1773"/>
      <c r="J158" s="1773"/>
      <c r="K158" s="1776" t="s">
        <v>1709</v>
      </c>
      <c r="L158" s="1774"/>
      <c r="M158" s="1774"/>
      <c r="N158" s="1774"/>
      <c r="O158" s="1774">
        <f t="shared" si="287"/>
        <v>0</v>
      </c>
      <c r="P158" s="1777">
        <f t="shared" ref="P158:P160" si="333">+L158*Q158</f>
        <v>0</v>
      </c>
      <c r="Q158" s="1775"/>
      <c r="R158" s="1777">
        <f t="shared" ref="R158:R160" si="334">+L158*S158</f>
        <v>0</v>
      </c>
      <c r="S158" s="1775"/>
      <c r="T158" s="1777">
        <f t="shared" ref="T158:T160" si="335">+L158*U158</f>
        <v>0</v>
      </c>
      <c r="U158" s="1775"/>
      <c r="V158" s="1777">
        <f t="shared" ref="V158:V160" si="336">+L158*W158</f>
        <v>0</v>
      </c>
      <c r="W158" s="1775"/>
      <c r="X158" s="1777"/>
      <c r="Y158" s="1777"/>
      <c r="Z158" s="1777"/>
      <c r="AA158" s="1777">
        <f t="shared" si="288"/>
        <v>0</v>
      </c>
      <c r="AB158" s="1877" t="e">
        <f t="shared" si="289"/>
        <v>#DIV/0!</v>
      </c>
    </row>
    <row r="159" spans="1:28" ht="22.5" hidden="1" customHeight="1" thickTop="1" thickBot="1">
      <c r="A159" s="1772">
        <v>1</v>
      </c>
      <c r="B159" s="1773" t="s">
        <v>127</v>
      </c>
      <c r="C159" s="1773" t="s">
        <v>127</v>
      </c>
      <c r="D159" s="1773" t="s">
        <v>134</v>
      </c>
      <c r="E159" s="1773" t="s">
        <v>144</v>
      </c>
      <c r="F159" s="1773" t="s">
        <v>1703</v>
      </c>
      <c r="G159" s="1773" t="s">
        <v>129</v>
      </c>
      <c r="H159" s="1773" t="s">
        <v>209</v>
      </c>
      <c r="I159" s="1773"/>
      <c r="J159" s="1773"/>
      <c r="K159" s="1776" t="s">
        <v>1710</v>
      </c>
      <c r="L159" s="1774"/>
      <c r="M159" s="1774"/>
      <c r="N159" s="1774"/>
      <c r="O159" s="1774">
        <f t="shared" si="287"/>
        <v>0</v>
      </c>
      <c r="P159" s="1777">
        <f t="shared" si="333"/>
        <v>0</v>
      </c>
      <c r="Q159" s="1775"/>
      <c r="R159" s="1777">
        <f t="shared" si="334"/>
        <v>0</v>
      </c>
      <c r="S159" s="1775"/>
      <c r="T159" s="1777">
        <f t="shared" si="335"/>
        <v>0</v>
      </c>
      <c r="U159" s="1775"/>
      <c r="V159" s="1777">
        <f t="shared" si="336"/>
        <v>0</v>
      </c>
      <c r="W159" s="1775"/>
      <c r="X159" s="1777"/>
      <c r="Y159" s="1777"/>
      <c r="Z159" s="1777"/>
      <c r="AA159" s="1777">
        <f t="shared" si="288"/>
        <v>0</v>
      </c>
      <c r="AB159" s="1877" t="e">
        <f t="shared" si="289"/>
        <v>#DIV/0!</v>
      </c>
    </row>
    <row r="160" spans="1:28" ht="22.5" hidden="1" customHeight="1" thickTop="1" thickBot="1">
      <c r="A160" s="1772">
        <v>1</v>
      </c>
      <c r="B160" s="1773" t="s">
        <v>127</v>
      </c>
      <c r="C160" s="1773" t="s">
        <v>127</v>
      </c>
      <c r="D160" s="1773" t="s">
        <v>134</v>
      </c>
      <c r="E160" s="1773" t="s">
        <v>144</v>
      </c>
      <c r="F160" s="1773" t="s">
        <v>1703</v>
      </c>
      <c r="G160" s="1773" t="s">
        <v>129</v>
      </c>
      <c r="H160" s="1773" t="s">
        <v>1622</v>
      </c>
      <c r="I160" s="1773"/>
      <c r="J160" s="1773"/>
      <c r="K160" s="1776" t="s">
        <v>1711</v>
      </c>
      <c r="L160" s="1774"/>
      <c r="M160" s="1774"/>
      <c r="N160" s="1774"/>
      <c r="O160" s="1774">
        <f t="shared" si="287"/>
        <v>0</v>
      </c>
      <c r="P160" s="1777">
        <f t="shared" si="333"/>
        <v>0</v>
      </c>
      <c r="Q160" s="1775"/>
      <c r="R160" s="1777">
        <f t="shared" si="334"/>
        <v>0</v>
      </c>
      <c r="S160" s="1775"/>
      <c r="T160" s="1777">
        <f t="shared" si="335"/>
        <v>0</v>
      </c>
      <c r="U160" s="1775"/>
      <c r="V160" s="1777">
        <f t="shared" si="336"/>
        <v>0</v>
      </c>
      <c r="W160" s="1775"/>
      <c r="X160" s="1777"/>
      <c r="Y160" s="1777"/>
      <c r="Z160" s="1777"/>
      <c r="AA160" s="1777">
        <f t="shared" si="288"/>
        <v>0</v>
      </c>
      <c r="AB160" s="1877" t="e">
        <f t="shared" si="289"/>
        <v>#DIV/0!</v>
      </c>
    </row>
    <row r="161" spans="1:28" s="1729" customFormat="1" ht="22.5" hidden="1" customHeight="1" thickTop="1" thickBot="1">
      <c r="A161" s="1767">
        <v>1</v>
      </c>
      <c r="B161" s="1768" t="s">
        <v>127</v>
      </c>
      <c r="C161" s="1768" t="s">
        <v>127</v>
      </c>
      <c r="D161" s="1768" t="s">
        <v>134</v>
      </c>
      <c r="E161" s="1768" t="s">
        <v>144</v>
      </c>
      <c r="F161" s="1768" t="s">
        <v>1703</v>
      </c>
      <c r="G161" s="1768" t="s">
        <v>134</v>
      </c>
      <c r="H161" s="1768"/>
      <c r="I161" s="1768"/>
      <c r="J161" s="1768"/>
      <c r="K161" s="1769" t="s">
        <v>1712</v>
      </c>
      <c r="L161" s="1770">
        <f>SUM(L162:L164)</f>
        <v>0</v>
      </c>
      <c r="M161" s="1770">
        <f t="shared" ref="M161:N161" si="337">SUM(M162:M164)</f>
        <v>0</v>
      </c>
      <c r="N161" s="1770">
        <f t="shared" si="337"/>
        <v>0</v>
      </c>
      <c r="O161" s="1770">
        <f t="shared" si="287"/>
        <v>0</v>
      </c>
      <c r="P161" s="1778">
        <f t="shared" ref="P161:V161" si="338">SUM(P162:P164)</f>
        <v>0</v>
      </c>
      <c r="Q161" s="1771" t="e">
        <f t="shared" ref="Q161" si="339">+P161/L161</f>
        <v>#DIV/0!</v>
      </c>
      <c r="R161" s="1778">
        <f t="shared" si="338"/>
        <v>0</v>
      </c>
      <c r="S161" s="1771" t="e">
        <f>+R161/L161</f>
        <v>#DIV/0!</v>
      </c>
      <c r="T161" s="1778">
        <f t="shared" si="338"/>
        <v>0</v>
      </c>
      <c r="U161" s="1771" t="e">
        <f>+T161/L161</f>
        <v>#DIV/0!</v>
      </c>
      <c r="V161" s="1778">
        <f t="shared" si="338"/>
        <v>0</v>
      </c>
      <c r="W161" s="1771" t="e">
        <f>+V161/L161</f>
        <v>#DIV/0!</v>
      </c>
      <c r="X161" s="1778">
        <f t="shared" ref="X161:Z161" si="340">SUM(X162:X164)</f>
        <v>0</v>
      </c>
      <c r="Y161" s="1778">
        <f t="shared" si="340"/>
        <v>0</v>
      </c>
      <c r="Z161" s="1778">
        <f t="shared" si="340"/>
        <v>0</v>
      </c>
      <c r="AA161" s="1778">
        <f t="shared" si="288"/>
        <v>0</v>
      </c>
      <c r="AB161" s="1876" t="e">
        <f t="shared" si="289"/>
        <v>#DIV/0!</v>
      </c>
    </row>
    <row r="162" spans="1:28" ht="22.5" hidden="1" customHeight="1" thickTop="1" thickBot="1">
      <c r="A162" s="1772">
        <v>1</v>
      </c>
      <c r="B162" s="1773" t="s">
        <v>127</v>
      </c>
      <c r="C162" s="1773" t="s">
        <v>127</v>
      </c>
      <c r="D162" s="1773" t="s">
        <v>134</v>
      </c>
      <c r="E162" s="1773" t="s">
        <v>144</v>
      </c>
      <c r="F162" s="1773" t="s">
        <v>1703</v>
      </c>
      <c r="G162" s="1773" t="s">
        <v>134</v>
      </c>
      <c r="H162" s="1773" t="s">
        <v>127</v>
      </c>
      <c r="I162" s="1773"/>
      <c r="J162" s="1773"/>
      <c r="K162" s="1776" t="s">
        <v>1713</v>
      </c>
      <c r="L162" s="1774"/>
      <c r="M162" s="1774"/>
      <c r="N162" s="1774"/>
      <c r="O162" s="1774">
        <f t="shared" si="287"/>
        <v>0</v>
      </c>
      <c r="P162" s="1777">
        <f t="shared" ref="P162:P164" si="341">+L162*Q162</f>
        <v>0</v>
      </c>
      <c r="Q162" s="1775"/>
      <c r="R162" s="1777">
        <f t="shared" ref="R162:R164" si="342">+L162*S162</f>
        <v>0</v>
      </c>
      <c r="S162" s="1775"/>
      <c r="T162" s="1777">
        <f t="shared" ref="T162:T164" si="343">+L162*U162</f>
        <v>0</v>
      </c>
      <c r="U162" s="1775"/>
      <c r="V162" s="1777">
        <f t="shared" ref="V162:V164" si="344">+L162*W162</f>
        <v>0</v>
      </c>
      <c r="W162" s="1775"/>
      <c r="X162" s="1777"/>
      <c r="Y162" s="1777"/>
      <c r="Z162" s="1777"/>
      <c r="AA162" s="1777">
        <f t="shared" si="288"/>
        <v>0</v>
      </c>
      <c r="AB162" s="1877" t="e">
        <f t="shared" si="289"/>
        <v>#DIV/0!</v>
      </c>
    </row>
    <row r="163" spans="1:28" ht="22.5" hidden="1" customHeight="1" thickTop="1" thickBot="1">
      <c r="A163" s="1772">
        <v>1</v>
      </c>
      <c r="B163" s="1773" t="s">
        <v>127</v>
      </c>
      <c r="C163" s="1773" t="s">
        <v>127</v>
      </c>
      <c r="D163" s="1773" t="s">
        <v>134</v>
      </c>
      <c r="E163" s="1773" t="s">
        <v>144</v>
      </c>
      <c r="F163" s="1773" t="s">
        <v>1703</v>
      </c>
      <c r="G163" s="1773" t="s">
        <v>134</v>
      </c>
      <c r="H163" s="1773" t="s">
        <v>209</v>
      </c>
      <c r="I163" s="1773"/>
      <c r="J163" s="1773"/>
      <c r="K163" s="1776" t="s">
        <v>1714</v>
      </c>
      <c r="L163" s="1774"/>
      <c r="M163" s="1774"/>
      <c r="N163" s="1774"/>
      <c r="O163" s="1774">
        <f t="shared" si="287"/>
        <v>0</v>
      </c>
      <c r="P163" s="1777">
        <f t="shared" si="341"/>
        <v>0</v>
      </c>
      <c r="Q163" s="1775"/>
      <c r="R163" s="1777">
        <f t="shared" si="342"/>
        <v>0</v>
      </c>
      <c r="S163" s="1775"/>
      <c r="T163" s="1777">
        <f t="shared" si="343"/>
        <v>0</v>
      </c>
      <c r="U163" s="1775"/>
      <c r="V163" s="1777">
        <f t="shared" si="344"/>
        <v>0</v>
      </c>
      <c r="W163" s="1775"/>
      <c r="X163" s="1777"/>
      <c r="Y163" s="1777"/>
      <c r="Z163" s="1777"/>
      <c r="AA163" s="1777">
        <f t="shared" si="288"/>
        <v>0</v>
      </c>
      <c r="AB163" s="1877" t="e">
        <f t="shared" si="289"/>
        <v>#DIV/0!</v>
      </c>
    </row>
    <row r="164" spans="1:28" ht="22.5" hidden="1" customHeight="1" thickTop="1" thickBot="1">
      <c r="A164" s="1772">
        <v>1</v>
      </c>
      <c r="B164" s="1773" t="s">
        <v>127</v>
      </c>
      <c r="C164" s="1773" t="s">
        <v>127</v>
      </c>
      <c r="D164" s="1773" t="s">
        <v>134</v>
      </c>
      <c r="E164" s="1773" t="s">
        <v>144</v>
      </c>
      <c r="F164" s="1773" t="s">
        <v>1703</v>
      </c>
      <c r="G164" s="1773" t="s">
        <v>134</v>
      </c>
      <c r="H164" s="1773" t="s">
        <v>1622</v>
      </c>
      <c r="I164" s="1773"/>
      <c r="J164" s="1773"/>
      <c r="K164" s="1776" t="s">
        <v>1715</v>
      </c>
      <c r="L164" s="1774"/>
      <c r="M164" s="1774"/>
      <c r="N164" s="1774"/>
      <c r="O164" s="1774">
        <f t="shared" si="287"/>
        <v>0</v>
      </c>
      <c r="P164" s="1777">
        <f t="shared" si="341"/>
        <v>0</v>
      </c>
      <c r="Q164" s="1775"/>
      <c r="R164" s="1777">
        <f t="shared" si="342"/>
        <v>0</v>
      </c>
      <c r="S164" s="1775"/>
      <c r="T164" s="1777">
        <f t="shared" si="343"/>
        <v>0</v>
      </c>
      <c r="U164" s="1775"/>
      <c r="V164" s="1777">
        <f t="shared" si="344"/>
        <v>0</v>
      </c>
      <c r="W164" s="1775"/>
      <c r="X164" s="1777"/>
      <c r="Y164" s="1777"/>
      <c r="Z164" s="1777"/>
      <c r="AA164" s="1777">
        <f t="shared" si="288"/>
        <v>0</v>
      </c>
      <c r="AB164" s="1877" t="e">
        <f t="shared" si="289"/>
        <v>#DIV/0!</v>
      </c>
    </row>
    <row r="165" spans="1:28" s="1729" customFormat="1" ht="22.5" hidden="1" customHeight="1" thickTop="1" thickBot="1">
      <c r="A165" s="1767">
        <v>1</v>
      </c>
      <c r="B165" s="1768" t="s">
        <v>127</v>
      </c>
      <c r="C165" s="1768" t="s">
        <v>127</v>
      </c>
      <c r="D165" s="1768" t="s">
        <v>134</v>
      </c>
      <c r="E165" s="1768" t="s">
        <v>144</v>
      </c>
      <c r="F165" s="1768" t="s">
        <v>1703</v>
      </c>
      <c r="G165" s="1768" t="s">
        <v>139</v>
      </c>
      <c r="H165" s="1768"/>
      <c r="I165" s="1768"/>
      <c r="J165" s="1768"/>
      <c r="K165" s="1769" t="s">
        <v>1716</v>
      </c>
      <c r="L165" s="1770">
        <f>SUM(L166:L168)</f>
        <v>0</v>
      </c>
      <c r="M165" s="1770">
        <f t="shared" ref="M165:N165" si="345">SUM(M166:M168)</f>
        <v>0</v>
      </c>
      <c r="N165" s="1770">
        <f t="shared" si="345"/>
        <v>0</v>
      </c>
      <c r="O165" s="1770">
        <f t="shared" si="287"/>
        <v>0</v>
      </c>
      <c r="P165" s="1778">
        <f t="shared" ref="P165:V165" si="346">SUM(P166:P168)</f>
        <v>0</v>
      </c>
      <c r="Q165" s="1771" t="e">
        <f t="shared" ref="Q165" si="347">+P165/L165</f>
        <v>#DIV/0!</v>
      </c>
      <c r="R165" s="1778">
        <f t="shared" si="346"/>
        <v>0</v>
      </c>
      <c r="S165" s="1771" t="e">
        <f>+R165/L165</f>
        <v>#DIV/0!</v>
      </c>
      <c r="T165" s="1778">
        <f t="shared" si="346"/>
        <v>0</v>
      </c>
      <c r="U165" s="1771" t="e">
        <f>+T165/L165</f>
        <v>#DIV/0!</v>
      </c>
      <c r="V165" s="1778">
        <f t="shared" si="346"/>
        <v>0</v>
      </c>
      <c r="W165" s="1771" t="e">
        <f>+V165/L165</f>
        <v>#DIV/0!</v>
      </c>
      <c r="X165" s="1778">
        <f t="shared" ref="X165:Z165" si="348">SUM(X166:X168)</f>
        <v>0</v>
      </c>
      <c r="Y165" s="1778">
        <f t="shared" si="348"/>
        <v>0</v>
      </c>
      <c r="Z165" s="1778">
        <f t="shared" si="348"/>
        <v>0</v>
      </c>
      <c r="AA165" s="1778">
        <f t="shared" si="288"/>
        <v>0</v>
      </c>
      <c r="AB165" s="1876" t="e">
        <f t="shared" si="289"/>
        <v>#DIV/0!</v>
      </c>
    </row>
    <row r="166" spans="1:28" ht="22.5" hidden="1" customHeight="1" thickTop="1" thickBot="1">
      <c r="A166" s="1772">
        <v>1</v>
      </c>
      <c r="B166" s="1773" t="s">
        <v>127</v>
      </c>
      <c r="C166" s="1773" t="s">
        <v>127</v>
      </c>
      <c r="D166" s="1773" t="s">
        <v>134</v>
      </c>
      <c r="E166" s="1773" t="s">
        <v>144</v>
      </c>
      <c r="F166" s="1773" t="s">
        <v>1703</v>
      </c>
      <c r="G166" s="1773" t="s">
        <v>139</v>
      </c>
      <c r="H166" s="1773" t="s">
        <v>127</v>
      </c>
      <c r="I166" s="1773"/>
      <c r="J166" s="1773"/>
      <c r="K166" s="1776" t="s">
        <v>1717</v>
      </c>
      <c r="L166" s="1774"/>
      <c r="M166" s="1774"/>
      <c r="N166" s="1774"/>
      <c r="O166" s="1774">
        <f t="shared" si="287"/>
        <v>0</v>
      </c>
      <c r="P166" s="1777">
        <f t="shared" ref="P166:P168" si="349">+L166*Q166</f>
        <v>0</v>
      </c>
      <c r="Q166" s="1775"/>
      <c r="R166" s="1777">
        <f t="shared" ref="R166:R168" si="350">+L166*S166</f>
        <v>0</v>
      </c>
      <c r="S166" s="1775"/>
      <c r="T166" s="1777">
        <f t="shared" ref="T166:T168" si="351">+L166*U166</f>
        <v>0</v>
      </c>
      <c r="U166" s="1775"/>
      <c r="V166" s="1777">
        <f t="shared" ref="V166:V168" si="352">+L166*W166</f>
        <v>0</v>
      </c>
      <c r="W166" s="1775"/>
      <c r="X166" s="1777"/>
      <c r="Y166" s="1777"/>
      <c r="Z166" s="1777"/>
      <c r="AA166" s="1777">
        <f t="shared" si="288"/>
        <v>0</v>
      </c>
      <c r="AB166" s="1877" t="e">
        <f t="shared" si="289"/>
        <v>#DIV/0!</v>
      </c>
    </row>
    <row r="167" spans="1:28" ht="22.5" hidden="1" customHeight="1" thickTop="1" thickBot="1">
      <c r="A167" s="1772">
        <v>1</v>
      </c>
      <c r="B167" s="1773" t="s">
        <v>127</v>
      </c>
      <c r="C167" s="1773" t="s">
        <v>127</v>
      </c>
      <c r="D167" s="1773" t="s">
        <v>134</v>
      </c>
      <c r="E167" s="1773" t="s">
        <v>144</v>
      </c>
      <c r="F167" s="1773" t="s">
        <v>1703</v>
      </c>
      <c r="G167" s="1773" t="s">
        <v>139</v>
      </c>
      <c r="H167" s="1773" t="s">
        <v>209</v>
      </c>
      <c r="I167" s="1773"/>
      <c r="J167" s="1773"/>
      <c r="K167" s="1776" t="s">
        <v>1718</v>
      </c>
      <c r="L167" s="1774"/>
      <c r="M167" s="1774"/>
      <c r="N167" s="1774"/>
      <c r="O167" s="1774">
        <f t="shared" si="287"/>
        <v>0</v>
      </c>
      <c r="P167" s="1777">
        <f t="shared" si="349"/>
        <v>0</v>
      </c>
      <c r="Q167" s="1775"/>
      <c r="R167" s="1777">
        <f t="shared" si="350"/>
        <v>0</v>
      </c>
      <c r="S167" s="1775"/>
      <c r="T167" s="1777">
        <f t="shared" si="351"/>
        <v>0</v>
      </c>
      <c r="U167" s="1775"/>
      <c r="V167" s="1777">
        <f t="shared" si="352"/>
        <v>0</v>
      </c>
      <c r="W167" s="1775"/>
      <c r="X167" s="1777"/>
      <c r="Y167" s="1777"/>
      <c r="Z167" s="1777"/>
      <c r="AA167" s="1777">
        <f t="shared" si="288"/>
        <v>0</v>
      </c>
      <c r="AB167" s="1877" t="e">
        <f t="shared" si="289"/>
        <v>#DIV/0!</v>
      </c>
    </row>
    <row r="168" spans="1:28" ht="22.5" hidden="1" customHeight="1" thickTop="1" thickBot="1">
      <c r="A168" s="1772">
        <v>1</v>
      </c>
      <c r="B168" s="1773" t="s">
        <v>127</v>
      </c>
      <c r="C168" s="1773" t="s">
        <v>127</v>
      </c>
      <c r="D168" s="1773" t="s">
        <v>134</v>
      </c>
      <c r="E168" s="1773" t="s">
        <v>144</v>
      </c>
      <c r="F168" s="1773" t="s">
        <v>1703</v>
      </c>
      <c r="G168" s="1773" t="s">
        <v>139</v>
      </c>
      <c r="H168" s="1773" t="s">
        <v>1622</v>
      </c>
      <c r="I168" s="1773"/>
      <c r="J168" s="1773"/>
      <c r="K168" s="1776" t="s">
        <v>1719</v>
      </c>
      <c r="L168" s="1774"/>
      <c r="M168" s="1774"/>
      <c r="N168" s="1774"/>
      <c r="O168" s="1774">
        <f t="shared" si="287"/>
        <v>0</v>
      </c>
      <c r="P168" s="1777">
        <f t="shared" si="349"/>
        <v>0</v>
      </c>
      <c r="Q168" s="1775"/>
      <c r="R168" s="1777">
        <f t="shared" si="350"/>
        <v>0</v>
      </c>
      <c r="S168" s="1775"/>
      <c r="T168" s="1777">
        <f t="shared" si="351"/>
        <v>0</v>
      </c>
      <c r="U168" s="1775"/>
      <c r="V168" s="1777">
        <f t="shared" si="352"/>
        <v>0</v>
      </c>
      <c r="W168" s="1775"/>
      <c r="X168" s="1777"/>
      <c r="Y168" s="1777"/>
      <c r="Z168" s="1777"/>
      <c r="AA168" s="1777">
        <f t="shared" si="288"/>
        <v>0</v>
      </c>
      <c r="AB168" s="1877" t="e">
        <f t="shared" si="289"/>
        <v>#DIV/0!</v>
      </c>
    </row>
    <row r="169" spans="1:28" s="1729" customFormat="1" ht="22.5" hidden="1" customHeight="1" thickTop="1" thickBot="1">
      <c r="A169" s="1767">
        <v>1</v>
      </c>
      <c r="B169" s="1768" t="s">
        <v>127</v>
      </c>
      <c r="C169" s="1768" t="s">
        <v>127</v>
      </c>
      <c r="D169" s="1768" t="s">
        <v>134</v>
      </c>
      <c r="E169" s="1768" t="s">
        <v>144</v>
      </c>
      <c r="F169" s="1768" t="s">
        <v>1703</v>
      </c>
      <c r="G169" s="1768" t="s">
        <v>140</v>
      </c>
      <c r="H169" s="1768"/>
      <c r="I169" s="1768"/>
      <c r="J169" s="1768"/>
      <c r="K169" s="1769" t="s">
        <v>154</v>
      </c>
      <c r="L169" s="1770">
        <f>SUM(L170:L172)</f>
        <v>0</v>
      </c>
      <c r="M169" s="1770">
        <f t="shared" ref="M169:N169" si="353">SUM(M170:M172)</f>
        <v>0</v>
      </c>
      <c r="N169" s="1770">
        <f t="shared" si="353"/>
        <v>0</v>
      </c>
      <c r="O169" s="1770">
        <f t="shared" si="287"/>
        <v>0</v>
      </c>
      <c r="P169" s="1778">
        <f t="shared" ref="P169:V169" si="354">SUM(P170:P172)</f>
        <v>0</v>
      </c>
      <c r="Q169" s="1771" t="e">
        <f t="shared" ref="Q169" si="355">+P169/L169</f>
        <v>#DIV/0!</v>
      </c>
      <c r="R169" s="1778">
        <f t="shared" si="354"/>
        <v>0</v>
      </c>
      <c r="S169" s="1771" t="e">
        <f>+R169/L169</f>
        <v>#DIV/0!</v>
      </c>
      <c r="T169" s="1778">
        <f t="shared" si="354"/>
        <v>0</v>
      </c>
      <c r="U169" s="1771" t="e">
        <f>+T169/L169</f>
        <v>#DIV/0!</v>
      </c>
      <c r="V169" s="1778">
        <f t="shared" si="354"/>
        <v>0</v>
      </c>
      <c r="W169" s="1771" t="e">
        <f>+V169/L169</f>
        <v>#DIV/0!</v>
      </c>
      <c r="X169" s="1778">
        <f t="shared" ref="X169:Z169" si="356">SUM(X170:X172)</f>
        <v>0</v>
      </c>
      <c r="Y169" s="1778">
        <f t="shared" si="356"/>
        <v>0</v>
      </c>
      <c r="Z169" s="1778">
        <f t="shared" si="356"/>
        <v>0</v>
      </c>
      <c r="AA169" s="1778">
        <f t="shared" si="288"/>
        <v>0</v>
      </c>
      <c r="AB169" s="1876" t="e">
        <f t="shared" si="289"/>
        <v>#DIV/0!</v>
      </c>
    </row>
    <row r="170" spans="1:28" ht="22.5" hidden="1" customHeight="1" thickTop="1" thickBot="1">
      <c r="A170" s="1772">
        <v>1</v>
      </c>
      <c r="B170" s="1773" t="s">
        <v>127</v>
      </c>
      <c r="C170" s="1773" t="s">
        <v>127</v>
      </c>
      <c r="D170" s="1773" t="s">
        <v>134</v>
      </c>
      <c r="E170" s="1773" t="s">
        <v>144</v>
      </c>
      <c r="F170" s="1773" t="s">
        <v>1703</v>
      </c>
      <c r="G170" s="1773" t="s">
        <v>140</v>
      </c>
      <c r="H170" s="1773" t="s">
        <v>127</v>
      </c>
      <c r="I170" s="1773"/>
      <c r="J170" s="1773"/>
      <c r="K170" s="1776" t="s">
        <v>1720</v>
      </c>
      <c r="L170" s="1774"/>
      <c r="M170" s="1774"/>
      <c r="N170" s="1774"/>
      <c r="O170" s="1774">
        <f t="shared" si="287"/>
        <v>0</v>
      </c>
      <c r="P170" s="1777">
        <f t="shared" ref="P170:P172" si="357">+L170*Q170</f>
        <v>0</v>
      </c>
      <c r="Q170" s="1775"/>
      <c r="R170" s="1777">
        <f t="shared" ref="R170:R172" si="358">+L170*S170</f>
        <v>0</v>
      </c>
      <c r="S170" s="1775"/>
      <c r="T170" s="1777">
        <f t="shared" ref="T170:T172" si="359">+L170*U170</f>
        <v>0</v>
      </c>
      <c r="U170" s="1775"/>
      <c r="V170" s="1777">
        <f t="shared" ref="V170:V172" si="360">+L170*W170</f>
        <v>0</v>
      </c>
      <c r="W170" s="1775"/>
      <c r="X170" s="1777"/>
      <c r="Y170" s="1777"/>
      <c r="Z170" s="1777"/>
      <c r="AA170" s="1777">
        <f t="shared" si="288"/>
        <v>0</v>
      </c>
      <c r="AB170" s="1877" t="e">
        <f t="shared" si="289"/>
        <v>#DIV/0!</v>
      </c>
    </row>
    <row r="171" spans="1:28" ht="22.5" hidden="1" customHeight="1" thickTop="1" thickBot="1">
      <c r="A171" s="1772">
        <v>1</v>
      </c>
      <c r="B171" s="1773" t="s">
        <v>127</v>
      </c>
      <c r="C171" s="1773" t="s">
        <v>127</v>
      </c>
      <c r="D171" s="1773" t="s">
        <v>134</v>
      </c>
      <c r="E171" s="1773" t="s">
        <v>144</v>
      </c>
      <c r="F171" s="1773" t="s">
        <v>1703</v>
      </c>
      <c r="G171" s="1773" t="s">
        <v>140</v>
      </c>
      <c r="H171" s="1773" t="s">
        <v>209</v>
      </c>
      <c r="I171" s="1773"/>
      <c r="J171" s="1773"/>
      <c r="K171" s="1776" t="s">
        <v>1721</v>
      </c>
      <c r="L171" s="1774"/>
      <c r="M171" s="1774"/>
      <c r="N171" s="1774"/>
      <c r="O171" s="1774">
        <f t="shared" si="287"/>
        <v>0</v>
      </c>
      <c r="P171" s="1777">
        <f t="shared" si="357"/>
        <v>0</v>
      </c>
      <c r="Q171" s="1775"/>
      <c r="R171" s="1777">
        <f t="shared" si="358"/>
        <v>0</v>
      </c>
      <c r="S171" s="1775"/>
      <c r="T171" s="1777">
        <f t="shared" si="359"/>
        <v>0</v>
      </c>
      <c r="U171" s="1775"/>
      <c r="V171" s="1777">
        <f t="shared" si="360"/>
        <v>0</v>
      </c>
      <c r="W171" s="1775"/>
      <c r="X171" s="1777"/>
      <c r="Y171" s="1777"/>
      <c r="Z171" s="1777"/>
      <c r="AA171" s="1777">
        <f t="shared" si="288"/>
        <v>0</v>
      </c>
      <c r="AB171" s="1877" t="e">
        <f t="shared" si="289"/>
        <v>#DIV/0!</v>
      </c>
    </row>
    <row r="172" spans="1:28" ht="22.5" hidden="1" customHeight="1" thickTop="1" thickBot="1">
      <c r="A172" s="1772">
        <v>1</v>
      </c>
      <c r="B172" s="1773" t="s">
        <v>127</v>
      </c>
      <c r="C172" s="1773" t="s">
        <v>127</v>
      </c>
      <c r="D172" s="1773" t="s">
        <v>134</v>
      </c>
      <c r="E172" s="1773" t="s">
        <v>144</v>
      </c>
      <c r="F172" s="1773" t="s">
        <v>1703</v>
      </c>
      <c r="G172" s="1773" t="s">
        <v>140</v>
      </c>
      <c r="H172" s="1773" t="s">
        <v>1622</v>
      </c>
      <c r="I172" s="1773"/>
      <c r="J172" s="1773"/>
      <c r="K172" s="1776" t="s">
        <v>1722</v>
      </c>
      <c r="L172" s="1774"/>
      <c r="M172" s="1774"/>
      <c r="N172" s="1774"/>
      <c r="O172" s="1774">
        <f t="shared" si="287"/>
        <v>0</v>
      </c>
      <c r="P172" s="1777">
        <f t="shared" si="357"/>
        <v>0</v>
      </c>
      <c r="Q172" s="1775"/>
      <c r="R172" s="1777">
        <f t="shared" si="358"/>
        <v>0</v>
      </c>
      <c r="S172" s="1775"/>
      <c r="T172" s="1777">
        <f t="shared" si="359"/>
        <v>0</v>
      </c>
      <c r="U172" s="1775"/>
      <c r="V172" s="1777">
        <f t="shared" si="360"/>
        <v>0</v>
      </c>
      <c r="W172" s="1775"/>
      <c r="X172" s="1777"/>
      <c r="Y172" s="1777"/>
      <c r="Z172" s="1777"/>
      <c r="AA172" s="1777">
        <f t="shared" si="288"/>
        <v>0</v>
      </c>
      <c r="AB172" s="1877" t="e">
        <f t="shared" si="289"/>
        <v>#DIV/0!</v>
      </c>
    </row>
    <row r="173" spans="1:28" s="1729" customFormat="1" ht="22.5" hidden="1" customHeight="1" thickTop="1" thickBot="1">
      <c r="A173" s="1767">
        <v>1</v>
      </c>
      <c r="B173" s="1768" t="s">
        <v>127</v>
      </c>
      <c r="C173" s="1768" t="s">
        <v>127</v>
      </c>
      <c r="D173" s="1768" t="s">
        <v>134</v>
      </c>
      <c r="E173" s="1768" t="s">
        <v>144</v>
      </c>
      <c r="F173" s="1768" t="s">
        <v>1703</v>
      </c>
      <c r="G173" s="1768" t="s">
        <v>144</v>
      </c>
      <c r="H173" s="1768"/>
      <c r="I173" s="1768"/>
      <c r="J173" s="1768"/>
      <c r="K173" s="1769" t="s">
        <v>1723</v>
      </c>
      <c r="L173" s="1770">
        <f>SUM(L174:L176)</f>
        <v>0</v>
      </c>
      <c r="M173" s="1770">
        <f t="shared" ref="M173:N173" si="361">SUM(M174:M176)</f>
        <v>0</v>
      </c>
      <c r="N173" s="1770">
        <f t="shared" si="361"/>
        <v>0</v>
      </c>
      <c r="O173" s="1770">
        <f t="shared" si="287"/>
        <v>0</v>
      </c>
      <c r="P173" s="1778">
        <f t="shared" ref="P173:V173" si="362">SUM(P174:P176)</f>
        <v>0</v>
      </c>
      <c r="Q173" s="1771" t="e">
        <f t="shared" ref="Q173" si="363">+P173/L173</f>
        <v>#DIV/0!</v>
      </c>
      <c r="R173" s="1778">
        <f t="shared" si="362"/>
        <v>0</v>
      </c>
      <c r="S173" s="1771" t="e">
        <f>+R173/L173</f>
        <v>#DIV/0!</v>
      </c>
      <c r="T173" s="1778">
        <f t="shared" si="362"/>
        <v>0</v>
      </c>
      <c r="U173" s="1771" t="e">
        <f>+T173/L173</f>
        <v>#DIV/0!</v>
      </c>
      <c r="V173" s="1778">
        <f t="shared" si="362"/>
        <v>0</v>
      </c>
      <c r="W173" s="1771" t="e">
        <f>+V173/L173</f>
        <v>#DIV/0!</v>
      </c>
      <c r="X173" s="1778">
        <f t="shared" ref="X173:Z173" si="364">SUM(X174:X176)</f>
        <v>0</v>
      </c>
      <c r="Y173" s="1778">
        <f t="shared" si="364"/>
        <v>0</v>
      </c>
      <c r="Z173" s="1778">
        <f t="shared" si="364"/>
        <v>0</v>
      </c>
      <c r="AA173" s="1778">
        <f t="shared" si="288"/>
        <v>0</v>
      </c>
      <c r="AB173" s="1876" t="e">
        <f t="shared" si="289"/>
        <v>#DIV/0!</v>
      </c>
    </row>
    <row r="174" spans="1:28" ht="22.5" hidden="1" customHeight="1" thickTop="1" thickBot="1">
      <c r="A174" s="1772">
        <v>1</v>
      </c>
      <c r="B174" s="1773" t="s">
        <v>127</v>
      </c>
      <c r="C174" s="1773" t="s">
        <v>127</v>
      </c>
      <c r="D174" s="1773" t="s">
        <v>134</v>
      </c>
      <c r="E174" s="1773" t="s">
        <v>144</v>
      </c>
      <c r="F174" s="1773" t="s">
        <v>1703</v>
      </c>
      <c r="G174" s="1773" t="s">
        <v>144</v>
      </c>
      <c r="H174" s="1773" t="s">
        <v>127</v>
      </c>
      <c r="I174" s="1773"/>
      <c r="J174" s="1773"/>
      <c r="K174" s="1776" t="s">
        <v>1724</v>
      </c>
      <c r="L174" s="1774"/>
      <c r="M174" s="1774"/>
      <c r="N174" s="1774"/>
      <c r="O174" s="1774">
        <f t="shared" si="287"/>
        <v>0</v>
      </c>
      <c r="P174" s="1777">
        <f t="shared" ref="P174:P176" si="365">+L174*Q174</f>
        <v>0</v>
      </c>
      <c r="Q174" s="1775"/>
      <c r="R174" s="1777">
        <f t="shared" ref="R174:R176" si="366">+L174*S174</f>
        <v>0</v>
      </c>
      <c r="S174" s="1775"/>
      <c r="T174" s="1777">
        <f t="shared" ref="T174:T176" si="367">+L174*U174</f>
        <v>0</v>
      </c>
      <c r="U174" s="1775"/>
      <c r="V174" s="1777">
        <f t="shared" ref="V174:V176" si="368">+L174*W174</f>
        <v>0</v>
      </c>
      <c r="W174" s="1775"/>
      <c r="X174" s="1777"/>
      <c r="Y174" s="1777"/>
      <c r="Z174" s="1777"/>
      <c r="AA174" s="1777">
        <f t="shared" si="288"/>
        <v>0</v>
      </c>
      <c r="AB174" s="1877" t="e">
        <f t="shared" si="289"/>
        <v>#DIV/0!</v>
      </c>
    </row>
    <row r="175" spans="1:28" ht="22.5" hidden="1" customHeight="1" thickTop="1" thickBot="1">
      <c r="A175" s="1772">
        <v>1</v>
      </c>
      <c r="B175" s="1773" t="s">
        <v>127</v>
      </c>
      <c r="C175" s="1773" t="s">
        <v>127</v>
      </c>
      <c r="D175" s="1773" t="s">
        <v>134</v>
      </c>
      <c r="E175" s="1773" t="s">
        <v>144</v>
      </c>
      <c r="F175" s="1773" t="s">
        <v>1703</v>
      </c>
      <c r="G175" s="1773" t="s">
        <v>144</v>
      </c>
      <c r="H175" s="1773" t="s">
        <v>209</v>
      </c>
      <c r="I175" s="1773"/>
      <c r="J175" s="1773"/>
      <c r="K175" s="1776" t="s">
        <v>1725</v>
      </c>
      <c r="L175" s="1774"/>
      <c r="M175" s="1774"/>
      <c r="N175" s="1774"/>
      <c r="O175" s="1774">
        <f t="shared" si="287"/>
        <v>0</v>
      </c>
      <c r="P175" s="1777">
        <f t="shared" si="365"/>
        <v>0</v>
      </c>
      <c r="Q175" s="1775"/>
      <c r="R175" s="1777">
        <f t="shared" si="366"/>
        <v>0</v>
      </c>
      <c r="S175" s="1775"/>
      <c r="T175" s="1777">
        <f t="shared" si="367"/>
        <v>0</v>
      </c>
      <c r="U175" s="1775"/>
      <c r="V175" s="1777">
        <f t="shared" si="368"/>
        <v>0</v>
      </c>
      <c r="W175" s="1775"/>
      <c r="X175" s="1777"/>
      <c r="Y175" s="1777"/>
      <c r="Z175" s="1777"/>
      <c r="AA175" s="1777">
        <f t="shared" si="288"/>
        <v>0</v>
      </c>
      <c r="AB175" s="1877" t="e">
        <f t="shared" si="289"/>
        <v>#DIV/0!</v>
      </c>
    </row>
    <row r="176" spans="1:28" ht="22.5" hidden="1" customHeight="1" thickTop="1" thickBot="1">
      <c r="A176" s="1772">
        <v>1</v>
      </c>
      <c r="B176" s="1773" t="s">
        <v>127</v>
      </c>
      <c r="C176" s="1773" t="s">
        <v>127</v>
      </c>
      <c r="D176" s="1773" t="s">
        <v>134</v>
      </c>
      <c r="E176" s="1773" t="s">
        <v>144</v>
      </c>
      <c r="F176" s="1773" t="s">
        <v>1703</v>
      </c>
      <c r="G176" s="1773" t="s">
        <v>144</v>
      </c>
      <c r="H176" s="1773" t="s">
        <v>1622</v>
      </c>
      <c r="I176" s="1773"/>
      <c r="J176" s="1773"/>
      <c r="K176" s="1776" t="s">
        <v>1726</v>
      </c>
      <c r="L176" s="1774"/>
      <c r="M176" s="1774"/>
      <c r="N176" s="1774"/>
      <c r="O176" s="1774">
        <f t="shared" si="287"/>
        <v>0</v>
      </c>
      <c r="P176" s="1777">
        <f t="shared" si="365"/>
        <v>0</v>
      </c>
      <c r="Q176" s="1775"/>
      <c r="R176" s="1777">
        <f t="shared" si="366"/>
        <v>0</v>
      </c>
      <c r="S176" s="1775"/>
      <c r="T176" s="1777">
        <f t="shared" si="367"/>
        <v>0</v>
      </c>
      <c r="U176" s="1775"/>
      <c r="V176" s="1777">
        <f t="shared" si="368"/>
        <v>0</v>
      </c>
      <c r="W176" s="1775"/>
      <c r="X176" s="1777"/>
      <c r="Y176" s="1777"/>
      <c r="Z176" s="1777"/>
      <c r="AA176" s="1777">
        <f t="shared" si="288"/>
        <v>0</v>
      </c>
      <c r="AB176" s="1877" t="e">
        <f t="shared" si="289"/>
        <v>#DIV/0!</v>
      </c>
    </row>
    <row r="177" spans="1:28" s="1729" customFormat="1" ht="22.5" hidden="1" customHeight="1" thickTop="1" thickBot="1">
      <c r="A177" s="1767">
        <v>1</v>
      </c>
      <c r="B177" s="1768" t="s">
        <v>127</v>
      </c>
      <c r="C177" s="1768" t="s">
        <v>127</v>
      </c>
      <c r="D177" s="1768" t="s">
        <v>134</v>
      </c>
      <c r="E177" s="1768" t="s">
        <v>144</v>
      </c>
      <c r="F177" s="1768" t="s">
        <v>1703</v>
      </c>
      <c r="G177" s="1768" t="s">
        <v>145</v>
      </c>
      <c r="H177" s="1768"/>
      <c r="I177" s="1768"/>
      <c r="J177" s="1768"/>
      <c r="K177" s="1769" t="s">
        <v>1727</v>
      </c>
      <c r="L177" s="1770">
        <f>SUM(L178:L180)</f>
        <v>0</v>
      </c>
      <c r="M177" s="1770">
        <f t="shared" ref="M177:N177" si="369">SUM(M178:M180)</f>
        <v>0</v>
      </c>
      <c r="N177" s="1770">
        <f t="shared" si="369"/>
        <v>0</v>
      </c>
      <c r="O177" s="1770">
        <f t="shared" si="287"/>
        <v>0</v>
      </c>
      <c r="P177" s="1778">
        <f t="shared" ref="P177:V177" si="370">SUM(P178:P180)</f>
        <v>0</v>
      </c>
      <c r="Q177" s="1771" t="e">
        <f t="shared" ref="Q177" si="371">+P177/L177</f>
        <v>#DIV/0!</v>
      </c>
      <c r="R177" s="1778">
        <f t="shared" si="370"/>
        <v>0</v>
      </c>
      <c r="S177" s="1771" t="e">
        <f>+R177/L177</f>
        <v>#DIV/0!</v>
      </c>
      <c r="T177" s="1778">
        <f t="shared" si="370"/>
        <v>0</v>
      </c>
      <c r="U177" s="1771" t="e">
        <f>+T177/L177</f>
        <v>#DIV/0!</v>
      </c>
      <c r="V177" s="1778">
        <f t="shared" si="370"/>
        <v>0</v>
      </c>
      <c r="W177" s="1771" t="e">
        <f>+V177/L177</f>
        <v>#DIV/0!</v>
      </c>
      <c r="X177" s="1778">
        <f t="shared" ref="X177:Z177" si="372">SUM(X178:X180)</f>
        <v>0</v>
      </c>
      <c r="Y177" s="1778">
        <f t="shared" si="372"/>
        <v>0</v>
      </c>
      <c r="Z177" s="1778">
        <f t="shared" si="372"/>
        <v>0</v>
      </c>
      <c r="AA177" s="1778">
        <f t="shared" si="288"/>
        <v>0</v>
      </c>
      <c r="AB177" s="1876" t="e">
        <f t="shared" si="289"/>
        <v>#DIV/0!</v>
      </c>
    </row>
    <row r="178" spans="1:28" ht="22.5" hidden="1" customHeight="1" thickTop="1" thickBot="1">
      <c r="A178" s="1772">
        <v>1</v>
      </c>
      <c r="B178" s="1773" t="s">
        <v>127</v>
      </c>
      <c r="C178" s="1773" t="s">
        <v>127</v>
      </c>
      <c r="D178" s="1773" t="s">
        <v>134</v>
      </c>
      <c r="E178" s="1773" t="s">
        <v>144</v>
      </c>
      <c r="F178" s="1773" t="s">
        <v>1703</v>
      </c>
      <c r="G178" s="1773" t="s">
        <v>145</v>
      </c>
      <c r="H178" s="1773" t="s">
        <v>127</v>
      </c>
      <c r="I178" s="1773"/>
      <c r="J178" s="1773"/>
      <c r="K178" s="1776" t="s">
        <v>1749</v>
      </c>
      <c r="L178" s="1774"/>
      <c r="M178" s="1774"/>
      <c r="N178" s="1774"/>
      <c r="O178" s="1774">
        <f t="shared" si="287"/>
        <v>0</v>
      </c>
      <c r="P178" s="1777">
        <f t="shared" ref="P178:P180" si="373">+L178*Q178</f>
        <v>0</v>
      </c>
      <c r="Q178" s="1775"/>
      <c r="R178" s="1777">
        <f t="shared" ref="R178:R180" si="374">+L178*S178</f>
        <v>0</v>
      </c>
      <c r="S178" s="1775"/>
      <c r="T178" s="1777">
        <f t="shared" ref="T178:T180" si="375">+L178*U178</f>
        <v>0</v>
      </c>
      <c r="U178" s="1775"/>
      <c r="V178" s="1777">
        <f t="shared" ref="V178:V180" si="376">+L178*W178</f>
        <v>0</v>
      </c>
      <c r="W178" s="1775"/>
      <c r="X178" s="1777"/>
      <c r="Y178" s="1777"/>
      <c r="Z178" s="1777"/>
      <c r="AA178" s="1777">
        <f t="shared" si="288"/>
        <v>0</v>
      </c>
      <c r="AB178" s="1877" t="e">
        <f t="shared" si="289"/>
        <v>#DIV/0!</v>
      </c>
    </row>
    <row r="179" spans="1:28" ht="22.5" hidden="1" customHeight="1" thickTop="1" thickBot="1">
      <c r="A179" s="1772">
        <v>1</v>
      </c>
      <c r="B179" s="1773" t="s">
        <v>127</v>
      </c>
      <c r="C179" s="1773" t="s">
        <v>127</v>
      </c>
      <c r="D179" s="1773" t="s">
        <v>134</v>
      </c>
      <c r="E179" s="1773" t="s">
        <v>144</v>
      </c>
      <c r="F179" s="1773" t="s">
        <v>1703</v>
      </c>
      <c r="G179" s="1773" t="s">
        <v>145</v>
      </c>
      <c r="H179" s="1773" t="s">
        <v>209</v>
      </c>
      <c r="I179" s="1773"/>
      <c r="J179" s="1773"/>
      <c r="K179" s="1776" t="s">
        <v>1729</v>
      </c>
      <c r="L179" s="1774"/>
      <c r="M179" s="1774"/>
      <c r="N179" s="1774"/>
      <c r="O179" s="1774">
        <f t="shared" si="287"/>
        <v>0</v>
      </c>
      <c r="P179" s="1777">
        <f t="shared" si="373"/>
        <v>0</v>
      </c>
      <c r="Q179" s="1775"/>
      <c r="R179" s="1777">
        <f t="shared" si="374"/>
        <v>0</v>
      </c>
      <c r="S179" s="1775"/>
      <c r="T179" s="1777">
        <f t="shared" si="375"/>
        <v>0</v>
      </c>
      <c r="U179" s="1775"/>
      <c r="V179" s="1777">
        <f t="shared" si="376"/>
        <v>0</v>
      </c>
      <c r="W179" s="1775"/>
      <c r="X179" s="1777"/>
      <c r="Y179" s="1777"/>
      <c r="Z179" s="1777"/>
      <c r="AA179" s="1777">
        <f t="shared" si="288"/>
        <v>0</v>
      </c>
      <c r="AB179" s="1877" t="e">
        <f t="shared" si="289"/>
        <v>#DIV/0!</v>
      </c>
    </row>
    <row r="180" spans="1:28" ht="22.5" hidden="1" customHeight="1" thickTop="1" thickBot="1">
      <c r="A180" s="1772">
        <v>1</v>
      </c>
      <c r="B180" s="1773" t="s">
        <v>127</v>
      </c>
      <c r="C180" s="1773" t="s">
        <v>127</v>
      </c>
      <c r="D180" s="1773" t="s">
        <v>134</v>
      </c>
      <c r="E180" s="1773" t="s">
        <v>144</v>
      </c>
      <c r="F180" s="1773" t="s">
        <v>1703</v>
      </c>
      <c r="G180" s="1773" t="s">
        <v>145</v>
      </c>
      <c r="H180" s="1773" t="s">
        <v>1622</v>
      </c>
      <c r="I180" s="1773"/>
      <c r="J180" s="1773"/>
      <c r="K180" s="1776" t="s">
        <v>1730</v>
      </c>
      <c r="L180" s="1774"/>
      <c r="M180" s="1774"/>
      <c r="N180" s="1774"/>
      <c r="O180" s="1774">
        <f t="shared" si="287"/>
        <v>0</v>
      </c>
      <c r="P180" s="1777">
        <f t="shared" si="373"/>
        <v>0</v>
      </c>
      <c r="Q180" s="1775"/>
      <c r="R180" s="1777">
        <f t="shared" si="374"/>
        <v>0</v>
      </c>
      <c r="S180" s="1775"/>
      <c r="T180" s="1777">
        <f t="shared" si="375"/>
        <v>0</v>
      </c>
      <c r="U180" s="1775"/>
      <c r="V180" s="1777">
        <f t="shared" si="376"/>
        <v>0</v>
      </c>
      <c r="W180" s="1775"/>
      <c r="X180" s="1777"/>
      <c r="Y180" s="1777"/>
      <c r="Z180" s="1777"/>
      <c r="AA180" s="1777">
        <f t="shared" si="288"/>
        <v>0</v>
      </c>
      <c r="AB180" s="1877" t="e">
        <f t="shared" si="289"/>
        <v>#DIV/0!</v>
      </c>
    </row>
    <row r="181" spans="1:28" s="1729" customFormat="1" ht="22.5" hidden="1" customHeight="1" thickTop="1" thickBot="1">
      <c r="A181" s="1767">
        <v>1</v>
      </c>
      <c r="B181" s="1768" t="s">
        <v>127</v>
      </c>
      <c r="C181" s="1768" t="s">
        <v>127</v>
      </c>
      <c r="D181" s="1768" t="s">
        <v>134</v>
      </c>
      <c r="E181" s="1768" t="s">
        <v>144</v>
      </c>
      <c r="F181" s="1768" t="s">
        <v>1703</v>
      </c>
      <c r="G181" s="1768" t="s">
        <v>146</v>
      </c>
      <c r="H181" s="1768"/>
      <c r="I181" s="1768"/>
      <c r="J181" s="1768"/>
      <c r="K181" s="1769" t="s">
        <v>1731</v>
      </c>
      <c r="L181" s="1770">
        <f>SUM(L182:L184)</f>
        <v>0</v>
      </c>
      <c r="M181" s="1770">
        <f t="shared" ref="M181:N181" si="377">SUM(M182:M184)</f>
        <v>0</v>
      </c>
      <c r="N181" s="1770">
        <f t="shared" si="377"/>
        <v>0</v>
      </c>
      <c r="O181" s="1770">
        <f t="shared" si="287"/>
        <v>0</v>
      </c>
      <c r="P181" s="1778">
        <f t="shared" ref="P181:V181" si="378">SUM(P182:P184)</f>
        <v>0</v>
      </c>
      <c r="Q181" s="1771" t="e">
        <f t="shared" ref="Q181" si="379">+P181/L181</f>
        <v>#DIV/0!</v>
      </c>
      <c r="R181" s="1778">
        <f t="shared" si="378"/>
        <v>0</v>
      </c>
      <c r="S181" s="1771" t="e">
        <f>+R181/L181</f>
        <v>#DIV/0!</v>
      </c>
      <c r="T181" s="1778">
        <f t="shared" si="378"/>
        <v>0</v>
      </c>
      <c r="U181" s="1771" t="e">
        <f>+T181/L181</f>
        <v>#DIV/0!</v>
      </c>
      <c r="V181" s="1778">
        <f t="shared" si="378"/>
        <v>0</v>
      </c>
      <c r="W181" s="1771" t="e">
        <f>+V181/L181</f>
        <v>#DIV/0!</v>
      </c>
      <c r="X181" s="1778">
        <f t="shared" ref="X181:Z181" si="380">SUM(X182:X184)</f>
        <v>0</v>
      </c>
      <c r="Y181" s="1778">
        <f t="shared" si="380"/>
        <v>0</v>
      </c>
      <c r="Z181" s="1778">
        <f t="shared" si="380"/>
        <v>0</v>
      </c>
      <c r="AA181" s="1778">
        <f t="shared" si="288"/>
        <v>0</v>
      </c>
      <c r="AB181" s="1876" t="e">
        <f t="shared" si="289"/>
        <v>#DIV/0!</v>
      </c>
    </row>
    <row r="182" spans="1:28" ht="22.5" hidden="1" customHeight="1" thickTop="1" thickBot="1">
      <c r="A182" s="1772">
        <v>1</v>
      </c>
      <c r="B182" s="1773" t="s">
        <v>127</v>
      </c>
      <c r="C182" s="1773" t="s">
        <v>127</v>
      </c>
      <c r="D182" s="1773" t="s">
        <v>134</v>
      </c>
      <c r="E182" s="1773" t="s">
        <v>144</v>
      </c>
      <c r="F182" s="1773" t="s">
        <v>1703</v>
      </c>
      <c r="G182" s="1773" t="s">
        <v>146</v>
      </c>
      <c r="H182" s="1773" t="s">
        <v>127</v>
      </c>
      <c r="I182" s="1773"/>
      <c r="J182" s="1773"/>
      <c r="K182" s="1776" t="s">
        <v>1733</v>
      </c>
      <c r="L182" s="1774"/>
      <c r="M182" s="1774"/>
      <c r="N182" s="1774"/>
      <c r="O182" s="1774">
        <f t="shared" si="287"/>
        <v>0</v>
      </c>
      <c r="P182" s="1777">
        <f t="shared" ref="P182:P184" si="381">+L182*Q182</f>
        <v>0</v>
      </c>
      <c r="Q182" s="1775"/>
      <c r="R182" s="1777">
        <f t="shared" ref="R182:R184" si="382">+L182*S182</f>
        <v>0</v>
      </c>
      <c r="S182" s="1775"/>
      <c r="T182" s="1777">
        <f t="shared" ref="T182:T184" si="383">+L182*U182</f>
        <v>0</v>
      </c>
      <c r="U182" s="1775"/>
      <c r="V182" s="1777">
        <f t="shared" ref="V182:V184" si="384">+L182*W182</f>
        <v>0</v>
      </c>
      <c r="W182" s="1775"/>
      <c r="X182" s="1777"/>
      <c r="Y182" s="1777"/>
      <c r="Z182" s="1777"/>
      <c r="AA182" s="1777">
        <f t="shared" si="288"/>
        <v>0</v>
      </c>
      <c r="AB182" s="1877" t="e">
        <f t="shared" si="289"/>
        <v>#DIV/0!</v>
      </c>
    </row>
    <row r="183" spans="1:28" ht="22.5" hidden="1" customHeight="1" thickTop="1" thickBot="1">
      <c r="A183" s="1772">
        <v>1</v>
      </c>
      <c r="B183" s="1773" t="s">
        <v>127</v>
      </c>
      <c r="C183" s="1773" t="s">
        <v>127</v>
      </c>
      <c r="D183" s="1773" t="s">
        <v>134</v>
      </c>
      <c r="E183" s="1773" t="s">
        <v>144</v>
      </c>
      <c r="F183" s="1773" t="s">
        <v>1703</v>
      </c>
      <c r="G183" s="1773" t="s">
        <v>146</v>
      </c>
      <c r="H183" s="1773" t="s">
        <v>209</v>
      </c>
      <c r="I183" s="1773"/>
      <c r="J183" s="1773"/>
      <c r="K183" s="1776" t="s">
        <v>1732</v>
      </c>
      <c r="L183" s="1774"/>
      <c r="M183" s="1774"/>
      <c r="N183" s="1774"/>
      <c r="O183" s="1774">
        <f t="shared" si="287"/>
        <v>0</v>
      </c>
      <c r="P183" s="1777">
        <f t="shared" si="381"/>
        <v>0</v>
      </c>
      <c r="Q183" s="1775"/>
      <c r="R183" s="1777">
        <f t="shared" si="382"/>
        <v>0</v>
      </c>
      <c r="S183" s="1775"/>
      <c r="T183" s="1777">
        <f t="shared" si="383"/>
        <v>0</v>
      </c>
      <c r="U183" s="1775"/>
      <c r="V183" s="1777">
        <f t="shared" si="384"/>
        <v>0</v>
      </c>
      <c r="W183" s="1775"/>
      <c r="X183" s="1777"/>
      <c r="Y183" s="1777"/>
      <c r="Z183" s="1777"/>
      <c r="AA183" s="1777">
        <f t="shared" si="288"/>
        <v>0</v>
      </c>
      <c r="AB183" s="1877" t="e">
        <f t="shared" si="289"/>
        <v>#DIV/0!</v>
      </c>
    </row>
    <row r="184" spans="1:28" ht="22.5" hidden="1" customHeight="1" thickTop="1" thickBot="1">
      <c r="A184" s="1772">
        <v>1</v>
      </c>
      <c r="B184" s="1773" t="s">
        <v>127</v>
      </c>
      <c r="C184" s="1773" t="s">
        <v>127</v>
      </c>
      <c r="D184" s="1773" t="s">
        <v>134</v>
      </c>
      <c r="E184" s="1773" t="s">
        <v>144</v>
      </c>
      <c r="F184" s="1773" t="s">
        <v>1703</v>
      </c>
      <c r="G184" s="1773" t="s">
        <v>146</v>
      </c>
      <c r="H184" s="1773" t="s">
        <v>1622</v>
      </c>
      <c r="I184" s="1773"/>
      <c r="J184" s="1773"/>
      <c r="K184" s="1776" t="s">
        <v>1734</v>
      </c>
      <c r="L184" s="1774"/>
      <c r="M184" s="1774"/>
      <c r="N184" s="1774"/>
      <c r="O184" s="1774">
        <f t="shared" si="287"/>
        <v>0</v>
      </c>
      <c r="P184" s="1777">
        <f t="shared" si="381"/>
        <v>0</v>
      </c>
      <c r="Q184" s="1775"/>
      <c r="R184" s="1777">
        <f t="shared" si="382"/>
        <v>0</v>
      </c>
      <c r="S184" s="1775"/>
      <c r="T184" s="1777">
        <f t="shared" si="383"/>
        <v>0</v>
      </c>
      <c r="U184" s="1775"/>
      <c r="V184" s="1777">
        <f t="shared" si="384"/>
        <v>0</v>
      </c>
      <c r="W184" s="1775"/>
      <c r="X184" s="1777"/>
      <c r="Y184" s="1777"/>
      <c r="Z184" s="1777"/>
      <c r="AA184" s="1777">
        <f t="shared" si="288"/>
        <v>0</v>
      </c>
      <c r="AB184" s="1877" t="e">
        <f t="shared" si="289"/>
        <v>#DIV/0!</v>
      </c>
    </row>
    <row r="185" spans="1:28" s="1729" customFormat="1" ht="22.5" hidden="1" customHeight="1" thickTop="1" thickBot="1">
      <c r="A185" s="1767">
        <v>1</v>
      </c>
      <c r="B185" s="1768" t="s">
        <v>127</v>
      </c>
      <c r="C185" s="1768" t="s">
        <v>127</v>
      </c>
      <c r="D185" s="1768" t="s">
        <v>134</v>
      </c>
      <c r="E185" s="1768" t="s">
        <v>144</v>
      </c>
      <c r="F185" s="1768" t="s">
        <v>1703</v>
      </c>
      <c r="G185" s="1768" t="s">
        <v>147</v>
      </c>
      <c r="H185" s="1768"/>
      <c r="I185" s="1768"/>
      <c r="J185" s="1768"/>
      <c r="K185" s="1769" t="s">
        <v>1735</v>
      </c>
      <c r="L185" s="1770">
        <f>SUM(L186:L188)</f>
        <v>0</v>
      </c>
      <c r="M185" s="1770">
        <f t="shared" ref="M185:N185" si="385">SUM(M186:M188)</f>
        <v>0</v>
      </c>
      <c r="N185" s="1770">
        <f t="shared" si="385"/>
        <v>0</v>
      </c>
      <c r="O185" s="1770">
        <f t="shared" si="287"/>
        <v>0</v>
      </c>
      <c r="P185" s="1778">
        <f t="shared" ref="P185:V185" si="386">SUM(P186:P188)</f>
        <v>0</v>
      </c>
      <c r="Q185" s="1771" t="e">
        <f t="shared" ref="Q185" si="387">+P185/L185</f>
        <v>#DIV/0!</v>
      </c>
      <c r="R185" s="1778">
        <f t="shared" si="386"/>
        <v>0</v>
      </c>
      <c r="S185" s="1771" t="e">
        <f>+R185/L185</f>
        <v>#DIV/0!</v>
      </c>
      <c r="T185" s="1778">
        <f t="shared" si="386"/>
        <v>0</v>
      </c>
      <c r="U185" s="1771" t="e">
        <f>+T185/L185</f>
        <v>#DIV/0!</v>
      </c>
      <c r="V185" s="1778">
        <f t="shared" si="386"/>
        <v>0</v>
      </c>
      <c r="W185" s="1771" t="e">
        <f>+V185/L185</f>
        <v>#DIV/0!</v>
      </c>
      <c r="X185" s="1778">
        <f t="shared" ref="X185:Z185" si="388">SUM(X186:X188)</f>
        <v>0</v>
      </c>
      <c r="Y185" s="1778">
        <f t="shared" si="388"/>
        <v>0</v>
      </c>
      <c r="Z185" s="1778">
        <f t="shared" si="388"/>
        <v>0</v>
      </c>
      <c r="AA185" s="1778">
        <f t="shared" si="288"/>
        <v>0</v>
      </c>
      <c r="AB185" s="1876" t="e">
        <f t="shared" si="289"/>
        <v>#DIV/0!</v>
      </c>
    </row>
    <row r="186" spans="1:28" ht="22.5" hidden="1" customHeight="1" thickTop="1" thickBot="1">
      <c r="A186" s="1772">
        <v>1</v>
      </c>
      <c r="B186" s="1773" t="s">
        <v>127</v>
      </c>
      <c r="C186" s="1773" t="s">
        <v>127</v>
      </c>
      <c r="D186" s="1773" t="s">
        <v>134</v>
      </c>
      <c r="E186" s="1773" t="s">
        <v>144</v>
      </c>
      <c r="F186" s="1773" t="s">
        <v>1703</v>
      </c>
      <c r="G186" s="1773" t="s">
        <v>147</v>
      </c>
      <c r="H186" s="1773" t="s">
        <v>127</v>
      </c>
      <c r="I186" s="1773"/>
      <c r="J186" s="1773"/>
      <c r="K186" s="1776" t="s">
        <v>1736</v>
      </c>
      <c r="L186" s="1774"/>
      <c r="M186" s="1774"/>
      <c r="N186" s="1774"/>
      <c r="O186" s="1774">
        <f t="shared" si="287"/>
        <v>0</v>
      </c>
      <c r="P186" s="1777">
        <f t="shared" ref="P186:P188" si="389">+L186*Q186</f>
        <v>0</v>
      </c>
      <c r="Q186" s="1775"/>
      <c r="R186" s="1777">
        <f t="shared" ref="R186:R188" si="390">+L186*S186</f>
        <v>0</v>
      </c>
      <c r="S186" s="1775"/>
      <c r="T186" s="1777">
        <f t="shared" ref="T186:T188" si="391">+L186*U186</f>
        <v>0</v>
      </c>
      <c r="U186" s="1775"/>
      <c r="V186" s="1777">
        <f t="shared" ref="V186:V188" si="392">+L186*W186</f>
        <v>0</v>
      </c>
      <c r="W186" s="1775"/>
      <c r="X186" s="1777"/>
      <c r="Y186" s="1777"/>
      <c r="Z186" s="1777"/>
      <c r="AA186" s="1777">
        <f t="shared" si="288"/>
        <v>0</v>
      </c>
      <c r="AB186" s="1877" t="e">
        <f t="shared" si="289"/>
        <v>#DIV/0!</v>
      </c>
    </row>
    <row r="187" spans="1:28" ht="22.5" hidden="1" customHeight="1" thickTop="1" thickBot="1">
      <c r="A187" s="1772">
        <v>1</v>
      </c>
      <c r="B187" s="1773" t="s">
        <v>127</v>
      </c>
      <c r="C187" s="1773" t="s">
        <v>127</v>
      </c>
      <c r="D187" s="1773" t="s">
        <v>134</v>
      </c>
      <c r="E187" s="1773" t="s">
        <v>144</v>
      </c>
      <c r="F187" s="1773" t="s">
        <v>1703</v>
      </c>
      <c r="G187" s="1773" t="s">
        <v>147</v>
      </c>
      <c r="H187" s="1773" t="s">
        <v>209</v>
      </c>
      <c r="I187" s="1773"/>
      <c r="J187" s="1773"/>
      <c r="K187" s="1776" t="s">
        <v>1737</v>
      </c>
      <c r="L187" s="1774"/>
      <c r="M187" s="1774"/>
      <c r="N187" s="1774"/>
      <c r="O187" s="1774">
        <f t="shared" si="287"/>
        <v>0</v>
      </c>
      <c r="P187" s="1777">
        <f t="shared" si="389"/>
        <v>0</v>
      </c>
      <c r="Q187" s="1775"/>
      <c r="R187" s="1777">
        <f t="shared" si="390"/>
        <v>0</v>
      </c>
      <c r="S187" s="1775"/>
      <c r="T187" s="1777">
        <f t="shared" si="391"/>
        <v>0</v>
      </c>
      <c r="U187" s="1775"/>
      <c r="V187" s="1777">
        <f t="shared" si="392"/>
        <v>0</v>
      </c>
      <c r="W187" s="1775"/>
      <c r="X187" s="1777"/>
      <c r="Y187" s="1777"/>
      <c r="Z187" s="1777"/>
      <c r="AA187" s="1777">
        <f t="shared" si="288"/>
        <v>0</v>
      </c>
      <c r="AB187" s="1877" t="e">
        <f t="shared" si="289"/>
        <v>#DIV/0!</v>
      </c>
    </row>
    <row r="188" spans="1:28" ht="22.5" hidden="1" customHeight="1" thickTop="1" thickBot="1">
      <c r="A188" s="1772">
        <v>1</v>
      </c>
      <c r="B188" s="1773" t="s">
        <v>127</v>
      </c>
      <c r="C188" s="1773" t="s">
        <v>127</v>
      </c>
      <c r="D188" s="1773" t="s">
        <v>134</v>
      </c>
      <c r="E188" s="1773" t="s">
        <v>144</v>
      </c>
      <c r="F188" s="1773" t="s">
        <v>1703</v>
      </c>
      <c r="G188" s="1773" t="s">
        <v>147</v>
      </c>
      <c r="H188" s="1773" t="s">
        <v>1622</v>
      </c>
      <c r="I188" s="1773"/>
      <c r="J188" s="1773"/>
      <c r="K188" s="1776" t="s">
        <v>1750</v>
      </c>
      <c r="L188" s="1774"/>
      <c r="M188" s="1774"/>
      <c r="N188" s="1774"/>
      <c r="O188" s="1774">
        <f t="shared" si="287"/>
        <v>0</v>
      </c>
      <c r="P188" s="1777">
        <f t="shared" si="389"/>
        <v>0</v>
      </c>
      <c r="Q188" s="1775"/>
      <c r="R188" s="1777">
        <f t="shared" si="390"/>
        <v>0</v>
      </c>
      <c r="S188" s="1775"/>
      <c r="T188" s="1777">
        <f t="shared" si="391"/>
        <v>0</v>
      </c>
      <c r="U188" s="1775"/>
      <c r="V188" s="1777">
        <f t="shared" si="392"/>
        <v>0</v>
      </c>
      <c r="W188" s="1775"/>
      <c r="X188" s="1777"/>
      <c r="Y188" s="1777"/>
      <c r="Z188" s="1777"/>
      <c r="AA188" s="1777">
        <f t="shared" si="288"/>
        <v>0</v>
      </c>
      <c r="AB188" s="1877" t="e">
        <f t="shared" si="289"/>
        <v>#DIV/0!</v>
      </c>
    </row>
    <row r="189" spans="1:28" s="1729" customFormat="1" ht="22.5" hidden="1" customHeight="1" thickTop="1" thickBot="1">
      <c r="A189" s="1767">
        <v>1</v>
      </c>
      <c r="B189" s="1768" t="s">
        <v>127</v>
      </c>
      <c r="C189" s="1768" t="s">
        <v>127</v>
      </c>
      <c r="D189" s="1768" t="s">
        <v>134</v>
      </c>
      <c r="E189" s="1768" t="s">
        <v>144</v>
      </c>
      <c r="F189" s="1768" t="s">
        <v>1703</v>
      </c>
      <c r="G189" s="1768" t="s">
        <v>180</v>
      </c>
      <c r="H189" s="1768"/>
      <c r="I189" s="1768"/>
      <c r="J189" s="1768"/>
      <c r="K189" s="1769" t="s">
        <v>1739</v>
      </c>
      <c r="L189" s="1770">
        <f>SUM(L190:L192)</f>
        <v>0</v>
      </c>
      <c r="M189" s="1770">
        <f t="shared" ref="M189:N189" si="393">SUM(M190:M192)</f>
        <v>0</v>
      </c>
      <c r="N189" s="1770">
        <f t="shared" si="393"/>
        <v>0</v>
      </c>
      <c r="O189" s="1770">
        <f t="shared" si="287"/>
        <v>0</v>
      </c>
      <c r="P189" s="1778">
        <f t="shared" ref="P189:V189" si="394">SUM(P190:P192)</f>
        <v>0</v>
      </c>
      <c r="Q189" s="1771" t="e">
        <f t="shared" ref="Q189" si="395">+P189/L189</f>
        <v>#DIV/0!</v>
      </c>
      <c r="R189" s="1778">
        <f t="shared" si="394"/>
        <v>0</v>
      </c>
      <c r="S189" s="1771" t="e">
        <f>+R189/L189</f>
        <v>#DIV/0!</v>
      </c>
      <c r="T189" s="1778">
        <f t="shared" si="394"/>
        <v>0</v>
      </c>
      <c r="U189" s="1771" t="e">
        <f>+T189/L189</f>
        <v>#DIV/0!</v>
      </c>
      <c r="V189" s="1778">
        <f t="shared" si="394"/>
        <v>0</v>
      </c>
      <c r="W189" s="1771" t="e">
        <f>+V189/L189</f>
        <v>#DIV/0!</v>
      </c>
      <c r="X189" s="1778">
        <f t="shared" ref="X189:Z189" si="396">SUM(X190:X192)</f>
        <v>0</v>
      </c>
      <c r="Y189" s="1778">
        <f t="shared" si="396"/>
        <v>0</v>
      </c>
      <c r="Z189" s="1778">
        <f t="shared" si="396"/>
        <v>0</v>
      </c>
      <c r="AA189" s="1778">
        <f t="shared" si="288"/>
        <v>0</v>
      </c>
      <c r="AB189" s="1876" t="e">
        <f t="shared" si="289"/>
        <v>#DIV/0!</v>
      </c>
    </row>
    <row r="190" spans="1:28" ht="22.5" hidden="1" customHeight="1" thickTop="1" thickBot="1">
      <c r="A190" s="1772">
        <v>1</v>
      </c>
      <c r="B190" s="1773" t="s">
        <v>127</v>
      </c>
      <c r="C190" s="1773" t="s">
        <v>127</v>
      </c>
      <c r="D190" s="1773" t="s">
        <v>134</v>
      </c>
      <c r="E190" s="1773" t="s">
        <v>144</v>
      </c>
      <c r="F190" s="1773" t="s">
        <v>1703</v>
      </c>
      <c r="G190" s="1773" t="s">
        <v>180</v>
      </c>
      <c r="H190" s="1773" t="s">
        <v>127</v>
      </c>
      <c r="I190" s="1773"/>
      <c r="J190" s="1773"/>
      <c r="K190" s="1776" t="s">
        <v>1740</v>
      </c>
      <c r="L190" s="1774"/>
      <c r="M190" s="1774"/>
      <c r="N190" s="1774"/>
      <c r="O190" s="1774">
        <f t="shared" si="287"/>
        <v>0</v>
      </c>
      <c r="P190" s="1777">
        <f t="shared" ref="P190:P192" si="397">+L190*Q190</f>
        <v>0</v>
      </c>
      <c r="Q190" s="1775"/>
      <c r="R190" s="1777">
        <f t="shared" ref="R190:R192" si="398">+L190*S190</f>
        <v>0</v>
      </c>
      <c r="S190" s="1775"/>
      <c r="T190" s="1777">
        <f t="shared" ref="T190:T192" si="399">+L190*U190</f>
        <v>0</v>
      </c>
      <c r="U190" s="1775"/>
      <c r="V190" s="1777">
        <f t="shared" ref="V190:V192" si="400">+L190*W190</f>
        <v>0</v>
      </c>
      <c r="W190" s="1775"/>
      <c r="X190" s="1777"/>
      <c r="Y190" s="1777"/>
      <c r="Z190" s="1777"/>
      <c r="AA190" s="1777">
        <f t="shared" si="288"/>
        <v>0</v>
      </c>
      <c r="AB190" s="1877" t="e">
        <f t="shared" si="289"/>
        <v>#DIV/0!</v>
      </c>
    </row>
    <row r="191" spans="1:28" ht="22.5" hidden="1" customHeight="1" thickTop="1" thickBot="1">
      <c r="A191" s="1772">
        <v>1</v>
      </c>
      <c r="B191" s="1773" t="s">
        <v>127</v>
      </c>
      <c r="C191" s="1773" t="s">
        <v>127</v>
      </c>
      <c r="D191" s="1773" t="s">
        <v>134</v>
      </c>
      <c r="E191" s="1773" t="s">
        <v>144</v>
      </c>
      <c r="F191" s="1773" t="s">
        <v>1703</v>
      </c>
      <c r="G191" s="1773" t="s">
        <v>180</v>
      </c>
      <c r="H191" s="1773" t="s">
        <v>209</v>
      </c>
      <c r="I191" s="1773"/>
      <c r="J191" s="1773"/>
      <c r="K191" s="1776" t="s">
        <v>1741</v>
      </c>
      <c r="L191" s="1774"/>
      <c r="M191" s="1774"/>
      <c r="N191" s="1774"/>
      <c r="O191" s="1774">
        <f t="shared" si="287"/>
        <v>0</v>
      </c>
      <c r="P191" s="1777">
        <f t="shared" si="397"/>
        <v>0</v>
      </c>
      <c r="Q191" s="1775"/>
      <c r="R191" s="1777">
        <f t="shared" si="398"/>
        <v>0</v>
      </c>
      <c r="S191" s="1775"/>
      <c r="T191" s="1777">
        <f t="shared" si="399"/>
        <v>0</v>
      </c>
      <c r="U191" s="1775"/>
      <c r="V191" s="1777">
        <f t="shared" si="400"/>
        <v>0</v>
      </c>
      <c r="W191" s="1775"/>
      <c r="X191" s="1777"/>
      <c r="Y191" s="1777"/>
      <c r="Z191" s="1777"/>
      <c r="AA191" s="1777">
        <f t="shared" si="288"/>
        <v>0</v>
      </c>
      <c r="AB191" s="1877" t="e">
        <f t="shared" si="289"/>
        <v>#DIV/0!</v>
      </c>
    </row>
    <row r="192" spans="1:28" ht="22.5" hidden="1" customHeight="1" thickTop="1" thickBot="1">
      <c r="A192" s="1772">
        <v>1</v>
      </c>
      <c r="B192" s="1773" t="s">
        <v>127</v>
      </c>
      <c r="C192" s="1773" t="s">
        <v>127</v>
      </c>
      <c r="D192" s="1773" t="s">
        <v>134</v>
      </c>
      <c r="E192" s="1773" t="s">
        <v>144</v>
      </c>
      <c r="F192" s="1773" t="s">
        <v>1703</v>
      </c>
      <c r="G192" s="1773" t="s">
        <v>180</v>
      </c>
      <c r="H192" s="1773" t="s">
        <v>1622</v>
      </c>
      <c r="I192" s="1773"/>
      <c r="J192" s="1773"/>
      <c r="K192" s="1776" t="s">
        <v>1742</v>
      </c>
      <c r="L192" s="1774"/>
      <c r="M192" s="1774"/>
      <c r="N192" s="1774"/>
      <c r="O192" s="1774">
        <f t="shared" si="287"/>
        <v>0</v>
      </c>
      <c r="P192" s="1777">
        <f t="shared" si="397"/>
        <v>0</v>
      </c>
      <c r="Q192" s="1775"/>
      <c r="R192" s="1777">
        <f t="shared" si="398"/>
        <v>0</v>
      </c>
      <c r="S192" s="1775"/>
      <c r="T192" s="1777">
        <f t="shared" si="399"/>
        <v>0</v>
      </c>
      <c r="U192" s="1775"/>
      <c r="V192" s="1777">
        <f t="shared" si="400"/>
        <v>0</v>
      </c>
      <c r="W192" s="1775"/>
      <c r="X192" s="1777"/>
      <c r="Y192" s="1777"/>
      <c r="Z192" s="1777"/>
      <c r="AA192" s="1777">
        <f t="shared" si="288"/>
        <v>0</v>
      </c>
      <c r="AB192" s="1877" t="e">
        <f t="shared" si="289"/>
        <v>#DIV/0!</v>
      </c>
    </row>
    <row r="193" spans="1:28" s="1756" customFormat="1" ht="22.5" customHeight="1" thickTop="1" thickBot="1">
      <c r="A193" s="1756">
        <v>1</v>
      </c>
      <c r="B193" s="1756" t="s">
        <v>127</v>
      </c>
      <c r="C193" s="1756" t="s">
        <v>127</v>
      </c>
      <c r="D193" s="1756" t="s">
        <v>134</v>
      </c>
      <c r="E193" s="1756" t="s">
        <v>145</v>
      </c>
      <c r="K193" s="1798" t="s">
        <v>155</v>
      </c>
      <c r="L193" s="1758">
        <f>+L194+L205+L211+L225+L229</f>
        <v>94004331562</v>
      </c>
      <c r="M193" s="1758">
        <f t="shared" ref="M193:N193" si="401">+M194+M205+M211+M225+M229</f>
        <v>0</v>
      </c>
      <c r="N193" s="1758">
        <f t="shared" si="401"/>
        <v>0</v>
      </c>
      <c r="O193" s="1758">
        <f t="shared" si="287"/>
        <v>94004331562</v>
      </c>
      <c r="P193" s="1799">
        <f t="shared" ref="P193:V193" si="402">+P194+P205+P211+P225+P229</f>
        <v>0</v>
      </c>
      <c r="Q193" s="1759">
        <f t="shared" ref="Q193:Q196" si="403">+P193/L193</f>
        <v>0</v>
      </c>
      <c r="R193" s="1758">
        <f t="shared" si="402"/>
        <v>86948616342</v>
      </c>
      <c r="S193" s="1759">
        <f>+R193/L193</f>
        <v>0.92494265846306833</v>
      </c>
      <c r="T193" s="1799">
        <f t="shared" si="402"/>
        <v>0</v>
      </c>
      <c r="U193" s="1759">
        <f>+T193/L193</f>
        <v>0</v>
      </c>
      <c r="V193" s="1756">
        <f t="shared" si="402"/>
        <v>7055715220</v>
      </c>
      <c r="W193" s="1759">
        <f>+V193/L193</f>
        <v>7.5057341536931679E-2</v>
      </c>
      <c r="X193" s="1756">
        <f t="shared" ref="X193:Z193" si="404">+X194+X205+X211+X225+X229</f>
        <v>86650639389.100006</v>
      </c>
      <c r="Y193" s="1756">
        <f t="shared" si="404"/>
        <v>51137955582</v>
      </c>
      <c r="Z193" s="1756">
        <f t="shared" si="404"/>
        <v>29146577124.099998</v>
      </c>
      <c r="AA193" s="1756">
        <f t="shared" si="288"/>
        <v>80284532706.100006</v>
      </c>
      <c r="AB193" s="1880">
        <f t="shared" si="289"/>
        <v>0.926531336319247</v>
      </c>
    </row>
    <row r="194" spans="1:28" s="1791" customFormat="1" ht="22.5" customHeight="1" thickTop="1" thickBot="1">
      <c r="A194" s="1785">
        <v>1</v>
      </c>
      <c r="B194" s="1786" t="s">
        <v>127</v>
      </c>
      <c r="C194" s="1786" t="s">
        <v>127</v>
      </c>
      <c r="D194" s="1786" t="s">
        <v>134</v>
      </c>
      <c r="E194" s="1786" t="s">
        <v>145</v>
      </c>
      <c r="F194" s="1786" t="s">
        <v>1751</v>
      </c>
      <c r="G194" s="1786"/>
      <c r="H194" s="1786"/>
      <c r="I194" s="1786"/>
      <c r="J194" s="1786"/>
      <c r="K194" s="1788" t="s">
        <v>1752</v>
      </c>
      <c r="L194" s="1789">
        <f t="shared" ref="L194:V194" si="405">+L195+L200</f>
        <v>94004331562</v>
      </c>
      <c r="M194" s="1789">
        <f t="shared" si="405"/>
        <v>0</v>
      </c>
      <c r="N194" s="1789">
        <f t="shared" si="405"/>
        <v>0</v>
      </c>
      <c r="O194" s="1789">
        <f t="shared" si="287"/>
        <v>94004331562</v>
      </c>
      <c r="P194" s="1789">
        <f t="shared" si="405"/>
        <v>0</v>
      </c>
      <c r="Q194" s="1790">
        <f t="shared" si="403"/>
        <v>0</v>
      </c>
      <c r="R194" s="1789">
        <f t="shared" si="405"/>
        <v>86948616342</v>
      </c>
      <c r="S194" s="1790">
        <f t="shared" ref="S194:S197" si="406">+R194/L194</f>
        <v>0.92494265846306833</v>
      </c>
      <c r="T194" s="1789">
        <f t="shared" si="405"/>
        <v>0</v>
      </c>
      <c r="U194" s="1790">
        <f t="shared" ref="U194:U196" si="407">+T194/L194</f>
        <v>0</v>
      </c>
      <c r="V194" s="1800">
        <f t="shared" si="405"/>
        <v>7055715220</v>
      </c>
      <c r="W194" s="1790">
        <f t="shared" ref="W194:W196" si="408">+V194/L194</f>
        <v>7.5057341536931679E-2</v>
      </c>
      <c r="X194" s="1800">
        <f t="shared" ref="X194:Z194" si="409">+X195+X200</f>
        <v>86650639389.100006</v>
      </c>
      <c r="Y194" s="1800">
        <f t="shared" si="409"/>
        <v>51137955582</v>
      </c>
      <c r="Z194" s="1800">
        <f t="shared" si="409"/>
        <v>29146577124.099998</v>
      </c>
      <c r="AA194" s="1800">
        <f t="shared" si="288"/>
        <v>80284532706.100006</v>
      </c>
      <c r="AB194" s="1878">
        <f t="shared" si="289"/>
        <v>0.926531336319247</v>
      </c>
    </row>
    <row r="195" spans="1:28" s="1729" customFormat="1" ht="22.5" customHeight="1" thickTop="1" thickBot="1">
      <c r="A195" s="1767">
        <v>1</v>
      </c>
      <c r="B195" s="1768" t="s">
        <v>127</v>
      </c>
      <c r="C195" s="1768" t="s">
        <v>127</v>
      </c>
      <c r="D195" s="1768" t="s">
        <v>134</v>
      </c>
      <c r="E195" s="1768" t="s">
        <v>145</v>
      </c>
      <c r="F195" s="1768" t="s">
        <v>1751</v>
      </c>
      <c r="G195" s="1768" t="s">
        <v>129</v>
      </c>
      <c r="H195" s="1768"/>
      <c r="I195" s="1768"/>
      <c r="J195" s="1768"/>
      <c r="K195" s="1769" t="s">
        <v>1753</v>
      </c>
      <c r="L195" s="1770">
        <f t="shared" ref="L195:Z195" si="410">+L196</f>
        <v>94004331562</v>
      </c>
      <c r="M195" s="1770">
        <f t="shared" si="410"/>
        <v>0</v>
      </c>
      <c r="N195" s="1770">
        <f t="shared" si="410"/>
        <v>0</v>
      </c>
      <c r="O195" s="1770">
        <f t="shared" si="287"/>
        <v>94004331562</v>
      </c>
      <c r="P195" s="1770">
        <f t="shared" si="410"/>
        <v>0</v>
      </c>
      <c r="Q195" s="1771">
        <f t="shared" si="403"/>
        <v>0</v>
      </c>
      <c r="R195" s="1770">
        <f t="shared" si="410"/>
        <v>86948616342</v>
      </c>
      <c r="S195" s="1771">
        <f t="shared" si="406"/>
        <v>0.92494265846306833</v>
      </c>
      <c r="T195" s="1770">
        <f t="shared" si="410"/>
        <v>0</v>
      </c>
      <c r="U195" s="1771">
        <f t="shared" si="407"/>
        <v>0</v>
      </c>
      <c r="V195" s="1778">
        <f t="shared" si="410"/>
        <v>7055715220</v>
      </c>
      <c r="W195" s="1771">
        <f t="shared" si="408"/>
        <v>7.5057341536931679E-2</v>
      </c>
      <c r="X195" s="1778">
        <f t="shared" si="410"/>
        <v>86650639389.100006</v>
      </c>
      <c r="Y195" s="1778">
        <f t="shared" si="410"/>
        <v>51137955582</v>
      </c>
      <c r="Z195" s="1778">
        <f t="shared" si="410"/>
        <v>29146577124.099998</v>
      </c>
      <c r="AA195" s="1778">
        <f t="shared" si="288"/>
        <v>80284532706.100006</v>
      </c>
      <c r="AB195" s="1876">
        <f t="shared" si="289"/>
        <v>0.926531336319247</v>
      </c>
    </row>
    <row r="196" spans="1:28" s="1729" customFormat="1" ht="22.5" customHeight="1" thickTop="1" thickBot="1">
      <c r="A196" s="1767">
        <v>1</v>
      </c>
      <c r="B196" s="1768" t="s">
        <v>127</v>
      </c>
      <c r="C196" s="1768" t="s">
        <v>127</v>
      </c>
      <c r="D196" s="1768" t="s">
        <v>134</v>
      </c>
      <c r="E196" s="1768" t="s">
        <v>145</v>
      </c>
      <c r="F196" s="1768" t="s">
        <v>1751</v>
      </c>
      <c r="G196" s="1768" t="s">
        <v>129</v>
      </c>
      <c r="H196" s="1768" t="s">
        <v>194</v>
      </c>
      <c r="I196" s="1768"/>
      <c r="J196" s="1768"/>
      <c r="K196" s="1769" t="s">
        <v>1754</v>
      </c>
      <c r="L196" s="1770">
        <f t="shared" ref="L196:N196" si="411">SUM(L197:L199)</f>
        <v>94004331562</v>
      </c>
      <c r="M196" s="1770">
        <f t="shared" si="411"/>
        <v>0</v>
      </c>
      <c r="N196" s="1770">
        <f t="shared" si="411"/>
        <v>0</v>
      </c>
      <c r="O196" s="1770">
        <f t="shared" si="287"/>
        <v>94004331562</v>
      </c>
      <c r="P196" s="1770">
        <f t="shared" ref="P196:V196" si="412">SUM(P197:P199)</f>
        <v>0</v>
      </c>
      <c r="Q196" s="1771">
        <f t="shared" si="403"/>
        <v>0</v>
      </c>
      <c r="R196" s="1770">
        <f t="shared" si="412"/>
        <v>86948616342</v>
      </c>
      <c r="S196" s="1771">
        <f t="shared" si="406"/>
        <v>0.92494265846306833</v>
      </c>
      <c r="T196" s="1770">
        <f t="shared" si="412"/>
        <v>0</v>
      </c>
      <c r="U196" s="1771">
        <f t="shared" si="407"/>
        <v>0</v>
      </c>
      <c r="V196" s="1778">
        <f t="shared" si="412"/>
        <v>7055715220</v>
      </c>
      <c r="W196" s="1771">
        <f t="shared" si="408"/>
        <v>7.5057341536931679E-2</v>
      </c>
      <c r="X196" s="1778">
        <f t="shared" ref="X196:Z196" si="413">SUM(X197:X199)</f>
        <v>86650639389.100006</v>
      </c>
      <c r="Y196" s="1778">
        <f t="shared" si="413"/>
        <v>51137955582</v>
      </c>
      <c r="Z196" s="1778">
        <f t="shared" si="413"/>
        <v>29146577124.099998</v>
      </c>
      <c r="AA196" s="1778">
        <f t="shared" si="288"/>
        <v>80284532706.100006</v>
      </c>
      <c r="AB196" s="1876">
        <f t="shared" si="289"/>
        <v>0.926531336319247</v>
      </c>
    </row>
    <row r="197" spans="1:28" ht="22.5" customHeight="1" thickTop="1" thickBot="1">
      <c r="A197" s="1772">
        <v>1</v>
      </c>
      <c r="B197" s="1773" t="s">
        <v>127</v>
      </c>
      <c r="C197" s="1773" t="s">
        <v>127</v>
      </c>
      <c r="D197" s="1773" t="s">
        <v>134</v>
      </c>
      <c r="E197" s="1773" t="s">
        <v>145</v>
      </c>
      <c r="F197" s="1773" t="s">
        <v>1751</v>
      </c>
      <c r="G197" s="1773" t="s">
        <v>129</v>
      </c>
      <c r="H197" s="1773" t="s">
        <v>194</v>
      </c>
      <c r="I197" s="1773" t="s">
        <v>127</v>
      </c>
      <c r="J197" s="1773"/>
      <c r="K197" s="1917" t="s">
        <v>950</v>
      </c>
      <c r="L197" s="1918">
        <v>72228046789</v>
      </c>
      <c r="M197" s="1918"/>
      <c r="N197" s="1918"/>
      <c r="O197" s="1918">
        <f t="shared" si="287"/>
        <v>72228046789</v>
      </c>
      <c r="P197" s="1774">
        <f t="shared" ref="P197:P199" si="414">+L197*Q197</f>
        <v>0</v>
      </c>
      <c r="Q197" s="1775">
        <v>0</v>
      </c>
      <c r="R197" s="1918">
        <v>65172331569</v>
      </c>
      <c r="S197" s="1801">
        <f t="shared" si="406"/>
        <v>0.90231335978651228</v>
      </c>
      <c r="T197" s="1774">
        <f t="shared" ref="T197:T199" si="415">+L197*U197</f>
        <v>0</v>
      </c>
      <c r="U197" s="1775">
        <v>0</v>
      </c>
      <c r="V197" s="1919">
        <v>7055715220</v>
      </c>
      <c r="W197" s="1802">
        <f>+V197/L197</f>
        <v>9.7686640213487719E-2</v>
      </c>
      <c r="X197" s="1777">
        <f>6366106683+AA197</f>
        <v>77108369657.100006</v>
      </c>
      <c r="Y197" s="1777">
        <f>+'[8]INGRESOS CRA OCT2022'!P51</f>
        <v>41595685850</v>
      </c>
      <c r="Z197" s="1777">
        <f>+'[8]INGRESOS CRA OCT2022'!Y51</f>
        <v>29146577124.099998</v>
      </c>
      <c r="AA197" s="1919">
        <f t="shared" si="288"/>
        <v>70742262974.100006</v>
      </c>
      <c r="AB197" s="1877">
        <f t="shared" si="289"/>
        <v>0.91743948534627306</v>
      </c>
    </row>
    <row r="198" spans="1:28" ht="22.5" customHeight="1" thickTop="1" thickBot="1">
      <c r="A198" s="1772">
        <v>1</v>
      </c>
      <c r="B198" s="1773" t="s">
        <v>127</v>
      </c>
      <c r="C198" s="1773" t="s">
        <v>127</v>
      </c>
      <c r="D198" s="1773" t="s">
        <v>134</v>
      </c>
      <c r="E198" s="1773" t="s">
        <v>145</v>
      </c>
      <c r="F198" s="1773" t="s">
        <v>1751</v>
      </c>
      <c r="G198" s="1773" t="s">
        <v>129</v>
      </c>
      <c r="H198" s="1773" t="s">
        <v>194</v>
      </c>
      <c r="I198" s="1773" t="s">
        <v>209</v>
      </c>
      <c r="J198" s="1773"/>
      <c r="K198" s="1917" t="s">
        <v>951</v>
      </c>
      <c r="L198" s="1918">
        <v>21776284773</v>
      </c>
      <c r="M198" s="1918"/>
      <c r="N198" s="1918"/>
      <c r="O198" s="1918">
        <f t="shared" si="287"/>
        <v>21776284773</v>
      </c>
      <c r="P198" s="1774">
        <f t="shared" si="414"/>
        <v>0</v>
      </c>
      <c r="Q198" s="1775">
        <v>0</v>
      </c>
      <c r="R198" s="1918">
        <v>21776284773</v>
      </c>
      <c r="S198" s="1775">
        <v>1</v>
      </c>
      <c r="T198" s="1774">
        <f t="shared" si="415"/>
        <v>0</v>
      </c>
      <c r="U198" s="1775">
        <v>0</v>
      </c>
      <c r="V198" s="1919">
        <f t="shared" ref="V198:V199" si="416">+L198*W198</f>
        <v>0</v>
      </c>
      <c r="W198" s="1775">
        <v>0</v>
      </c>
      <c r="X198" s="1777">
        <f>+AA198</f>
        <v>9542269732</v>
      </c>
      <c r="Y198" s="1777">
        <f>+'[8]INGRESOS CRA OCT2022'!P52</f>
        <v>9542269732</v>
      </c>
      <c r="Z198" s="1777">
        <f>+'[8]INGRESOS CRA OCT2022'!Y52</f>
        <v>0</v>
      </c>
      <c r="AA198" s="1919">
        <f t="shared" si="288"/>
        <v>9542269732</v>
      </c>
      <c r="AB198" s="1877">
        <f t="shared" si="289"/>
        <v>1</v>
      </c>
    </row>
    <row r="199" spans="1:28" ht="22.5" hidden="1" customHeight="1" thickTop="1" thickBot="1">
      <c r="A199" s="1772">
        <v>1</v>
      </c>
      <c r="B199" s="1773" t="s">
        <v>127</v>
      </c>
      <c r="C199" s="1773" t="s">
        <v>127</v>
      </c>
      <c r="D199" s="1773" t="s">
        <v>134</v>
      </c>
      <c r="E199" s="1773" t="s">
        <v>145</v>
      </c>
      <c r="F199" s="1773" t="s">
        <v>1751</v>
      </c>
      <c r="G199" s="1773" t="s">
        <v>129</v>
      </c>
      <c r="H199" s="1773" t="s">
        <v>194</v>
      </c>
      <c r="I199" s="1773" t="s">
        <v>1622</v>
      </c>
      <c r="J199" s="1773"/>
      <c r="K199" s="1776" t="s">
        <v>1755</v>
      </c>
      <c r="L199" s="1774"/>
      <c r="M199" s="1774"/>
      <c r="N199" s="1774"/>
      <c r="O199" s="1774">
        <f t="shared" si="287"/>
        <v>0</v>
      </c>
      <c r="P199" s="1777">
        <f t="shared" si="414"/>
        <v>0</v>
      </c>
      <c r="Q199" s="1775"/>
      <c r="R199" s="1777">
        <f>+L199*S199</f>
        <v>0</v>
      </c>
      <c r="S199" s="1775"/>
      <c r="T199" s="1777">
        <f t="shared" si="415"/>
        <v>0</v>
      </c>
      <c r="U199" s="1775"/>
      <c r="V199" s="1777">
        <f t="shared" si="416"/>
        <v>0</v>
      </c>
      <c r="W199" s="1775"/>
      <c r="X199" s="1777"/>
      <c r="Y199" s="1777"/>
      <c r="Z199" s="1777"/>
      <c r="AA199" s="1777">
        <f t="shared" si="288"/>
        <v>0</v>
      </c>
      <c r="AB199" s="1877" t="e">
        <f t="shared" si="289"/>
        <v>#DIV/0!</v>
      </c>
    </row>
    <row r="200" spans="1:28" s="1729" customFormat="1" ht="22.5" hidden="1" customHeight="1" thickTop="1" thickBot="1">
      <c r="A200" s="1767">
        <v>1</v>
      </c>
      <c r="B200" s="1768" t="s">
        <v>127</v>
      </c>
      <c r="C200" s="1768" t="s">
        <v>127</v>
      </c>
      <c r="D200" s="1768" t="s">
        <v>134</v>
      </c>
      <c r="E200" s="1768" t="s">
        <v>145</v>
      </c>
      <c r="F200" s="1768" t="s">
        <v>1751</v>
      </c>
      <c r="G200" s="1768" t="s">
        <v>139</v>
      </c>
      <c r="H200" s="1768"/>
      <c r="I200" s="1768"/>
      <c r="J200" s="1768"/>
      <c r="K200" s="1769" t="s">
        <v>1756</v>
      </c>
      <c r="L200" s="1770">
        <f>+L201</f>
        <v>0</v>
      </c>
      <c r="M200" s="1770">
        <f t="shared" ref="M200:N200" si="417">+M201</f>
        <v>0</v>
      </c>
      <c r="N200" s="1770">
        <f t="shared" si="417"/>
        <v>0</v>
      </c>
      <c r="O200" s="1770">
        <f t="shared" ref="O200:O263" si="418">+L200+M200-N200</f>
        <v>0</v>
      </c>
      <c r="P200" s="1778">
        <f t="shared" ref="P200:Z200" si="419">+P201</f>
        <v>0</v>
      </c>
      <c r="Q200" s="1771" t="e">
        <f t="shared" ref="Q200:Q201" si="420">+P200/L200</f>
        <v>#DIV/0!</v>
      </c>
      <c r="R200" s="1778">
        <f t="shared" si="419"/>
        <v>0</v>
      </c>
      <c r="S200" s="1771" t="e">
        <f t="shared" ref="S200:S201" si="421">+R200/L200</f>
        <v>#DIV/0!</v>
      </c>
      <c r="T200" s="1778">
        <f t="shared" si="419"/>
        <v>0</v>
      </c>
      <c r="U200" s="1771" t="e">
        <f t="shared" ref="U200:U201" si="422">+T200/L200</f>
        <v>#DIV/0!</v>
      </c>
      <c r="V200" s="1778">
        <f t="shared" si="419"/>
        <v>0</v>
      </c>
      <c r="W200" s="1771" t="e">
        <f t="shared" ref="W200:W201" si="423">+V200/L200</f>
        <v>#DIV/0!</v>
      </c>
      <c r="X200" s="1778">
        <f t="shared" si="419"/>
        <v>0</v>
      </c>
      <c r="Y200" s="1778">
        <f t="shared" si="419"/>
        <v>0</v>
      </c>
      <c r="Z200" s="1778">
        <f t="shared" si="419"/>
        <v>0</v>
      </c>
      <c r="AA200" s="1778">
        <f t="shared" ref="AA200:AA263" si="424">+Y200+Z200</f>
        <v>0</v>
      </c>
      <c r="AB200" s="1876" t="e">
        <f t="shared" ref="AB200:AB263" si="425">+AA200/X200</f>
        <v>#DIV/0!</v>
      </c>
    </row>
    <row r="201" spans="1:28" s="1729" customFormat="1" ht="22.5" hidden="1" customHeight="1" thickTop="1" thickBot="1">
      <c r="A201" s="1767">
        <v>1</v>
      </c>
      <c r="B201" s="1768" t="s">
        <v>127</v>
      </c>
      <c r="C201" s="1768" t="s">
        <v>127</v>
      </c>
      <c r="D201" s="1768" t="s">
        <v>134</v>
      </c>
      <c r="E201" s="1768" t="s">
        <v>145</v>
      </c>
      <c r="F201" s="1768" t="s">
        <v>1751</v>
      </c>
      <c r="G201" s="1768" t="s">
        <v>139</v>
      </c>
      <c r="H201" s="1768" t="s">
        <v>139</v>
      </c>
      <c r="I201" s="1768"/>
      <c r="J201" s="1768"/>
      <c r="K201" s="1769" t="s">
        <v>1757</v>
      </c>
      <c r="L201" s="1770">
        <f>SUM(L202:L204)</f>
        <v>0</v>
      </c>
      <c r="M201" s="1770">
        <f t="shared" ref="M201:N201" si="426">SUM(M202:M204)</f>
        <v>0</v>
      </c>
      <c r="N201" s="1770">
        <f t="shared" si="426"/>
        <v>0</v>
      </c>
      <c r="O201" s="1770">
        <f t="shared" si="418"/>
        <v>0</v>
      </c>
      <c r="P201" s="1778">
        <f t="shared" ref="P201:V201" si="427">SUM(P202:P204)</f>
        <v>0</v>
      </c>
      <c r="Q201" s="1771" t="e">
        <f t="shared" si="420"/>
        <v>#DIV/0!</v>
      </c>
      <c r="R201" s="1778">
        <f t="shared" si="427"/>
        <v>0</v>
      </c>
      <c r="S201" s="1771" t="e">
        <f t="shared" si="421"/>
        <v>#DIV/0!</v>
      </c>
      <c r="T201" s="1778">
        <f t="shared" si="427"/>
        <v>0</v>
      </c>
      <c r="U201" s="1771" t="e">
        <f t="shared" si="422"/>
        <v>#DIV/0!</v>
      </c>
      <c r="V201" s="1778">
        <f t="shared" si="427"/>
        <v>0</v>
      </c>
      <c r="W201" s="1771" t="e">
        <f t="shared" si="423"/>
        <v>#DIV/0!</v>
      </c>
      <c r="X201" s="1778">
        <f t="shared" ref="X201:Z201" si="428">SUM(X202:X204)</f>
        <v>0</v>
      </c>
      <c r="Y201" s="1778">
        <f t="shared" si="428"/>
        <v>0</v>
      </c>
      <c r="Z201" s="1778">
        <f t="shared" si="428"/>
        <v>0</v>
      </c>
      <c r="AA201" s="1778">
        <f t="shared" si="424"/>
        <v>0</v>
      </c>
      <c r="AB201" s="1876" t="e">
        <f t="shared" si="425"/>
        <v>#DIV/0!</v>
      </c>
    </row>
    <row r="202" spans="1:28" ht="22.5" hidden="1" customHeight="1" thickTop="1" thickBot="1">
      <c r="A202" s="1772">
        <v>1</v>
      </c>
      <c r="B202" s="1773" t="s">
        <v>127</v>
      </c>
      <c r="C202" s="1773" t="s">
        <v>127</v>
      </c>
      <c r="D202" s="1773" t="s">
        <v>134</v>
      </c>
      <c r="E202" s="1773" t="s">
        <v>145</v>
      </c>
      <c r="F202" s="1773" t="s">
        <v>1751</v>
      </c>
      <c r="G202" s="1773" t="s">
        <v>139</v>
      </c>
      <c r="H202" s="1773" t="s">
        <v>139</v>
      </c>
      <c r="I202" s="1773" t="s">
        <v>127</v>
      </c>
      <c r="J202" s="1773"/>
      <c r="K202" s="1776" t="s">
        <v>1758</v>
      </c>
      <c r="L202" s="1774"/>
      <c r="M202" s="1774"/>
      <c r="N202" s="1774"/>
      <c r="O202" s="1774">
        <f t="shared" si="418"/>
        <v>0</v>
      </c>
      <c r="P202" s="1777">
        <f t="shared" ref="P202:P204" si="429">+L202*Q202</f>
        <v>0</v>
      </c>
      <c r="Q202" s="1775"/>
      <c r="R202" s="1777">
        <f t="shared" ref="R202:R204" si="430">+L202*S202</f>
        <v>0</v>
      </c>
      <c r="S202" s="1775"/>
      <c r="T202" s="1777">
        <f t="shared" ref="T202:T204" si="431">+L202*U202</f>
        <v>0</v>
      </c>
      <c r="U202" s="1775"/>
      <c r="V202" s="1777">
        <f t="shared" ref="V202:V204" si="432">+L202*W202</f>
        <v>0</v>
      </c>
      <c r="W202" s="1775"/>
      <c r="X202" s="1777"/>
      <c r="Y202" s="1777"/>
      <c r="Z202" s="1777"/>
      <c r="AA202" s="1777">
        <f t="shared" si="424"/>
        <v>0</v>
      </c>
      <c r="AB202" s="1877" t="e">
        <f t="shared" si="425"/>
        <v>#DIV/0!</v>
      </c>
    </row>
    <row r="203" spans="1:28" ht="22.5" hidden="1" customHeight="1" thickTop="1" thickBot="1">
      <c r="A203" s="1772">
        <v>1</v>
      </c>
      <c r="B203" s="1773" t="s">
        <v>127</v>
      </c>
      <c r="C203" s="1773" t="s">
        <v>127</v>
      </c>
      <c r="D203" s="1773" t="s">
        <v>134</v>
      </c>
      <c r="E203" s="1773" t="s">
        <v>145</v>
      </c>
      <c r="F203" s="1773" t="s">
        <v>1751</v>
      </c>
      <c r="G203" s="1773" t="s">
        <v>139</v>
      </c>
      <c r="H203" s="1773" t="s">
        <v>139</v>
      </c>
      <c r="I203" s="1773" t="s">
        <v>209</v>
      </c>
      <c r="J203" s="1773"/>
      <c r="K203" s="1776" t="s">
        <v>1759</v>
      </c>
      <c r="L203" s="1774"/>
      <c r="M203" s="1774"/>
      <c r="N203" s="1774"/>
      <c r="O203" s="1774">
        <f t="shared" si="418"/>
        <v>0</v>
      </c>
      <c r="P203" s="1777">
        <f t="shared" si="429"/>
        <v>0</v>
      </c>
      <c r="Q203" s="1775"/>
      <c r="R203" s="1777">
        <f t="shared" si="430"/>
        <v>0</v>
      </c>
      <c r="S203" s="1775"/>
      <c r="T203" s="1777">
        <f t="shared" si="431"/>
        <v>0</v>
      </c>
      <c r="U203" s="1775"/>
      <c r="V203" s="1777">
        <f t="shared" si="432"/>
        <v>0</v>
      </c>
      <c r="W203" s="1775"/>
      <c r="X203" s="1777"/>
      <c r="Y203" s="1777"/>
      <c r="Z203" s="1777"/>
      <c r="AA203" s="1777">
        <f t="shared" si="424"/>
        <v>0</v>
      </c>
      <c r="AB203" s="1877" t="e">
        <f t="shared" si="425"/>
        <v>#DIV/0!</v>
      </c>
    </row>
    <row r="204" spans="1:28" ht="22.5" hidden="1" customHeight="1" thickTop="1" thickBot="1">
      <c r="A204" s="1772">
        <v>1</v>
      </c>
      <c r="B204" s="1773" t="s">
        <v>127</v>
      </c>
      <c r="C204" s="1773" t="s">
        <v>127</v>
      </c>
      <c r="D204" s="1773" t="s">
        <v>134</v>
      </c>
      <c r="E204" s="1773" t="s">
        <v>145</v>
      </c>
      <c r="F204" s="1773" t="s">
        <v>1751</v>
      </c>
      <c r="G204" s="1773" t="s">
        <v>139</v>
      </c>
      <c r="H204" s="1773" t="s">
        <v>139</v>
      </c>
      <c r="I204" s="1773" t="s">
        <v>1622</v>
      </c>
      <c r="J204" s="1773"/>
      <c r="K204" s="1776" t="s">
        <v>1760</v>
      </c>
      <c r="L204" s="1774"/>
      <c r="M204" s="1774"/>
      <c r="N204" s="1774"/>
      <c r="O204" s="1774">
        <f t="shared" si="418"/>
        <v>0</v>
      </c>
      <c r="P204" s="1777">
        <f t="shared" si="429"/>
        <v>0</v>
      </c>
      <c r="Q204" s="1775"/>
      <c r="R204" s="1777">
        <f t="shared" si="430"/>
        <v>0</v>
      </c>
      <c r="S204" s="1775"/>
      <c r="T204" s="1777">
        <f t="shared" si="431"/>
        <v>0</v>
      </c>
      <c r="U204" s="1775"/>
      <c r="V204" s="1777">
        <f t="shared" si="432"/>
        <v>0</v>
      </c>
      <c r="W204" s="1775"/>
      <c r="X204" s="1777"/>
      <c r="Y204" s="1777"/>
      <c r="Z204" s="1777"/>
      <c r="AA204" s="1777">
        <f t="shared" si="424"/>
        <v>0</v>
      </c>
      <c r="AB204" s="1877" t="e">
        <f t="shared" si="425"/>
        <v>#DIV/0!</v>
      </c>
    </row>
    <row r="205" spans="1:28" s="1729" customFormat="1" ht="22.5" hidden="1" customHeight="1" thickTop="1" thickBot="1">
      <c r="A205" s="1767">
        <v>1</v>
      </c>
      <c r="B205" s="1767">
        <v>1</v>
      </c>
      <c r="C205" s="1768" t="s">
        <v>127</v>
      </c>
      <c r="D205" s="1767">
        <v>2</v>
      </c>
      <c r="E205" s="1768" t="s">
        <v>145</v>
      </c>
      <c r="F205" s="1768" t="s">
        <v>1761</v>
      </c>
      <c r="G205" s="1768"/>
      <c r="H205" s="1768"/>
      <c r="I205" s="1768"/>
      <c r="J205" s="1768"/>
      <c r="K205" s="1769" t="s">
        <v>1762</v>
      </c>
      <c r="L205" s="1770">
        <f>+L206</f>
        <v>0</v>
      </c>
      <c r="M205" s="1770">
        <f t="shared" ref="M205:N206" si="433">+M206</f>
        <v>0</v>
      </c>
      <c r="N205" s="1770">
        <f t="shared" si="433"/>
        <v>0</v>
      </c>
      <c r="O205" s="1770">
        <f t="shared" si="418"/>
        <v>0</v>
      </c>
      <c r="P205" s="1778">
        <f t="shared" ref="P205:Z206" si="434">+P206</f>
        <v>0</v>
      </c>
      <c r="Q205" s="1771" t="e">
        <f t="shared" ref="Q205:Q207" si="435">+P205/L205</f>
        <v>#DIV/0!</v>
      </c>
      <c r="R205" s="1778">
        <f t="shared" si="434"/>
        <v>0</v>
      </c>
      <c r="S205" s="1771" t="e">
        <f t="shared" ref="S205:S207" si="436">+R205/L205</f>
        <v>#DIV/0!</v>
      </c>
      <c r="T205" s="1778">
        <f t="shared" si="434"/>
        <v>0</v>
      </c>
      <c r="U205" s="1771" t="e">
        <f t="shared" ref="U205:U207" si="437">+T205/L205</f>
        <v>#DIV/0!</v>
      </c>
      <c r="V205" s="1778">
        <f t="shared" si="434"/>
        <v>0</v>
      </c>
      <c r="W205" s="1771" t="e">
        <f t="shared" ref="W205:W207" si="438">+V205/L205</f>
        <v>#DIV/0!</v>
      </c>
      <c r="X205" s="1778">
        <f t="shared" si="434"/>
        <v>0</v>
      </c>
      <c r="Y205" s="1778">
        <f t="shared" si="434"/>
        <v>0</v>
      </c>
      <c r="Z205" s="1778">
        <f t="shared" si="434"/>
        <v>0</v>
      </c>
      <c r="AA205" s="1778">
        <f t="shared" si="424"/>
        <v>0</v>
      </c>
      <c r="AB205" s="1876" t="e">
        <f t="shared" si="425"/>
        <v>#DIV/0!</v>
      </c>
    </row>
    <row r="206" spans="1:28" s="1729" customFormat="1" ht="22.5" hidden="1" customHeight="1" thickTop="1" thickBot="1">
      <c r="A206" s="1767">
        <v>1</v>
      </c>
      <c r="B206" s="1767">
        <v>1</v>
      </c>
      <c r="C206" s="1768" t="s">
        <v>127</v>
      </c>
      <c r="D206" s="1767">
        <v>2</v>
      </c>
      <c r="E206" s="1768" t="s">
        <v>145</v>
      </c>
      <c r="F206" s="1768" t="s">
        <v>1761</v>
      </c>
      <c r="G206" s="1768" t="s">
        <v>134</v>
      </c>
      <c r="H206" s="1768"/>
      <c r="I206" s="1768"/>
      <c r="J206" s="1768"/>
      <c r="K206" s="1769" t="s">
        <v>1763</v>
      </c>
      <c r="L206" s="1770">
        <f>+L207</f>
        <v>0</v>
      </c>
      <c r="M206" s="1770">
        <f t="shared" si="433"/>
        <v>0</v>
      </c>
      <c r="N206" s="1770">
        <f t="shared" si="433"/>
        <v>0</v>
      </c>
      <c r="O206" s="1770">
        <f t="shared" si="418"/>
        <v>0</v>
      </c>
      <c r="P206" s="1778">
        <f t="shared" si="434"/>
        <v>0</v>
      </c>
      <c r="Q206" s="1771" t="e">
        <f t="shared" si="435"/>
        <v>#DIV/0!</v>
      </c>
      <c r="R206" s="1778">
        <f t="shared" si="434"/>
        <v>0</v>
      </c>
      <c r="S206" s="1771" t="e">
        <f t="shared" si="436"/>
        <v>#DIV/0!</v>
      </c>
      <c r="T206" s="1778">
        <f t="shared" si="434"/>
        <v>0</v>
      </c>
      <c r="U206" s="1771" t="e">
        <f t="shared" si="437"/>
        <v>#DIV/0!</v>
      </c>
      <c r="V206" s="1778">
        <f t="shared" si="434"/>
        <v>0</v>
      </c>
      <c r="W206" s="1771" t="e">
        <f t="shared" si="438"/>
        <v>#DIV/0!</v>
      </c>
      <c r="X206" s="1778">
        <f t="shared" si="434"/>
        <v>0</v>
      </c>
      <c r="Y206" s="1778">
        <f t="shared" si="434"/>
        <v>0</v>
      </c>
      <c r="Z206" s="1778">
        <f t="shared" si="434"/>
        <v>0</v>
      </c>
      <c r="AA206" s="1778">
        <f t="shared" si="424"/>
        <v>0</v>
      </c>
      <c r="AB206" s="1876" t="e">
        <f t="shared" si="425"/>
        <v>#DIV/0!</v>
      </c>
    </row>
    <row r="207" spans="1:28" s="1729" customFormat="1" ht="22.5" hidden="1" customHeight="1" thickTop="1" thickBot="1">
      <c r="A207" s="1767">
        <v>1</v>
      </c>
      <c r="B207" s="1767">
        <v>1</v>
      </c>
      <c r="C207" s="1768" t="s">
        <v>127</v>
      </c>
      <c r="D207" s="1767">
        <v>2</v>
      </c>
      <c r="E207" s="1768" t="s">
        <v>145</v>
      </c>
      <c r="F207" s="1768" t="s">
        <v>1761</v>
      </c>
      <c r="G207" s="1768" t="s">
        <v>134</v>
      </c>
      <c r="H207" s="1768" t="s">
        <v>139</v>
      </c>
      <c r="I207" s="1768"/>
      <c r="J207" s="1768"/>
      <c r="K207" s="1769" t="s">
        <v>1764</v>
      </c>
      <c r="L207" s="1770">
        <f>SUM(L208:L210)</f>
        <v>0</v>
      </c>
      <c r="M207" s="1770">
        <f t="shared" ref="M207:N207" si="439">SUM(M208:M210)</f>
        <v>0</v>
      </c>
      <c r="N207" s="1770">
        <f t="shared" si="439"/>
        <v>0</v>
      </c>
      <c r="O207" s="1770">
        <f t="shared" si="418"/>
        <v>0</v>
      </c>
      <c r="P207" s="1778">
        <f t="shared" ref="P207:V207" si="440">SUM(P208:P210)</f>
        <v>0</v>
      </c>
      <c r="Q207" s="1771" t="e">
        <f t="shared" si="435"/>
        <v>#DIV/0!</v>
      </c>
      <c r="R207" s="1778">
        <f t="shared" si="440"/>
        <v>0</v>
      </c>
      <c r="S207" s="1771" t="e">
        <f t="shared" si="436"/>
        <v>#DIV/0!</v>
      </c>
      <c r="T207" s="1778">
        <f t="shared" si="440"/>
        <v>0</v>
      </c>
      <c r="U207" s="1771" t="e">
        <f t="shared" si="437"/>
        <v>#DIV/0!</v>
      </c>
      <c r="V207" s="1778">
        <f t="shared" si="440"/>
        <v>0</v>
      </c>
      <c r="W207" s="1771" t="e">
        <f t="shared" si="438"/>
        <v>#DIV/0!</v>
      </c>
      <c r="X207" s="1778">
        <f t="shared" ref="X207:Z207" si="441">SUM(X208:X210)</f>
        <v>0</v>
      </c>
      <c r="Y207" s="1778">
        <f t="shared" si="441"/>
        <v>0</v>
      </c>
      <c r="Z207" s="1778">
        <f t="shared" si="441"/>
        <v>0</v>
      </c>
      <c r="AA207" s="1778">
        <f t="shared" si="424"/>
        <v>0</v>
      </c>
      <c r="AB207" s="1876" t="e">
        <f t="shared" si="425"/>
        <v>#DIV/0!</v>
      </c>
    </row>
    <row r="208" spans="1:28" ht="22.5" hidden="1" customHeight="1" thickTop="1" thickBot="1">
      <c r="A208" s="1772">
        <v>1</v>
      </c>
      <c r="B208" s="1772">
        <v>1</v>
      </c>
      <c r="C208" s="1773" t="s">
        <v>127</v>
      </c>
      <c r="D208" s="1772">
        <v>2</v>
      </c>
      <c r="E208" s="1773" t="s">
        <v>145</v>
      </c>
      <c r="F208" s="1773" t="s">
        <v>1761</v>
      </c>
      <c r="G208" s="1773" t="s">
        <v>134</v>
      </c>
      <c r="H208" s="1773" t="s">
        <v>139</v>
      </c>
      <c r="I208" s="1773" t="s">
        <v>127</v>
      </c>
      <c r="J208" s="1773"/>
      <c r="K208" s="1776" t="s">
        <v>1765</v>
      </c>
      <c r="L208" s="1774"/>
      <c r="M208" s="1774"/>
      <c r="N208" s="1774"/>
      <c r="O208" s="1774">
        <f t="shared" si="418"/>
        <v>0</v>
      </c>
      <c r="P208" s="1777">
        <f t="shared" ref="P208:P210" si="442">+L208*Q208</f>
        <v>0</v>
      </c>
      <c r="Q208" s="1775"/>
      <c r="R208" s="1777">
        <f t="shared" ref="R208:R210" si="443">+L208*S208</f>
        <v>0</v>
      </c>
      <c r="S208" s="1775"/>
      <c r="T208" s="1777">
        <f t="shared" ref="T208:T210" si="444">+L208*U208</f>
        <v>0</v>
      </c>
      <c r="U208" s="1775"/>
      <c r="V208" s="1777">
        <f t="shared" ref="V208:V210" si="445">+L208*W208</f>
        <v>0</v>
      </c>
      <c r="W208" s="1775"/>
      <c r="X208" s="1777"/>
      <c r="Y208" s="1777"/>
      <c r="Z208" s="1777"/>
      <c r="AA208" s="1777">
        <f t="shared" si="424"/>
        <v>0</v>
      </c>
      <c r="AB208" s="1877" t="e">
        <f t="shared" si="425"/>
        <v>#DIV/0!</v>
      </c>
    </row>
    <row r="209" spans="1:28" ht="22.5" hidden="1" customHeight="1" thickTop="1" thickBot="1">
      <c r="A209" s="1772">
        <v>1</v>
      </c>
      <c r="B209" s="1772">
        <v>1</v>
      </c>
      <c r="C209" s="1773" t="s">
        <v>127</v>
      </c>
      <c r="D209" s="1772">
        <v>2</v>
      </c>
      <c r="E209" s="1773" t="s">
        <v>145</v>
      </c>
      <c r="F209" s="1773" t="s">
        <v>1761</v>
      </c>
      <c r="G209" s="1773" t="s">
        <v>134</v>
      </c>
      <c r="H209" s="1773" t="s">
        <v>139</v>
      </c>
      <c r="I209" s="1773" t="s">
        <v>209</v>
      </c>
      <c r="J209" s="1773"/>
      <c r="K209" s="1776" t="s">
        <v>1766</v>
      </c>
      <c r="L209" s="1774"/>
      <c r="M209" s="1774"/>
      <c r="N209" s="1774"/>
      <c r="O209" s="1774">
        <f t="shared" si="418"/>
        <v>0</v>
      </c>
      <c r="P209" s="1777">
        <f t="shared" si="442"/>
        <v>0</v>
      </c>
      <c r="Q209" s="1775"/>
      <c r="R209" s="1777">
        <f t="shared" si="443"/>
        <v>0</v>
      </c>
      <c r="S209" s="1775"/>
      <c r="T209" s="1777">
        <f t="shared" si="444"/>
        <v>0</v>
      </c>
      <c r="U209" s="1775"/>
      <c r="V209" s="1777">
        <f t="shared" si="445"/>
        <v>0</v>
      </c>
      <c r="W209" s="1775"/>
      <c r="X209" s="1777"/>
      <c r="Y209" s="1777"/>
      <c r="Z209" s="1777"/>
      <c r="AA209" s="1777">
        <f t="shared" si="424"/>
        <v>0</v>
      </c>
      <c r="AB209" s="1877" t="e">
        <f t="shared" si="425"/>
        <v>#DIV/0!</v>
      </c>
    </row>
    <row r="210" spans="1:28" ht="22.5" hidden="1" customHeight="1" thickTop="1" thickBot="1">
      <c r="A210" s="1772">
        <v>1</v>
      </c>
      <c r="B210" s="1772">
        <v>1</v>
      </c>
      <c r="C210" s="1773" t="s">
        <v>127</v>
      </c>
      <c r="D210" s="1772">
        <v>2</v>
      </c>
      <c r="E210" s="1773" t="s">
        <v>145</v>
      </c>
      <c r="F210" s="1773" t="s">
        <v>1761</v>
      </c>
      <c r="G210" s="1773" t="s">
        <v>134</v>
      </c>
      <c r="H210" s="1773" t="s">
        <v>139</v>
      </c>
      <c r="I210" s="1773" t="s">
        <v>1622</v>
      </c>
      <c r="J210" s="1773"/>
      <c r="K210" s="1776" t="s">
        <v>1767</v>
      </c>
      <c r="L210" s="1774"/>
      <c r="M210" s="1774"/>
      <c r="N210" s="1774"/>
      <c r="O210" s="1774">
        <f t="shared" si="418"/>
        <v>0</v>
      </c>
      <c r="P210" s="1777">
        <f t="shared" si="442"/>
        <v>0</v>
      </c>
      <c r="Q210" s="1775"/>
      <c r="R210" s="1777">
        <f t="shared" si="443"/>
        <v>0</v>
      </c>
      <c r="S210" s="1775"/>
      <c r="T210" s="1777">
        <f t="shared" si="444"/>
        <v>0</v>
      </c>
      <c r="U210" s="1775"/>
      <c r="V210" s="1777">
        <f t="shared" si="445"/>
        <v>0</v>
      </c>
      <c r="W210" s="1775"/>
      <c r="X210" s="1777"/>
      <c r="Y210" s="1777"/>
      <c r="Z210" s="1777"/>
      <c r="AA210" s="1777">
        <f t="shared" si="424"/>
        <v>0</v>
      </c>
      <c r="AB210" s="1877" t="e">
        <f t="shared" si="425"/>
        <v>#DIV/0!</v>
      </c>
    </row>
    <row r="211" spans="1:28" s="1729" customFormat="1" ht="22.5" hidden="1" customHeight="1" thickTop="1" thickBot="1">
      <c r="A211" s="1767">
        <v>1</v>
      </c>
      <c r="B211" s="1767">
        <v>1</v>
      </c>
      <c r="C211" s="1768" t="s">
        <v>127</v>
      </c>
      <c r="D211" s="1767">
        <v>2</v>
      </c>
      <c r="E211" s="1768" t="s">
        <v>145</v>
      </c>
      <c r="F211" s="1768" t="s">
        <v>1768</v>
      </c>
      <c r="G211" s="1768"/>
      <c r="H211" s="1768"/>
      <c r="I211" s="1768"/>
      <c r="J211" s="1768"/>
      <c r="K211" s="1769" t="s">
        <v>1769</v>
      </c>
      <c r="L211" s="1770">
        <f>+L212</f>
        <v>0</v>
      </c>
      <c r="M211" s="1770">
        <f t="shared" ref="M211:N211" si="446">+M212</f>
        <v>0</v>
      </c>
      <c r="N211" s="1770">
        <f t="shared" si="446"/>
        <v>0</v>
      </c>
      <c r="O211" s="1770">
        <f t="shared" si="418"/>
        <v>0</v>
      </c>
      <c r="P211" s="1778">
        <f t="shared" ref="P211:Z211" si="447">+P212</f>
        <v>0</v>
      </c>
      <c r="Q211" s="1771" t="e">
        <f t="shared" ref="Q211:Q213" si="448">+P211/L211</f>
        <v>#DIV/0!</v>
      </c>
      <c r="R211" s="1778">
        <f t="shared" si="447"/>
        <v>0</v>
      </c>
      <c r="S211" s="1771" t="e">
        <f t="shared" ref="S211:S213" si="449">+R211/L211</f>
        <v>#DIV/0!</v>
      </c>
      <c r="T211" s="1778">
        <f t="shared" si="447"/>
        <v>0</v>
      </c>
      <c r="U211" s="1771" t="e">
        <f t="shared" ref="U211:U213" si="450">+T211/L211</f>
        <v>#DIV/0!</v>
      </c>
      <c r="V211" s="1778">
        <f t="shared" si="447"/>
        <v>0</v>
      </c>
      <c r="W211" s="1771" t="e">
        <f t="shared" ref="W211:W213" si="451">+V211/L211</f>
        <v>#DIV/0!</v>
      </c>
      <c r="X211" s="1778">
        <f t="shared" si="447"/>
        <v>0</v>
      </c>
      <c r="Y211" s="1778">
        <f t="shared" si="447"/>
        <v>0</v>
      </c>
      <c r="Z211" s="1778">
        <f t="shared" si="447"/>
        <v>0</v>
      </c>
      <c r="AA211" s="1778">
        <f t="shared" si="424"/>
        <v>0</v>
      </c>
      <c r="AB211" s="1876" t="e">
        <f t="shared" si="425"/>
        <v>#DIV/0!</v>
      </c>
    </row>
    <row r="212" spans="1:28" s="1729" customFormat="1" ht="22.5" hidden="1" customHeight="1" thickTop="1" thickBot="1">
      <c r="A212" s="1767">
        <v>1</v>
      </c>
      <c r="B212" s="1767">
        <v>1</v>
      </c>
      <c r="C212" s="1768" t="s">
        <v>127</v>
      </c>
      <c r="D212" s="1767">
        <v>2</v>
      </c>
      <c r="E212" s="1768" t="s">
        <v>145</v>
      </c>
      <c r="F212" s="1768" t="s">
        <v>1768</v>
      </c>
      <c r="G212" s="1768" t="s">
        <v>129</v>
      </c>
      <c r="H212" s="1768"/>
      <c r="I212" s="1768"/>
      <c r="J212" s="1768"/>
      <c r="K212" s="1769" t="s">
        <v>1770</v>
      </c>
      <c r="L212" s="1770">
        <f>+L213+L217+L221</f>
        <v>0</v>
      </c>
      <c r="M212" s="1770">
        <f t="shared" ref="M212:N212" si="452">+M213+M217+M221</f>
        <v>0</v>
      </c>
      <c r="N212" s="1770">
        <f t="shared" si="452"/>
        <v>0</v>
      </c>
      <c r="O212" s="1770">
        <f t="shared" si="418"/>
        <v>0</v>
      </c>
      <c r="P212" s="1778">
        <f t="shared" ref="P212:V212" si="453">+P213+P217+P221</f>
        <v>0</v>
      </c>
      <c r="Q212" s="1771" t="e">
        <f t="shared" si="448"/>
        <v>#DIV/0!</v>
      </c>
      <c r="R212" s="1778">
        <f t="shared" si="453"/>
        <v>0</v>
      </c>
      <c r="S212" s="1771" t="e">
        <f t="shared" si="449"/>
        <v>#DIV/0!</v>
      </c>
      <c r="T212" s="1778">
        <f t="shared" si="453"/>
        <v>0</v>
      </c>
      <c r="U212" s="1771" t="e">
        <f t="shared" si="450"/>
        <v>#DIV/0!</v>
      </c>
      <c r="V212" s="1778">
        <f t="shared" si="453"/>
        <v>0</v>
      </c>
      <c r="W212" s="1771" t="e">
        <f t="shared" si="451"/>
        <v>#DIV/0!</v>
      </c>
      <c r="X212" s="1778">
        <f t="shared" ref="X212:Z212" si="454">+X213+X217+X221</f>
        <v>0</v>
      </c>
      <c r="Y212" s="1778">
        <f t="shared" si="454"/>
        <v>0</v>
      </c>
      <c r="Z212" s="1778">
        <f t="shared" si="454"/>
        <v>0</v>
      </c>
      <c r="AA212" s="1778">
        <f t="shared" si="424"/>
        <v>0</v>
      </c>
      <c r="AB212" s="1876" t="e">
        <f t="shared" si="425"/>
        <v>#DIV/0!</v>
      </c>
    </row>
    <row r="213" spans="1:28" s="1729" customFormat="1" ht="22.5" hidden="1" customHeight="1" thickTop="1" thickBot="1">
      <c r="A213" s="1767">
        <v>1</v>
      </c>
      <c r="B213" s="1767">
        <v>1</v>
      </c>
      <c r="C213" s="1768" t="s">
        <v>127</v>
      </c>
      <c r="D213" s="1767">
        <v>2</v>
      </c>
      <c r="E213" s="1768" t="s">
        <v>145</v>
      </c>
      <c r="F213" s="1768" t="s">
        <v>1768</v>
      </c>
      <c r="G213" s="1768" t="s">
        <v>129</v>
      </c>
      <c r="H213" s="1768" t="s">
        <v>129</v>
      </c>
      <c r="I213" s="1768"/>
      <c r="J213" s="1768"/>
      <c r="K213" s="1769" t="s">
        <v>1771</v>
      </c>
      <c r="L213" s="1770">
        <f>SUM(L214:L216)</f>
        <v>0</v>
      </c>
      <c r="M213" s="1770">
        <f t="shared" ref="M213:N213" si="455">SUM(M214:M216)</f>
        <v>0</v>
      </c>
      <c r="N213" s="1770">
        <f t="shared" si="455"/>
        <v>0</v>
      </c>
      <c r="O213" s="1770">
        <f t="shared" si="418"/>
        <v>0</v>
      </c>
      <c r="P213" s="1778">
        <f t="shared" ref="P213:V213" si="456">SUM(P214:P216)</f>
        <v>0</v>
      </c>
      <c r="Q213" s="1771" t="e">
        <f t="shared" si="448"/>
        <v>#DIV/0!</v>
      </c>
      <c r="R213" s="1778">
        <f t="shared" si="456"/>
        <v>0</v>
      </c>
      <c r="S213" s="1771" t="e">
        <f t="shared" si="449"/>
        <v>#DIV/0!</v>
      </c>
      <c r="T213" s="1778">
        <f t="shared" si="456"/>
        <v>0</v>
      </c>
      <c r="U213" s="1771" t="e">
        <f t="shared" si="450"/>
        <v>#DIV/0!</v>
      </c>
      <c r="V213" s="1778">
        <f t="shared" si="456"/>
        <v>0</v>
      </c>
      <c r="W213" s="1771" t="e">
        <f t="shared" si="451"/>
        <v>#DIV/0!</v>
      </c>
      <c r="X213" s="1778">
        <f t="shared" ref="X213:Z213" si="457">SUM(X214:X216)</f>
        <v>0</v>
      </c>
      <c r="Y213" s="1778">
        <f t="shared" si="457"/>
        <v>0</v>
      </c>
      <c r="Z213" s="1778">
        <f t="shared" si="457"/>
        <v>0</v>
      </c>
      <c r="AA213" s="1778">
        <f t="shared" si="424"/>
        <v>0</v>
      </c>
      <c r="AB213" s="1876" t="e">
        <f t="shared" si="425"/>
        <v>#DIV/0!</v>
      </c>
    </row>
    <row r="214" spans="1:28" ht="22.5" hidden="1" customHeight="1" thickTop="1" thickBot="1">
      <c r="A214" s="1772">
        <v>1</v>
      </c>
      <c r="B214" s="1772">
        <v>1</v>
      </c>
      <c r="C214" s="1773" t="s">
        <v>127</v>
      </c>
      <c r="D214" s="1772">
        <v>2</v>
      </c>
      <c r="E214" s="1773" t="s">
        <v>145</v>
      </c>
      <c r="F214" s="1773" t="s">
        <v>1768</v>
      </c>
      <c r="G214" s="1773" t="s">
        <v>129</v>
      </c>
      <c r="H214" s="1773" t="s">
        <v>129</v>
      </c>
      <c r="I214" s="1773" t="s">
        <v>127</v>
      </c>
      <c r="J214" s="1773"/>
      <c r="K214" s="1776" t="s">
        <v>1772</v>
      </c>
      <c r="L214" s="1774"/>
      <c r="M214" s="1774"/>
      <c r="N214" s="1774"/>
      <c r="O214" s="1774">
        <f t="shared" si="418"/>
        <v>0</v>
      </c>
      <c r="P214" s="1777">
        <f t="shared" ref="P214:P216" si="458">+L214*Q214</f>
        <v>0</v>
      </c>
      <c r="Q214" s="1775"/>
      <c r="R214" s="1777">
        <f t="shared" ref="R214:R216" si="459">+L214*S214</f>
        <v>0</v>
      </c>
      <c r="S214" s="1775"/>
      <c r="T214" s="1777">
        <f t="shared" ref="T214:T216" si="460">+L214*U214</f>
        <v>0</v>
      </c>
      <c r="U214" s="1775"/>
      <c r="V214" s="1777">
        <f t="shared" ref="V214:V216" si="461">+L214*W214</f>
        <v>0</v>
      </c>
      <c r="W214" s="1775"/>
      <c r="X214" s="1777"/>
      <c r="Y214" s="1777"/>
      <c r="Z214" s="1777"/>
      <c r="AA214" s="1777">
        <f t="shared" si="424"/>
        <v>0</v>
      </c>
      <c r="AB214" s="1877" t="e">
        <f t="shared" si="425"/>
        <v>#DIV/0!</v>
      </c>
    </row>
    <row r="215" spans="1:28" ht="22.5" hidden="1" customHeight="1" thickTop="1" thickBot="1">
      <c r="A215" s="1772">
        <v>1</v>
      </c>
      <c r="B215" s="1772">
        <v>1</v>
      </c>
      <c r="C215" s="1773" t="s">
        <v>127</v>
      </c>
      <c r="D215" s="1772">
        <v>2</v>
      </c>
      <c r="E215" s="1773" t="s">
        <v>145</v>
      </c>
      <c r="F215" s="1773" t="s">
        <v>1768</v>
      </c>
      <c r="G215" s="1773" t="s">
        <v>129</v>
      </c>
      <c r="H215" s="1773" t="s">
        <v>129</v>
      </c>
      <c r="I215" s="1773" t="s">
        <v>209</v>
      </c>
      <c r="J215" s="1773"/>
      <c r="K215" s="1776" t="s">
        <v>1773</v>
      </c>
      <c r="L215" s="1774"/>
      <c r="M215" s="1774"/>
      <c r="N215" s="1774"/>
      <c r="O215" s="1774">
        <f t="shared" si="418"/>
        <v>0</v>
      </c>
      <c r="P215" s="1777">
        <f t="shared" si="458"/>
        <v>0</v>
      </c>
      <c r="Q215" s="1775"/>
      <c r="R215" s="1777">
        <f t="shared" si="459"/>
        <v>0</v>
      </c>
      <c r="S215" s="1775"/>
      <c r="T215" s="1777">
        <f t="shared" si="460"/>
        <v>0</v>
      </c>
      <c r="U215" s="1775"/>
      <c r="V215" s="1777">
        <f t="shared" si="461"/>
        <v>0</v>
      </c>
      <c r="W215" s="1775"/>
      <c r="X215" s="1777"/>
      <c r="Y215" s="1777"/>
      <c r="Z215" s="1777"/>
      <c r="AA215" s="1777">
        <f t="shared" si="424"/>
        <v>0</v>
      </c>
      <c r="AB215" s="1877" t="e">
        <f t="shared" si="425"/>
        <v>#DIV/0!</v>
      </c>
    </row>
    <row r="216" spans="1:28" ht="22.5" hidden="1" customHeight="1" thickTop="1" thickBot="1">
      <c r="A216" s="1772">
        <v>1</v>
      </c>
      <c r="B216" s="1772">
        <v>1</v>
      </c>
      <c r="C216" s="1773" t="s">
        <v>127</v>
      </c>
      <c r="D216" s="1772">
        <v>2</v>
      </c>
      <c r="E216" s="1773" t="s">
        <v>145</v>
      </c>
      <c r="F216" s="1773" t="s">
        <v>1768</v>
      </c>
      <c r="G216" s="1773" t="s">
        <v>129</v>
      </c>
      <c r="H216" s="1773" t="s">
        <v>129</v>
      </c>
      <c r="I216" s="1773" t="s">
        <v>1622</v>
      </c>
      <c r="J216" s="1773"/>
      <c r="K216" s="1776" t="s">
        <v>1774</v>
      </c>
      <c r="L216" s="1774"/>
      <c r="M216" s="1774"/>
      <c r="N216" s="1774"/>
      <c r="O216" s="1774">
        <f t="shared" si="418"/>
        <v>0</v>
      </c>
      <c r="P216" s="1777">
        <f t="shared" si="458"/>
        <v>0</v>
      </c>
      <c r="Q216" s="1775"/>
      <c r="R216" s="1777">
        <f t="shared" si="459"/>
        <v>0</v>
      </c>
      <c r="S216" s="1775"/>
      <c r="T216" s="1777">
        <f t="shared" si="460"/>
        <v>0</v>
      </c>
      <c r="U216" s="1775"/>
      <c r="V216" s="1777">
        <f t="shared" si="461"/>
        <v>0</v>
      </c>
      <c r="W216" s="1775"/>
      <c r="X216" s="1777"/>
      <c r="Y216" s="1777"/>
      <c r="Z216" s="1777"/>
      <c r="AA216" s="1777">
        <f t="shared" si="424"/>
        <v>0</v>
      </c>
      <c r="AB216" s="1877" t="e">
        <f t="shared" si="425"/>
        <v>#DIV/0!</v>
      </c>
    </row>
    <row r="217" spans="1:28" s="1729" customFormat="1" ht="22.5" hidden="1" customHeight="1" thickTop="1" thickBot="1">
      <c r="A217" s="1767">
        <v>1</v>
      </c>
      <c r="B217" s="1767">
        <v>1</v>
      </c>
      <c r="C217" s="1768" t="s">
        <v>127</v>
      </c>
      <c r="D217" s="1767">
        <v>2</v>
      </c>
      <c r="E217" s="1768" t="s">
        <v>145</v>
      </c>
      <c r="F217" s="1768" t="s">
        <v>1768</v>
      </c>
      <c r="G217" s="1768" t="s">
        <v>129</v>
      </c>
      <c r="H217" s="1768" t="s">
        <v>134</v>
      </c>
      <c r="I217" s="1768"/>
      <c r="J217" s="1768"/>
      <c r="K217" s="1769" t="s">
        <v>226</v>
      </c>
      <c r="L217" s="1770">
        <f>SUM(L218:L220)</f>
        <v>0</v>
      </c>
      <c r="M217" s="1770">
        <f t="shared" ref="M217:N217" si="462">SUM(M218:M220)</f>
        <v>0</v>
      </c>
      <c r="N217" s="1770">
        <f t="shared" si="462"/>
        <v>0</v>
      </c>
      <c r="O217" s="1770">
        <f t="shared" si="418"/>
        <v>0</v>
      </c>
      <c r="P217" s="1778">
        <f t="shared" ref="P217:V217" si="463">SUM(P218:P220)</f>
        <v>0</v>
      </c>
      <c r="Q217" s="1771" t="e">
        <f t="shared" ref="Q217" si="464">+P217/L217</f>
        <v>#DIV/0!</v>
      </c>
      <c r="R217" s="1778">
        <f t="shared" si="463"/>
        <v>0</v>
      </c>
      <c r="S217" s="1771" t="e">
        <f t="shared" ref="S217" si="465">+R217/L217</f>
        <v>#DIV/0!</v>
      </c>
      <c r="T217" s="1778">
        <f t="shared" si="463"/>
        <v>0</v>
      </c>
      <c r="U217" s="1771" t="e">
        <f t="shared" ref="U217" si="466">+T217/L217</f>
        <v>#DIV/0!</v>
      </c>
      <c r="V217" s="1778">
        <f t="shared" si="463"/>
        <v>0</v>
      </c>
      <c r="W217" s="1771" t="e">
        <f t="shared" ref="W217" si="467">+V217/L217</f>
        <v>#DIV/0!</v>
      </c>
      <c r="X217" s="1778">
        <f t="shared" ref="X217:Z217" si="468">SUM(X218:X220)</f>
        <v>0</v>
      </c>
      <c r="Y217" s="1778">
        <f t="shared" si="468"/>
        <v>0</v>
      </c>
      <c r="Z217" s="1778">
        <f t="shared" si="468"/>
        <v>0</v>
      </c>
      <c r="AA217" s="1778">
        <f t="shared" si="424"/>
        <v>0</v>
      </c>
      <c r="AB217" s="1876" t="e">
        <f t="shared" si="425"/>
        <v>#DIV/0!</v>
      </c>
    </row>
    <row r="218" spans="1:28" ht="22.5" hidden="1" customHeight="1" thickTop="1" thickBot="1">
      <c r="A218" s="1772">
        <v>1</v>
      </c>
      <c r="B218" s="1772">
        <v>1</v>
      </c>
      <c r="C218" s="1773" t="s">
        <v>127</v>
      </c>
      <c r="D218" s="1772">
        <v>2</v>
      </c>
      <c r="E218" s="1773" t="s">
        <v>145</v>
      </c>
      <c r="F218" s="1773" t="s">
        <v>1768</v>
      </c>
      <c r="G218" s="1773" t="s">
        <v>129</v>
      </c>
      <c r="H218" s="1773" t="s">
        <v>134</v>
      </c>
      <c r="I218" s="1773" t="s">
        <v>127</v>
      </c>
      <c r="J218" s="1773"/>
      <c r="K218" s="1776" t="s">
        <v>1775</v>
      </c>
      <c r="L218" s="1774"/>
      <c r="M218" s="1774"/>
      <c r="N218" s="1774"/>
      <c r="O218" s="1774">
        <f t="shared" si="418"/>
        <v>0</v>
      </c>
      <c r="P218" s="1777">
        <f t="shared" ref="P218:P220" si="469">+L218*Q218</f>
        <v>0</v>
      </c>
      <c r="Q218" s="1775"/>
      <c r="R218" s="1777"/>
      <c r="S218" s="1775"/>
      <c r="T218" s="1777">
        <f t="shared" ref="T218:T220" si="470">+L218*U218</f>
        <v>0</v>
      </c>
      <c r="U218" s="1775"/>
      <c r="V218" s="1777">
        <f t="shared" ref="V218:V220" si="471">+L218*W218</f>
        <v>0</v>
      </c>
      <c r="W218" s="1775"/>
      <c r="X218" s="1777"/>
      <c r="Y218" s="1777"/>
      <c r="Z218" s="1777"/>
      <c r="AA218" s="1777">
        <f t="shared" si="424"/>
        <v>0</v>
      </c>
      <c r="AB218" s="1877" t="e">
        <f t="shared" si="425"/>
        <v>#DIV/0!</v>
      </c>
    </row>
    <row r="219" spans="1:28" ht="22.5" hidden="1" customHeight="1" thickTop="1" thickBot="1">
      <c r="A219" s="1772">
        <v>1</v>
      </c>
      <c r="B219" s="1772">
        <v>1</v>
      </c>
      <c r="C219" s="1773" t="s">
        <v>127</v>
      </c>
      <c r="D219" s="1772">
        <v>2</v>
      </c>
      <c r="E219" s="1773" t="s">
        <v>145</v>
      </c>
      <c r="F219" s="1773" t="s">
        <v>1768</v>
      </c>
      <c r="G219" s="1773" t="s">
        <v>129</v>
      </c>
      <c r="H219" s="1773" t="s">
        <v>134</v>
      </c>
      <c r="I219" s="1773" t="s">
        <v>209</v>
      </c>
      <c r="J219" s="1773"/>
      <c r="K219" s="1776" t="s">
        <v>1776</v>
      </c>
      <c r="L219" s="1774"/>
      <c r="M219" s="1774"/>
      <c r="N219" s="1774"/>
      <c r="O219" s="1774">
        <f t="shared" si="418"/>
        <v>0</v>
      </c>
      <c r="P219" s="1777">
        <f t="shared" si="469"/>
        <v>0</v>
      </c>
      <c r="Q219" s="1775"/>
      <c r="R219" s="1777"/>
      <c r="S219" s="1775"/>
      <c r="T219" s="1777">
        <f t="shared" si="470"/>
        <v>0</v>
      </c>
      <c r="U219" s="1775"/>
      <c r="V219" s="1777">
        <f t="shared" si="471"/>
        <v>0</v>
      </c>
      <c r="W219" s="1775"/>
      <c r="X219" s="1777"/>
      <c r="Y219" s="1777"/>
      <c r="Z219" s="1777"/>
      <c r="AA219" s="1777">
        <f t="shared" si="424"/>
        <v>0</v>
      </c>
      <c r="AB219" s="1877" t="e">
        <f t="shared" si="425"/>
        <v>#DIV/0!</v>
      </c>
    </row>
    <row r="220" spans="1:28" ht="22.5" hidden="1" customHeight="1" thickTop="1" thickBot="1">
      <c r="A220" s="1772">
        <v>1</v>
      </c>
      <c r="B220" s="1772">
        <v>1</v>
      </c>
      <c r="C220" s="1773" t="s">
        <v>127</v>
      </c>
      <c r="D220" s="1772">
        <v>2</v>
      </c>
      <c r="E220" s="1773" t="s">
        <v>145</v>
      </c>
      <c r="F220" s="1773" t="s">
        <v>1768</v>
      </c>
      <c r="G220" s="1773" t="s">
        <v>129</v>
      </c>
      <c r="H220" s="1773" t="s">
        <v>134</v>
      </c>
      <c r="I220" s="1773" t="s">
        <v>1622</v>
      </c>
      <c r="J220" s="1773"/>
      <c r="K220" s="1776" t="s">
        <v>1777</v>
      </c>
      <c r="L220" s="1774"/>
      <c r="M220" s="1774"/>
      <c r="N220" s="1774"/>
      <c r="O220" s="1774">
        <f t="shared" si="418"/>
        <v>0</v>
      </c>
      <c r="P220" s="1777">
        <f t="shared" si="469"/>
        <v>0</v>
      </c>
      <c r="Q220" s="1775"/>
      <c r="R220" s="1777"/>
      <c r="S220" s="1775"/>
      <c r="T220" s="1777">
        <f t="shared" si="470"/>
        <v>0</v>
      </c>
      <c r="U220" s="1775"/>
      <c r="V220" s="1777">
        <f t="shared" si="471"/>
        <v>0</v>
      </c>
      <c r="W220" s="1775"/>
      <c r="X220" s="1777"/>
      <c r="Y220" s="1777"/>
      <c r="Z220" s="1777"/>
      <c r="AA220" s="1777">
        <f t="shared" si="424"/>
        <v>0</v>
      </c>
      <c r="AB220" s="1877" t="e">
        <f t="shared" si="425"/>
        <v>#DIV/0!</v>
      </c>
    </row>
    <row r="221" spans="1:28" s="1729" customFormat="1" ht="22.5" hidden="1" customHeight="1" thickTop="1" thickBot="1">
      <c r="A221" s="1767">
        <v>1</v>
      </c>
      <c r="B221" s="1767">
        <v>1</v>
      </c>
      <c r="C221" s="1768" t="s">
        <v>127</v>
      </c>
      <c r="D221" s="1767">
        <v>2</v>
      </c>
      <c r="E221" s="1768" t="s">
        <v>145</v>
      </c>
      <c r="F221" s="1768" t="s">
        <v>1768</v>
      </c>
      <c r="G221" s="1768" t="s">
        <v>129</v>
      </c>
      <c r="H221" s="1768" t="s">
        <v>139</v>
      </c>
      <c r="I221" s="1768"/>
      <c r="J221" s="1768"/>
      <c r="K221" s="1769" t="s">
        <v>1778</v>
      </c>
      <c r="L221" s="1770">
        <f>SUM(L222:L224)</f>
        <v>0</v>
      </c>
      <c r="M221" s="1770">
        <f t="shared" ref="M221:N221" si="472">SUM(M222:M224)</f>
        <v>0</v>
      </c>
      <c r="N221" s="1770">
        <f t="shared" si="472"/>
        <v>0</v>
      </c>
      <c r="O221" s="1770">
        <f t="shared" si="418"/>
        <v>0</v>
      </c>
      <c r="P221" s="1778">
        <f t="shared" ref="P221:V221" si="473">SUM(P222:P224)</f>
        <v>0</v>
      </c>
      <c r="Q221" s="1771" t="e">
        <f t="shared" ref="Q221" si="474">+P221/L221</f>
        <v>#DIV/0!</v>
      </c>
      <c r="R221" s="1778">
        <f t="shared" si="473"/>
        <v>0</v>
      </c>
      <c r="S221" s="1771" t="e">
        <f t="shared" ref="S221" si="475">+R221/L221</f>
        <v>#DIV/0!</v>
      </c>
      <c r="T221" s="1778">
        <f t="shared" si="473"/>
        <v>0</v>
      </c>
      <c r="U221" s="1771" t="e">
        <f t="shared" ref="U221" si="476">+T221/L221</f>
        <v>#DIV/0!</v>
      </c>
      <c r="V221" s="1778">
        <f t="shared" si="473"/>
        <v>0</v>
      </c>
      <c r="W221" s="1771" t="e">
        <f t="shared" ref="W221" si="477">+V221/L221</f>
        <v>#DIV/0!</v>
      </c>
      <c r="X221" s="1778">
        <f t="shared" ref="X221:Z221" si="478">SUM(X222:X224)</f>
        <v>0</v>
      </c>
      <c r="Y221" s="1778">
        <f t="shared" si="478"/>
        <v>0</v>
      </c>
      <c r="Z221" s="1778">
        <f t="shared" si="478"/>
        <v>0</v>
      </c>
      <c r="AA221" s="1778">
        <f t="shared" si="424"/>
        <v>0</v>
      </c>
      <c r="AB221" s="1876" t="e">
        <f t="shared" si="425"/>
        <v>#DIV/0!</v>
      </c>
    </row>
    <row r="222" spans="1:28" ht="22.5" hidden="1" customHeight="1" thickTop="1" thickBot="1">
      <c r="A222" s="1772">
        <v>1</v>
      </c>
      <c r="B222" s="1772">
        <v>1</v>
      </c>
      <c r="C222" s="1773" t="s">
        <v>127</v>
      </c>
      <c r="D222" s="1772">
        <v>2</v>
      </c>
      <c r="E222" s="1773" t="s">
        <v>145</v>
      </c>
      <c r="F222" s="1773" t="s">
        <v>1768</v>
      </c>
      <c r="G222" s="1773" t="s">
        <v>129</v>
      </c>
      <c r="H222" s="1773" t="s">
        <v>139</v>
      </c>
      <c r="I222" s="1773" t="s">
        <v>127</v>
      </c>
      <c r="J222" s="1773"/>
      <c r="K222" s="1776" t="s">
        <v>1779</v>
      </c>
      <c r="L222" s="1774"/>
      <c r="M222" s="1774"/>
      <c r="N222" s="1774"/>
      <c r="O222" s="1774">
        <f t="shared" si="418"/>
        <v>0</v>
      </c>
      <c r="P222" s="1777">
        <f t="shared" ref="P222:P224" si="479">+L222*Q222</f>
        <v>0</v>
      </c>
      <c r="Q222" s="1775"/>
      <c r="R222" s="1777">
        <f t="shared" ref="R222:R224" si="480">+L222*S222</f>
        <v>0</v>
      </c>
      <c r="S222" s="1775"/>
      <c r="T222" s="1777">
        <f t="shared" ref="T222:T224" si="481">+L222*U222</f>
        <v>0</v>
      </c>
      <c r="U222" s="1775"/>
      <c r="V222" s="1777">
        <f t="shared" ref="V222:V224" si="482">+L222*W222</f>
        <v>0</v>
      </c>
      <c r="W222" s="1775"/>
      <c r="X222" s="1777"/>
      <c r="Y222" s="1777"/>
      <c r="Z222" s="1777"/>
      <c r="AA222" s="1777">
        <f t="shared" si="424"/>
        <v>0</v>
      </c>
      <c r="AB222" s="1877" t="e">
        <f t="shared" si="425"/>
        <v>#DIV/0!</v>
      </c>
    </row>
    <row r="223" spans="1:28" ht="22.5" hidden="1" customHeight="1" thickTop="1" thickBot="1">
      <c r="A223" s="1772">
        <v>1</v>
      </c>
      <c r="B223" s="1772">
        <v>1</v>
      </c>
      <c r="C223" s="1773" t="s">
        <v>127</v>
      </c>
      <c r="D223" s="1772">
        <v>2</v>
      </c>
      <c r="E223" s="1773" t="s">
        <v>145</v>
      </c>
      <c r="F223" s="1773" t="s">
        <v>1768</v>
      </c>
      <c r="G223" s="1773" t="s">
        <v>129</v>
      </c>
      <c r="H223" s="1773" t="s">
        <v>139</v>
      </c>
      <c r="I223" s="1773" t="s">
        <v>209</v>
      </c>
      <c r="J223" s="1773"/>
      <c r="K223" s="1776" t="s">
        <v>1780</v>
      </c>
      <c r="L223" s="1774"/>
      <c r="M223" s="1774"/>
      <c r="N223" s="1774"/>
      <c r="O223" s="1774">
        <f t="shared" si="418"/>
        <v>0</v>
      </c>
      <c r="P223" s="1777">
        <f t="shared" si="479"/>
        <v>0</v>
      </c>
      <c r="Q223" s="1775"/>
      <c r="R223" s="1777">
        <f t="shared" si="480"/>
        <v>0</v>
      </c>
      <c r="S223" s="1775"/>
      <c r="T223" s="1777">
        <f t="shared" si="481"/>
        <v>0</v>
      </c>
      <c r="U223" s="1775"/>
      <c r="V223" s="1777">
        <f t="shared" si="482"/>
        <v>0</v>
      </c>
      <c r="W223" s="1775"/>
      <c r="X223" s="1777"/>
      <c r="Y223" s="1777"/>
      <c r="Z223" s="1777"/>
      <c r="AA223" s="1777">
        <f t="shared" si="424"/>
        <v>0</v>
      </c>
      <c r="AB223" s="1877" t="e">
        <f t="shared" si="425"/>
        <v>#DIV/0!</v>
      </c>
    </row>
    <row r="224" spans="1:28" ht="22.5" hidden="1" customHeight="1" thickTop="1" thickBot="1">
      <c r="A224" s="1772">
        <v>1</v>
      </c>
      <c r="B224" s="1772">
        <v>1</v>
      </c>
      <c r="C224" s="1773" t="s">
        <v>127</v>
      </c>
      <c r="D224" s="1772">
        <v>2</v>
      </c>
      <c r="E224" s="1773" t="s">
        <v>145</v>
      </c>
      <c r="F224" s="1773" t="s">
        <v>1768</v>
      </c>
      <c r="G224" s="1773" t="s">
        <v>129</v>
      </c>
      <c r="H224" s="1773" t="s">
        <v>139</v>
      </c>
      <c r="I224" s="1773" t="s">
        <v>1622</v>
      </c>
      <c r="J224" s="1773"/>
      <c r="K224" s="1776" t="s">
        <v>1781</v>
      </c>
      <c r="L224" s="1774"/>
      <c r="M224" s="1774"/>
      <c r="N224" s="1774"/>
      <c r="O224" s="1774">
        <f t="shared" si="418"/>
        <v>0</v>
      </c>
      <c r="P224" s="1777">
        <f t="shared" si="479"/>
        <v>0</v>
      </c>
      <c r="Q224" s="1775"/>
      <c r="R224" s="1777">
        <f t="shared" si="480"/>
        <v>0</v>
      </c>
      <c r="S224" s="1775"/>
      <c r="T224" s="1777">
        <f t="shared" si="481"/>
        <v>0</v>
      </c>
      <c r="U224" s="1775"/>
      <c r="V224" s="1777">
        <f t="shared" si="482"/>
        <v>0</v>
      </c>
      <c r="W224" s="1775"/>
      <c r="X224" s="1777"/>
      <c r="Y224" s="1777"/>
      <c r="Z224" s="1777"/>
      <c r="AA224" s="1777">
        <f t="shared" si="424"/>
        <v>0</v>
      </c>
      <c r="AB224" s="1877" t="e">
        <f t="shared" si="425"/>
        <v>#DIV/0!</v>
      </c>
    </row>
    <row r="225" spans="1:28" s="1729" customFormat="1" ht="22.5" hidden="1" customHeight="1" thickTop="1" thickBot="1">
      <c r="A225" s="1767">
        <v>1</v>
      </c>
      <c r="B225" s="1767">
        <v>1</v>
      </c>
      <c r="C225" s="1768" t="s">
        <v>127</v>
      </c>
      <c r="D225" s="1767">
        <v>2</v>
      </c>
      <c r="E225" s="1768" t="s">
        <v>145</v>
      </c>
      <c r="F225" s="1768" t="s">
        <v>1782</v>
      </c>
      <c r="G225" s="1768"/>
      <c r="H225" s="1768"/>
      <c r="I225" s="1768"/>
      <c r="J225" s="1768"/>
      <c r="K225" s="1769" t="s">
        <v>192</v>
      </c>
      <c r="L225" s="1770">
        <f>SUM(L226:L228)</f>
        <v>0</v>
      </c>
      <c r="M225" s="1770">
        <f t="shared" ref="M225:N225" si="483">SUM(M226:M228)</f>
        <v>0</v>
      </c>
      <c r="N225" s="1770">
        <f t="shared" si="483"/>
        <v>0</v>
      </c>
      <c r="O225" s="1770">
        <f t="shared" si="418"/>
        <v>0</v>
      </c>
      <c r="P225" s="1778">
        <f t="shared" ref="P225:V225" si="484">SUM(P226:P228)</f>
        <v>0</v>
      </c>
      <c r="Q225" s="1771" t="e">
        <f t="shared" ref="Q225" si="485">+P225/L225</f>
        <v>#DIV/0!</v>
      </c>
      <c r="R225" s="1778">
        <f t="shared" si="484"/>
        <v>0</v>
      </c>
      <c r="S225" s="1771" t="e">
        <f t="shared" ref="S225" si="486">+R225/L225</f>
        <v>#DIV/0!</v>
      </c>
      <c r="T225" s="1778">
        <f t="shared" si="484"/>
        <v>0</v>
      </c>
      <c r="U225" s="1771" t="e">
        <f t="shared" ref="U225" si="487">+T225/L225</f>
        <v>#DIV/0!</v>
      </c>
      <c r="V225" s="1778">
        <f t="shared" si="484"/>
        <v>0</v>
      </c>
      <c r="W225" s="1771" t="e">
        <f t="shared" ref="W225" si="488">+V225/L225</f>
        <v>#DIV/0!</v>
      </c>
      <c r="X225" s="1778">
        <f t="shared" ref="X225:Z225" si="489">SUM(X226:X228)</f>
        <v>0</v>
      </c>
      <c r="Y225" s="1778">
        <f t="shared" si="489"/>
        <v>0</v>
      </c>
      <c r="Z225" s="1778">
        <f t="shared" si="489"/>
        <v>0</v>
      </c>
      <c r="AA225" s="1778">
        <f t="shared" si="424"/>
        <v>0</v>
      </c>
      <c r="AB225" s="1876" t="e">
        <f t="shared" si="425"/>
        <v>#DIV/0!</v>
      </c>
    </row>
    <row r="226" spans="1:28" ht="22.5" hidden="1" customHeight="1" thickTop="1" thickBot="1">
      <c r="A226" s="1772">
        <v>1</v>
      </c>
      <c r="B226" s="1772">
        <v>1</v>
      </c>
      <c r="C226" s="1773" t="s">
        <v>127</v>
      </c>
      <c r="D226" s="1772">
        <v>2</v>
      </c>
      <c r="E226" s="1773" t="s">
        <v>145</v>
      </c>
      <c r="F226" s="1773" t="s">
        <v>1782</v>
      </c>
      <c r="G226" s="1773" t="s">
        <v>127</v>
      </c>
      <c r="H226" s="1773"/>
      <c r="I226" s="1773"/>
      <c r="J226" s="1773"/>
      <c r="K226" s="1776" t="s">
        <v>1783</v>
      </c>
      <c r="L226" s="1774"/>
      <c r="M226" s="1774"/>
      <c r="N226" s="1774"/>
      <c r="O226" s="1774">
        <f t="shared" si="418"/>
        <v>0</v>
      </c>
      <c r="P226" s="1777">
        <f t="shared" ref="P226:P228" si="490">+L226*Q226</f>
        <v>0</v>
      </c>
      <c r="Q226" s="1775"/>
      <c r="R226" s="1777">
        <f t="shared" ref="R226:R228" si="491">+L226*S226</f>
        <v>0</v>
      </c>
      <c r="S226" s="1775"/>
      <c r="T226" s="1777">
        <f t="shared" ref="T226:T228" si="492">+L226*U226</f>
        <v>0</v>
      </c>
      <c r="U226" s="1775"/>
      <c r="V226" s="1777">
        <f t="shared" ref="V226:V228" si="493">+L226*W226</f>
        <v>0</v>
      </c>
      <c r="W226" s="1775"/>
      <c r="X226" s="1777"/>
      <c r="Y226" s="1777"/>
      <c r="Z226" s="1777"/>
      <c r="AA226" s="1777">
        <f t="shared" si="424"/>
        <v>0</v>
      </c>
      <c r="AB226" s="1877" t="e">
        <f t="shared" si="425"/>
        <v>#DIV/0!</v>
      </c>
    </row>
    <row r="227" spans="1:28" ht="22.5" hidden="1" customHeight="1" thickTop="1" thickBot="1">
      <c r="A227" s="1772">
        <v>1</v>
      </c>
      <c r="B227" s="1772">
        <v>1</v>
      </c>
      <c r="C227" s="1773" t="s">
        <v>127</v>
      </c>
      <c r="D227" s="1772">
        <v>2</v>
      </c>
      <c r="E227" s="1773" t="s">
        <v>145</v>
      </c>
      <c r="F227" s="1773" t="s">
        <v>1782</v>
      </c>
      <c r="G227" s="1773" t="s">
        <v>209</v>
      </c>
      <c r="H227" s="1773"/>
      <c r="I227" s="1773"/>
      <c r="J227" s="1773"/>
      <c r="K227" s="1776" t="s">
        <v>1784</v>
      </c>
      <c r="L227" s="1774"/>
      <c r="M227" s="1774"/>
      <c r="N227" s="1774"/>
      <c r="O227" s="1774">
        <f t="shared" si="418"/>
        <v>0</v>
      </c>
      <c r="P227" s="1777">
        <f t="shared" si="490"/>
        <v>0</v>
      </c>
      <c r="Q227" s="1775"/>
      <c r="R227" s="1777">
        <f t="shared" si="491"/>
        <v>0</v>
      </c>
      <c r="S227" s="1775"/>
      <c r="T227" s="1777">
        <f t="shared" si="492"/>
        <v>0</v>
      </c>
      <c r="U227" s="1775"/>
      <c r="V227" s="1777">
        <f t="shared" si="493"/>
        <v>0</v>
      </c>
      <c r="W227" s="1775"/>
      <c r="X227" s="1777"/>
      <c r="Y227" s="1777"/>
      <c r="Z227" s="1777"/>
      <c r="AA227" s="1777">
        <f t="shared" si="424"/>
        <v>0</v>
      </c>
      <c r="AB227" s="1877" t="e">
        <f t="shared" si="425"/>
        <v>#DIV/0!</v>
      </c>
    </row>
    <row r="228" spans="1:28" ht="22.5" hidden="1" customHeight="1" thickTop="1" thickBot="1">
      <c r="A228" s="1772">
        <v>1</v>
      </c>
      <c r="B228" s="1772">
        <v>1</v>
      </c>
      <c r="C228" s="1773" t="s">
        <v>127</v>
      </c>
      <c r="D228" s="1772">
        <v>2</v>
      </c>
      <c r="E228" s="1773" t="s">
        <v>145</v>
      </c>
      <c r="F228" s="1773" t="s">
        <v>1782</v>
      </c>
      <c r="G228" s="1773" t="s">
        <v>1622</v>
      </c>
      <c r="H228" s="1773"/>
      <c r="I228" s="1773"/>
      <c r="J228" s="1773"/>
      <c r="K228" s="1776" t="s">
        <v>1785</v>
      </c>
      <c r="L228" s="1774"/>
      <c r="M228" s="1774"/>
      <c r="N228" s="1774"/>
      <c r="O228" s="1774">
        <f t="shared" si="418"/>
        <v>0</v>
      </c>
      <c r="P228" s="1777">
        <f t="shared" si="490"/>
        <v>0</v>
      </c>
      <c r="Q228" s="1775"/>
      <c r="R228" s="1777">
        <f t="shared" si="491"/>
        <v>0</v>
      </c>
      <c r="S228" s="1775"/>
      <c r="T228" s="1777">
        <f t="shared" si="492"/>
        <v>0</v>
      </c>
      <c r="U228" s="1775"/>
      <c r="V228" s="1777">
        <f t="shared" si="493"/>
        <v>0</v>
      </c>
      <c r="W228" s="1775"/>
      <c r="X228" s="1777"/>
      <c r="Y228" s="1777"/>
      <c r="Z228" s="1777"/>
      <c r="AA228" s="1777">
        <f t="shared" si="424"/>
        <v>0</v>
      </c>
      <c r="AB228" s="1877" t="e">
        <f t="shared" si="425"/>
        <v>#DIV/0!</v>
      </c>
    </row>
    <row r="229" spans="1:28" s="1729" customFormat="1" ht="22.5" hidden="1" customHeight="1" thickTop="1" thickBot="1">
      <c r="A229" s="1767">
        <v>1</v>
      </c>
      <c r="B229" s="1767">
        <v>1</v>
      </c>
      <c r="C229" s="1768" t="s">
        <v>127</v>
      </c>
      <c r="D229" s="1767">
        <v>2</v>
      </c>
      <c r="E229" s="1768" t="s">
        <v>145</v>
      </c>
      <c r="F229" s="1768" t="s">
        <v>1786</v>
      </c>
      <c r="G229" s="1768"/>
      <c r="H229" s="1768"/>
      <c r="I229" s="1768"/>
      <c r="J229" s="1768"/>
      <c r="K229" s="1769" t="s">
        <v>1787</v>
      </c>
      <c r="L229" s="1770">
        <f>SUM(L230:L232)</f>
        <v>0</v>
      </c>
      <c r="M229" s="1770">
        <f t="shared" ref="M229:N229" si="494">SUM(M230:M232)</f>
        <v>0</v>
      </c>
      <c r="N229" s="1770">
        <f t="shared" si="494"/>
        <v>0</v>
      </c>
      <c r="O229" s="1770">
        <f t="shared" si="418"/>
        <v>0</v>
      </c>
      <c r="P229" s="1778">
        <f t="shared" ref="P229:V229" si="495">SUM(P230:P232)</f>
        <v>0</v>
      </c>
      <c r="Q229" s="1771" t="e">
        <f t="shared" ref="Q229" si="496">+P229/L229</f>
        <v>#DIV/0!</v>
      </c>
      <c r="R229" s="1778">
        <f t="shared" si="495"/>
        <v>0</v>
      </c>
      <c r="S229" s="1771" t="e">
        <f t="shared" ref="S229" si="497">+R229/L229</f>
        <v>#DIV/0!</v>
      </c>
      <c r="T229" s="1778">
        <f t="shared" si="495"/>
        <v>0</v>
      </c>
      <c r="U229" s="1771" t="e">
        <f t="shared" ref="U229" si="498">+T229/L229</f>
        <v>#DIV/0!</v>
      </c>
      <c r="V229" s="1778">
        <f t="shared" si="495"/>
        <v>0</v>
      </c>
      <c r="W229" s="1771" t="e">
        <f t="shared" ref="W229" si="499">+V229/L229</f>
        <v>#DIV/0!</v>
      </c>
      <c r="X229" s="1778">
        <f t="shared" ref="X229:Z229" si="500">SUM(X230:X232)</f>
        <v>0</v>
      </c>
      <c r="Y229" s="1778">
        <f t="shared" si="500"/>
        <v>0</v>
      </c>
      <c r="Z229" s="1778">
        <f t="shared" si="500"/>
        <v>0</v>
      </c>
      <c r="AA229" s="1778">
        <f t="shared" si="424"/>
        <v>0</v>
      </c>
      <c r="AB229" s="1876" t="e">
        <f t="shared" si="425"/>
        <v>#DIV/0!</v>
      </c>
    </row>
    <row r="230" spans="1:28" ht="22.5" hidden="1" customHeight="1" thickTop="1" thickBot="1">
      <c r="A230" s="1772">
        <v>1</v>
      </c>
      <c r="B230" s="1772">
        <v>1</v>
      </c>
      <c r="C230" s="1773" t="s">
        <v>127</v>
      </c>
      <c r="D230" s="1772">
        <v>2</v>
      </c>
      <c r="E230" s="1773" t="s">
        <v>145</v>
      </c>
      <c r="F230" s="1773" t="s">
        <v>1786</v>
      </c>
      <c r="G230" s="1773" t="s">
        <v>127</v>
      </c>
      <c r="H230" s="1773"/>
      <c r="I230" s="1773"/>
      <c r="J230" s="1773"/>
      <c r="K230" s="1776" t="s">
        <v>1788</v>
      </c>
      <c r="L230" s="1774"/>
      <c r="M230" s="1774"/>
      <c r="N230" s="1774"/>
      <c r="O230" s="1774">
        <f t="shared" si="418"/>
        <v>0</v>
      </c>
      <c r="P230" s="1777">
        <f t="shared" ref="P230:P232" si="501">+L230*Q230</f>
        <v>0</v>
      </c>
      <c r="Q230" s="1775"/>
      <c r="R230" s="1777">
        <f t="shared" ref="R230:R232" si="502">+L230*S230</f>
        <v>0</v>
      </c>
      <c r="S230" s="1775"/>
      <c r="T230" s="1777">
        <f t="shared" ref="T230:T232" si="503">+L230*U230</f>
        <v>0</v>
      </c>
      <c r="U230" s="1775"/>
      <c r="V230" s="1777">
        <f t="shared" ref="V230:V232" si="504">+L230*W230</f>
        <v>0</v>
      </c>
      <c r="W230" s="1775"/>
      <c r="X230" s="1777"/>
      <c r="Y230" s="1777"/>
      <c r="Z230" s="1777"/>
      <c r="AA230" s="1777">
        <f t="shared" si="424"/>
        <v>0</v>
      </c>
      <c r="AB230" s="1877" t="e">
        <f t="shared" si="425"/>
        <v>#DIV/0!</v>
      </c>
    </row>
    <row r="231" spans="1:28" ht="22.5" hidden="1" customHeight="1" thickTop="1" thickBot="1">
      <c r="A231" s="1772">
        <v>1</v>
      </c>
      <c r="B231" s="1772">
        <v>1</v>
      </c>
      <c r="C231" s="1773" t="s">
        <v>127</v>
      </c>
      <c r="D231" s="1772">
        <v>2</v>
      </c>
      <c r="E231" s="1773" t="s">
        <v>145</v>
      </c>
      <c r="F231" s="1773" t="s">
        <v>1786</v>
      </c>
      <c r="G231" s="1773" t="s">
        <v>209</v>
      </c>
      <c r="H231" s="1773"/>
      <c r="I231" s="1773"/>
      <c r="J231" s="1773"/>
      <c r="K231" s="1776" t="s">
        <v>1789</v>
      </c>
      <c r="L231" s="1774"/>
      <c r="M231" s="1774"/>
      <c r="N231" s="1774"/>
      <c r="O231" s="1774">
        <f t="shared" si="418"/>
        <v>0</v>
      </c>
      <c r="P231" s="1777">
        <f t="shared" si="501"/>
        <v>0</v>
      </c>
      <c r="Q231" s="1775"/>
      <c r="R231" s="1777">
        <f t="shared" si="502"/>
        <v>0</v>
      </c>
      <c r="S231" s="1775"/>
      <c r="T231" s="1777">
        <f t="shared" si="503"/>
        <v>0</v>
      </c>
      <c r="U231" s="1775"/>
      <c r="V231" s="1777">
        <f t="shared" si="504"/>
        <v>0</v>
      </c>
      <c r="W231" s="1775"/>
      <c r="X231" s="1777"/>
      <c r="Y231" s="1777"/>
      <c r="Z231" s="1777"/>
      <c r="AA231" s="1777">
        <f t="shared" si="424"/>
        <v>0</v>
      </c>
      <c r="AB231" s="1877" t="e">
        <f t="shared" si="425"/>
        <v>#DIV/0!</v>
      </c>
    </row>
    <row r="232" spans="1:28" ht="22.5" hidden="1" customHeight="1" thickTop="1" thickBot="1">
      <c r="A232" s="1772">
        <v>1</v>
      </c>
      <c r="B232" s="1772">
        <v>1</v>
      </c>
      <c r="C232" s="1773" t="s">
        <v>127</v>
      </c>
      <c r="D232" s="1772">
        <v>2</v>
      </c>
      <c r="E232" s="1773" t="s">
        <v>145</v>
      </c>
      <c r="F232" s="1773" t="s">
        <v>1786</v>
      </c>
      <c r="G232" s="1773" t="s">
        <v>1622</v>
      </c>
      <c r="H232" s="1773"/>
      <c r="I232" s="1773"/>
      <c r="J232" s="1773"/>
      <c r="K232" s="1776" t="s">
        <v>1790</v>
      </c>
      <c r="L232" s="1774"/>
      <c r="M232" s="1774"/>
      <c r="N232" s="1774"/>
      <c r="O232" s="1774">
        <f t="shared" si="418"/>
        <v>0</v>
      </c>
      <c r="P232" s="1777">
        <f t="shared" si="501"/>
        <v>0</v>
      </c>
      <c r="Q232" s="1775"/>
      <c r="R232" s="1777">
        <f t="shared" si="502"/>
        <v>0</v>
      </c>
      <c r="S232" s="1775"/>
      <c r="T232" s="1777">
        <f t="shared" si="503"/>
        <v>0</v>
      </c>
      <c r="U232" s="1775"/>
      <c r="V232" s="1777">
        <f t="shared" si="504"/>
        <v>0</v>
      </c>
      <c r="W232" s="1775"/>
      <c r="X232" s="1777"/>
      <c r="Y232" s="1777"/>
      <c r="Z232" s="1777"/>
      <c r="AA232" s="1777">
        <f t="shared" si="424"/>
        <v>0</v>
      </c>
      <c r="AB232" s="1877" t="e">
        <f t="shared" si="425"/>
        <v>#DIV/0!</v>
      </c>
    </row>
    <row r="233" spans="1:28" s="1748" customFormat="1" ht="22.5" customHeight="1" thickTop="1" thickBot="1">
      <c r="A233" s="1743">
        <v>1</v>
      </c>
      <c r="B233" s="1744" t="s">
        <v>127</v>
      </c>
      <c r="C233" s="1744" t="s">
        <v>209</v>
      </c>
      <c r="D233" s="1744"/>
      <c r="E233" s="1744"/>
      <c r="F233" s="1744"/>
      <c r="G233" s="1744"/>
      <c r="H233" s="1744"/>
      <c r="I233" s="1744"/>
      <c r="J233" s="1744"/>
      <c r="K233" s="1745" t="s">
        <v>169</v>
      </c>
      <c r="L233" s="1746">
        <f>+L234+L293+L314+L351+L369+L384+L404+L410+L510</f>
        <v>14747908984.459999</v>
      </c>
      <c r="M233" s="1746">
        <f t="shared" ref="M233:N233" si="505">+M234+M293+M314+M351+M369+M384+M404+M410+M510</f>
        <v>11912277256</v>
      </c>
      <c r="N233" s="1746">
        <f t="shared" si="505"/>
        <v>0</v>
      </c>
      <c r="O233" s="1746">
        <f t="shared" si="418"/>
        <v>26660186240.459999</v>
      </c>
      <c r="P233" s="1746">
        <f>+P234+P293+P314+P351+P369+P384+P404+P410+P510</f>
        <v>0</v>
      </c>
      <c r="Q233" s="1747">
        <f t="shared" ref="Q233:Q236" si="506">+P233/L233</f>
        <v>0</v>
      </c>
      <c r="R233" s="1746">
        <f>+R234+R293+R314+R351+R369+R384+R404+R410+R510</f>
        <v>26660186240.459999</v>
      </c>
      <c r="S233" s="1747">
        <f t="shared" ref="S233:S236" si="507">+R233/L233</f>
        <v>1.8077265237093658</v>
      </c>
      <c r="T233" s="1746">
        <f>+T234+T293+T314+T351+T369+T384+T404+T410+T510</f>
        <v>0</v>
      </c>
      <c r="U233" s="1747">
        <f t="shared" ref="U233:U236" si="508">+T233/L233</f>
        <v>0</v>
      </c>
      <c r="V233" s="1803">
        <f>+V234+V293+V314+V351+V369+V384+V404+V410+V510</f>
        <v>0</v>
      </c>
      <c r="W233" s="1747">
        <f t="shared" ref="W233:W236" si="509">+V233/L233</f>
        <v>0</v>
      </c>
      <c r="X233" s="1803">
        <f>+X234+X293+X314+X351+X369+X384+X404+X410+X510</f>
        <v>27089355910.82</v>
      </c>
      <c r="Y233" s="1803">
        <f>+Y234+Y293+Y314+Y351+Y369+Y384+Y404+Y410+Y510</f>
        <v>14521104924</v>
      </c>
      <c r="Z233" s="1803">
        <f>+Z234+Z293+Z314+Z351+Z369+Z384+Z404+Z410+Z510</f>
        <v>8683973730.8199997</v>
      </c>
      <c r="AA233" s="1803">
        <f t="shared" si="424"/>
        <v>23205078654.82</v>
      </c>
      <c r="AB233" s="1872">
        <f t="shared" si="425"/>
        <v>0.85661241748281858</v>
      </c>
    </row>
    <row r="234" spans="1:28" s="1754" customFormat="1" ht="22.5" hidden="1" customHeight="1" thickTop="1" thickBot="1">
      <c r="A234" s="1749">
        <v>1</v>
      </c>
      <c r="B234" s="1749">
        <v>1</v>
      </c>
      <c r="C234" s="1750" t="s">
        <v>209</v>
      </c>
      <c r="D234" s="1750" t="s">
        <v>129</v>
      </c>
      <c r="E234" s="1750"/>
      <c r="F234" s="1750"/>
      <c r="G234" s="1750"/>
      <c r="H234" s="1750"/>
      <c r="I234" s="1750"/>
      <c r="J234" s="1750"/>
      <c r="K234" s="1751" t="s">
        <v>170</v>
      </c>
      <c r="L234" s="1752">
        <f>+L235+L252</f>
        <v>0</v>
      </c>
      <c r="M234" s="1752">
        <f t="shared" ref="M234:N234" si="510">+M235+M252</f>
        <v>0</v>
      </c>
      <c r="N234" s="1752">
        <f t="shared" si="510"/>
        <v>0</v>
      </c>
      <c r="O234" s="1752">
        <f t="shared" si="418"/>
        <v>0</v>
      </c>
      <c r="P234" s="1804">
        <f t="shared" ref="P234:V234" si="511">+P235+P252</f>
        <v>0</v>
      </c>
      <c r="Q234" s="1753" t="e">
        <f t="shared" si="506"/>
        <v>#DIV/0!</v>
      </c>
      <c r="R234" s="1804">
        <f t="shared" si="511"/>
        <v>0</v>
      </c>
      <c r="S234" s="1753" t="e">
        <f t="shared" si="507"/>
        <v>#DIV/0!</v>
      </c>
      <c r="T234" s="1804">
        <f t="shared" si="511"/>
        <v>0</v>
      </c>
      <c r="U234" s="1753" t="e">
        <f t="shared" si="508"/>
        <v>#DIV/0!</v>
      </c>
      <c r="V234" s="1804">
        <f t="shared" si="511"/>
        <v>0</v>
      </c>
      <c r="W234" s="1753" t="e">
        <f t="shared" si="509"/>
        <v>#DIV/0!</v>
      </c>
      <c r="X234" s="1804">
        <f t="shared" ref="X234:Z234" si="512">+X235+X252</f>
        <v>0</v>
      </c>
      <c r="Y234" s="1804">
        <f t="shared" si="512"/>
        <v>0</v>
      </c>
      <c r="Z234" s="1804">
        <f t="shared" si="512"/>
        <v>0</v>
      </c>
      <c r="AA234" s="1804">
        <f t="shared" si="424"/>
        <v>0</v>
      </c>
      <c r="AB234" s="1873" t="e">
        <f t="shared" si="425"/>
        <v>#DIV/0!</v>
      </c>
    </row>
    <row r="235" spans="1:28" s="1760" customFormat="1" ht="22.5" hidden="1" customHeight="1" thickTop="1" thickBot="1">
      <c r="A235" s="1755">
        <v>1</v>
      </c>
      <c r="B235" s="1755">
        <v>1</v>
      </c>
      <c r="C235" s="1756" t="s">
        <v>209</v>
      </c>
      <c r="D235" s="1756" t="s">
        <v>129</v>
      </c>
      <c r="E235" s="1756" t="s">
        <v>129</v>
      </c>
      <c r="F235" s="1756"/>
      <c r="G235" s="1756"/>
      <c r="H235" s="1756"/>
      <c r="I235" s="1756"/>
      <c r="J235" s="1756"/>
      <c r="K235" s="1757" t="s">
        <v>1791</v>
      </c>
      <c r="L235" s="1758">
        <f>+L236+L240+L244+L248</f>
        <v>0</v>
      </c>
      <c r="M235" s="1758">
        <f t="shared" ref="M235:N235" si="513">+M236+M240+M244+M248</f>
        <v>0</v>
      </c>
      <c r="N235" s="1758">
        <f t="shared" si="513"/>
        <v>0</v>
      </c>
      <c r="O235" s="1758">
        <f t="shared" si="418"/>
        <v>0</v>
      </c>
      <c r="P235" s="1805">
        <f t="shared" ref="P235:V235" si="514">+P236+P240+P244+P248</f>
        <v>0</v>
      </c>
      <c r="Q235" s="1759" t="e">
        <f t="shared" si="506"/>
        <v>#DIV/0!</v>
      </c>
      <c r="R235" s="1805">
        <f t="shared" si="514"/>
        <v>0</v>
      </c>
      <c r="S235" s="1759" t="e">
        <f t="shared" si="507"/>
        <v>#DIV/0!</v>
      </c>
      <c r="T235" s="1805">
        <f t="shared" si="514"/>
        <v>0</v>
      </c>
      <c r="U235" s="1759" t="e">
        <f t="shared" si="508"/>
        <v>#DIV/0!</v>
      </c>
      <c r="V235" s="1805">
        <f t="shared" si="514"/>
        <v>0</v>
      </c>
      <c r="W235" s="1759" t="e">
        <f t="shared" si="509"/>
        <v>#DIV/0!</v>
      </c>
      <c r="X235" s="1805">
        <f t="shared" ref="X235:Z235" si="515">+X236+X240+X244+X248</f>
        <v>0</v>
      </c>
      <c r="Y235" s="1805">
        <f t="shared" si="515"/>
        <v>0</v>
      </c>
      <c r="Z235" s="1805">
        <f t="shared" si="515"/>
        <v>0</v>
      </c>
      <c r="AA235" s="1805">
        <f t="shared" si="424"/>
        <v>0</v>
      </c>
      <c r="AB235" s="1874" t="e">
        <f t="shared" si="425"/>
        <v>#DIV/0!</v>
      </c>
    </row>
    <row r="236" spans="1:28" s="1766" customFormat="1" ht="22.5" hidden="1" customHeight="1" thickTop="1" thickBot="1">
      <c r="A236" s="1761">
        <v>1</v>
      </c>
      <c r="B236" s="1761">
        <v>1</v>
      </c>
      <c r="C236" s="1762" t="s">
        <v>209</v>
      </c>
      <c r="D236" s="1762" t="s">
        <v>129</v>
      </c>
      <c r="E236" s="1762" t="s">
        <v>129</v>
      </c>
      <c r="F236" s="1762" t="s">
        <v>1684</v>
      </c>
      <c r="G236" s="1762"/>
      <c r="H236" s="1762"/>
      <c r="I236" s="1762"/>
      <c r="J236" s="1762"/>
      <c r="K236" s="1763" t="s">
        <v>1792</v>
      </c>
      <c r="L236" s="1764">
        <f>SUM(L237:L239)</f>
        <v>0</v>
      </c>
      <c r="M236" s="1764">
        <f t="shared" ref="M236:N236" si="516">SUM(M237:M239)</f>
        <v>0</v>
      </c>
      <c r="N236" s="1764">
        <f t="shared" si="516"/>
        <v>0</v>
      </c>
      <c r="O236" s="1764">
        <f t="shared" si="418"/>
        <v>0</v>
      </c>
      <c r="P236" s="1781">
        <f t="shared" ref="P236:V236" si="517">SUM(P237:P239)</f>
        <v>0</v>
      </c>
      <c r="Q236" s="1765" t="e">
        <f t="shared" si="506"/>
        <v>#DIV/0!</v>
      </c>
      <c r="R236" s="1781">
        <f t="shared" si="517"/>
        <v>0</v>
      </c>
      <c r="S236" s="1765" t="e">
        <f t="shared" si="507"/>
        <v>#DIV/0!</v>
      </c>
      <c r="T236" s="1781">
        <f t="shared" si="517"/>
        <v>0</v>
      </c>
      <c r="U236" s="1765" t="e">
        <f t="shared" si="508"/>
        <v>#DIV/0!</v>
      </c>
      <c r="V236" s="1781">
        <f t="shared" si="517"/>
        <v>0</v>
      </c>
      <c r="W236" s="1765" t="e">
        <f t="shared" si="509"/>
        <v>#DIV/0!</v>
      </c>
      <c r="X236" s="1781">
        <f t="shared" ref="X236:Z236" si="518">SUM(X237:X239)</f>
        <v>0</v>
      </c>
      <c r="Y236" s="1781">
        <f t="shared" si="518"/>
        <v>0</v>
      </c>
      <c r="Z236" s="1781">
        <f t="shared" si="518"/>
        <v>0</v>
      </c>
      <c r="AA236" s="1781">
        <f t="shared" si="424"/>
        <v>0</v>
      </c>
      <c r="AB236" s="1875" t="e">
        <f t="shared" si="425"/>
        <v>#DIV/0!</v>
      </c>
    </row>
    <row r="237" spans="1:28" ht="22.5" hidden="1" customHeight="1" thickTop="1" thickBot="1">
      <c r="A237" s="1772">
        <v>1</v>
      </c>
      <c r="B237" s="1772">
        <v>1</v>
      </c>
      <c r="C237" s="1773" t="s">
        <v>209</v>
      </c>
      <c r="D237" s="1773" t="s">
        <v>129</v>
      </c>
      <c r="E237" s="1773" t="s">
        <v>129</v>
      </c>
      <c r="F237" s="1773" t="s">
        <v>1684</v>
      </c>
      <c r="G237" s="1773" t="s">
        <v>127</v>
      </c>
      <c r="H237" s="1773"/>
      <c r="I237" s="1773"/>
      <c r="J237" s="1773"/>
      <c r="K237" s="1776" t="s">
        <v>1793</v>
      </c>
      <c r="L237" s="1774"/>
      <c r="M237" s="1774"/>
      <c r="N237" s="1774"/>
      <c r="O237" s="1774">
        <f t="shared" si="418"/>
        <v>0</v>
      </c>
      <c r="P237" s="1777">
        <f t="shared" ref="P237:P239" si="519">+L237*Q237</f>
        <v>0</v>
      </c>
      <c r="Q237" s="1775"/>
      <c r="R237" s="1777">
        <f t="shared" ref="R237:R239" si="520">+L237*S237</f>
        <v>0</v>
      </c>
      <c r="S237" s="1775"/>
      <c r="T237" s="1777">
        <f t="shared" ref="T237:T239" si="521">+L237*U237</f>
        <v>0</v>
      </c>
      <c r="U237" s="1775"/>
      <c r="V237" s="1777">
        <f t="shared" ref="V237:V239" si="522">+L237*W237</f>
        <v>0</v>
      </c>
      <c r="W237" s="1775"/>
      <c r="X237" s="1777"/>
      <c r="Y237" s="1777"/>
      <c r="Z237" s="1777"/>
      <c r="AA237" s="1777">
        <f t="shared" si="424"/>
        <v>0</v>
      </c>
      <c r="AB237" s="1877" t="e">
        <f t="shared" si="425"/>
        <v>#DIV/0!</v>
      </c>
    </row>
    <row r="238" spans="1:28" ht="22.5" hidden="1" customHeight="1" thickTop="1" thickBot="1">
      <c r="A238" s="1772">
        <v>1</v>
      </c>
      <c r="B238" s="1772">
        <v>1</v>
      </c>
      <c r="C238" s="1773" t="s">
        <v>209</v>
      </c>
      <c r="D238" s="1773" t="s">
        <v>129</v>
      </c>
      <c r="E238" s="1773" t="s">
        <v>129</v>
      </c>
      <c r="F238" s="1773" t="s">
        <v>1684</v>
      </c>
      <c r="G238" s="1773" t="s">
        <v>209</v>
      </c>
      <c r="H238" s="1773"/>
      <c r="I238" s="1773"/>
      <c r="J238" s="1773"/>
      <c r="K238" s="1776" t="s">
        <v>1794</v>
      </c>
      <c r="L238" s="1774"/>
      <c r="M238" s="1774"/>
      <c r="N238" s="1774"/>
      <c r="O238" s="1774">
        <f t="shared" si="418"/>
        <v>0</v>
      </c>
      <c r="P238" s="1777">
        <f t="shared" si="519"/>
        <v>0</v>
      </c>
      <c r="Q238" s="1775"/>
      <c r="R238" s="1777">
        <f t="shared" si="520"/>
        <v>0</v>
      </c>
      <c r="S238" s="1775"/>
      <c r="T238" s="1777">
        <f t="shared" si="521"/>
        <v>0</v>
      </c>
      <c r="U238" s="1775"/>
      <c r="V238" s="1777">
        <f t="shared" si="522"/>
        <v>0</v>
      </c>
      <c r="W238" s="1775"/>
      <c r="X238" s="1777"/>
      <c r="Y238" s="1777"/>
      <c r="Z238" s="1777"/>
      <c r="AA238" s="1777">
        <f t="shared" si="424"/>
        <v>0</v>
      </c>
      <c r="AB238" s="1877" t="e">
        <f t="shared" si="425"/>
        <v>#DIV/0!</v>
      </c>
    </row>
    <row r="239" spans="1:28" ht="22.5" hidden="1" customHeight="1" thickTop="1" thickBot="1">
      <c r="A239" s="1772">
        <v>1</v>
      </c>
      <c r="B239" s="1772">
        <v>1</v>
      </c>
      <c r="C239" s="1773" t="s">
        <v>209</v>
      </c>
      <c r="D239" s="1773" t="s">
        <v>129</v>
      </c>
      <c r="E239" s="1773" t="s">
        <v>129</v>
      </c>
      <c r="F239" s="1773" t="s">
        <v>1684</v>
      </c>
      <c r="G239" s="1773" t="s">
        <v>1622</v>
      </c>
      <c r="H239" s="1773"/>
      <c r="I239" s="1773"/>
      <c r="J239" s="1773"/>
      <c r="K239" s="1776" t="s">
        <v>1795</v>
      </c>
      <c r="L239" s="1774"/>
      <c r="M239" s="1774"/>
      <c r="N239" s="1774"/>
      <c r="O239" s="1774">
        <f t="shared" si="418"/>
        <v>0</v>
      </c>
      <c r="P239" s="1777">
        <f t="shared" si="519"/>
        <v>0</v>
      </c>
      <c r="Q239" s="1775"/>
      <c r="R239" s="1777">
        <f t="shared" si="520"/>
        <v>0</v>
      </c>
      <c r="S239" s="1775"/>
      <c r="T239" s="1777">
        <f t="shared" si="521"/>
        <v>0</v>
      </c>
      <c r="U239" s="1775"/>
      <c r="V239" s="1777">
        <f t="shared" si="522"/>
        <v>0</v>
      </c>
      <c r="W239" s="1775"/>
      <c r="X239" s="1777"/>
      <c r="Y239" s="1777"/>
      <c r="Z239" s="1777"/>
      <c r="AA239" s="1777">
        <f t="shared" si="424"/>
        <v>0</v>
      </c>
      <c r="AB239" s="1877" t="e">
        <f t="shared" si="425"/>
        <v>#DIV/0!</v>
      </c>
    </row>
    <row r="240" spans="1:28" s="1766" customFormat="1" ht="22.5" hidden="1" customHeight="1" thickTop="1" thickBot="1">
      <c r="A240" s="1761">
        <v>1</v>
      </c>
      <c r="B240" s="1761">
        <v>1</v>
      </c>
      <c r="C240" s="1762" t="s">
        <v>209</v>
      </c>
      <c r="D240" s="1762" t="s">
        <v>129</v>
      </c>
      <c r="E240" s="1762" t="s">
        <v>129</v>
      </c>
      <c r="F240" s="1762" t="s">
        <v>1703</v>
      </c>
      <c r="G240" s="1762"/>
      <c r="H240" s="1762"/>
      <c r="I240" s="1762"/>
      <c r="J240" s="1762"/>
      <c r="K240" s="1763" t="s">
        <v>1796</v>
      </c>
      <c r="L240" s="1764">
        <f>SUM(L241:L243)</f>
        <v>0</v>
      </c>
      <c r="M240" s="1764">
        <f t="shared" ref="M240:N240" si="523">SUM(M241:M243)</f>
        <v>0</v>
      </c>
      <c r="N240" s="1764">
        <f t="shared" si="523"/>
        <v>0</v>
      </c>
      <c r="O240" s="1764">
        <f t="shared" si="418"/>
        <v>0</v>
      </c>
      <c r="P240" s="1781">
        <f t="shared" ref="P240:V240" si="524">SUM(P241:P243)</f>
        <v>0</v>
      </c>
      <c r="Q240" s="1765" t="e">
        <f t="shared" ref="Q240" si="525">+P240/L240</f>
        <v>#DIV/0!</v>
      </c>
      <c r="R240" s="1781">
        <f t="shared" si="524"/>
        <v>0</v>
      </c>
      <c r="S240" s="1765" t="e">
        <f t="shared" ref="S240" si="526">+R240/L240</f>
        <v>#DIV/0!</v>
      </c>
      <c r="T240" s="1781">
        <f t="shared" si="524"/>
        <v>0</v>
      </c>
      <c r="U240" s="1765" t="e">
        <f t="shared" ref="U240" si="527">+T240/L240</f>
        <v>#DIV/0!</v>
      </c>
      <c r="V240" s="1781">
        <f t="shared" si="524"/>
        <v>0</v>
      </c>
      <c r="W240" s="1747" t="e">
        <f>+W239/W232</f>
        <v>#DIV/0!</v>
      </c>
      <c r="X240" s="1781">
        <f t="shared" ref="X240:Z240" si="528">SUM(X241:X243)</f>
        <v>0</v>
      </c>
      <c r="Y240" s="1781">
        <f t="shared" si="528"/>
        <v>0</v>
      </c>
      <c r="Z240" s="1781">
        <f t="shared" si="528"/>
        <v>0</v>
      </c>
      <c r="AA240" s="1781">
        <f t="shared" si="424"/>
        <v>0</v>
      </c>
      <c r="AB240" s="1875" t="e">
        <f t="shared" si="425"/>
        <v>#DIV/0!</v>
      </c>
    </row>
    <row r="241" spans="1:28" ht="22.5" hidden="1" customHeight="1" thickTop="1" thickBot="1">
      <c r="A241" s="1772">
        <v>1</v>
      </c>
      <c r="B241" s="1772">
        <v>1</v>
      </c>
      <c r="C241" s="1773" t="s">
        <v>209</v>
      </c>
      <c r="D241" s="1773" t="s">
        <v>129</v>
      </c>
      <c r="E241" s="1773" t="s">
        <v>129</v>
      </c>
      <c r="F241" s="1773" t="s">
        <v>1703</v>
      </c>
      <c r="G241" s="1773" t="s">
        <v>127</v>
      </c>
      <c r="H241" s="1773"/>
      <c r="I241" s="1773"/>
      <c r="J241" s="1773"/>
      <c r="K241" s="1776" t="s">
        <v>1797</v>
      </c>
      <c r="L241" s="1774"/>
      <c r="M241" s="1774"/>
      <c r="N241" s="1774"/>
      <c r="O241" s="1774">
        <f t="shared" si="418"/>
        <v>0</v>
      </c>
      <c r="P241" s="1777">
        <f t="shared" ref="P241:P243" si="529">+L241*Q241</f>
        <v>0</v>
      </c>
      <c r="Q241" s="1775"/>
      <c r="R241" s="1777">
        <f t="shared" ref="R241:R243" si="530">+L241*S241</f>
        <v>0</v>
      </c>
      <c r="S241" s="1775"/>
      <c r="T241" s="1777">
        <f t="shared" ref="T241:T243" si="531">+L241*U241</f>
        <v>0</v>
      </c>
      <c r="U241" s="1775"/>
      <c r="V241" s="1777">
        <f t="shared" ref="V241:V243" si="532">+L241*W241</f>
        <v>0</v>
      </c>
      <c r="W241" s="1775"/>
      <c r="X241" s="1777"/>
      <c r="Y241" s="1777"/>
      <c r="Z241" s="1777"/>
      <c r="AA241" s="1777">
        <f t="shared" si="424"/>
        <v>0</v>
      </c>
      <c r="AB241" s="1877" t="e">
        <f t="shared" si="425"/>
        <v>#DIV/0!</v>
      </c>
    </row>
    <row r="242" spans="1:28" ht="22.5" hidden="1" customHeight="1" thickTop="1" thickBot="1">
      <c r="A242" s="1772">
        <v>1</v>
      </c>
      <c r="B242" s="1772">
        <v>1</v>
      </c>
      <c r="C242" s="1773" t="s">
        <v>209</v>
      </c>
      <c r="D242" s="1773" t="s">
        <v>129</v>
      </c>
      <c r="E242" s="1773" t="s">
        <v>129</v>
      </c>
      <c r="F242" s="1773" t="s">
        <v>1703</v>
      </c>
      <c r="G242" s="1773" t="s">
        <v>209</v>
      </c>
      <c r="H242" s="1773"/>
      <c r="I242" s="1773"/>
      <c r="J242" s="1773"/>
      <c r="K242" s="1776" t="s">
        <v>1798</v>
      </c>
      <c r="L242" s="1774"/>
      <c r="M242" s="1774"/>
      <c r="N242" s="1774"/>
      <c r="O242" s="1774">
        <f t="shared" si="418"/>
        <v>0</v>
      </c>
      <c r="P242" s="1777">
        <f t="shared" si="529"/>
        <v>0</v>
      </c>
      <c r="Q242" s="1775"/>
      <c r="R242" s="1777">
        <f t="shared" si="530"/>
        <v>0</v>
      </c>
      <c r="S242" s="1775"/>
      <c r="T242" s="1777">
        <f t="shared" si="531"/>
        <v>0</v>
      </c>
      <c r="U242" s="1775"/>
      <c r="V242" s="1777">
        <f t="shared" si="532"/>
        <v>0</v>
      </c>
      <c r="W242" s="1775"/>
      <c r="X242" s="1777"/>
      <c r="Y242" s="1777"/>
      <c r="Z242" s="1777"/>
      <c r="AA242" s="1777">
        <f t="shared" si="424"/>
        <v>0</v>
      </c>
      <c r="AB242" s="1877" t="e">
        <f t="shared" si="425"/>
        <v>#DIV/0!</v>
      </c>
    </row>
    <row r="243" spans="1:28" ht="22.5" hidden="1" customHeight="1" thickTop="1" thickBot="1">
      <c r="A243" s="1772">
        <v>1</v>
      </c>
      <c r="B243" s="1772">
        <v>1</v>
      </c>
      <c r="C243" s="1773" t="s">
        <v>209</v>
      </c>
      <c r="D243" s="1773" t="s">
        <v>129</v>
      </c>
      <c r="E243" s="1773" t="s">
        <v>129</v>
      </c>
      <c r="F243" s="1773" t="s">
        <v>1703</v>
      </c>
      <c r="G243" s="1773" t="s">
        <v>1622</v>
      </c>
      <c r="H243" s="1773"/>
      <c r="I243" s="1773"/>
      <c r="J243" s="1773"/>
      <c r="K243" s="1776" t="s">
        <v>1799</v>
      </c>
      <c r="L243" s="1774"/>
      <c r="M243" s="1774"/>
      <c r="N243" s="1774"/>
      <c r="O243" s="1774">
        <f t="shared" si="418"/>
        <v>0</v>
      </c>
      <c r="P243" s="1777">
        <f t="shared" si="529"/>
        <v>0</v>
      </c>
      <c r="Q243" s="1775"/>
      <c r="R243" s="1777">
        <f t="shared" si="530"/>
        <v>0</v>
      </c>
      <c r="S243" s="1775"/>
      <c r="T243" s="1777">
        <f t="shared" si="531"/>
        <v>0</v>
      </c>
      <c r="U243" s="1775"/>
      <c r="V243" s="1777">
        <f t="shared" si="532"/>
        <v>0</v>
      </c>
      <c r="W243" s="1775"/>
      <c r="X243" s="1777"/>
      <c r="Y243" s="1777"/>
      <c r="Z243" s="1777"/>
      <c r="AA243" s="1777">
        <f t="shared" si="424"/>
        <v>0</v>
      </c>
      <c r="AB243" s="1877" t="e">
        <f t="shared" si="425"/>
        <v>#DIV/0!</v>
      </c>
    </row>
    <row r="244" spans="1:28" s="1766" customFormat="1" ht="22.5" hidden="1" customHeight="1" thickTop="1" thickBot="1">
      <c r="A244" s="1761">
        <v>1</v>
      </c>
      <c r="B244" s="1761">
        <v>1</v>
      </c>
      <c r="C244" s="1762" t="s">
        <v>209</v>
      </c>
      <c r="D244" s="1762" t="s">
        <v>129</v>
      </c>
      <c r="E244" s="1762" t="s">
        <v>129</v>
      </c>
      <c r="F244" s="1762" t="s">
        <v>1751</v>
      </c>
      <c r="G244" s="1762"/>
      <c r="H244" s="1762"/>
      <c r="I244" s="1762"/>
      <c r="J244" s="1762"/>
      <c r="K244" s="1763" t="s">
        <v>1800</v>
      </c>
      <c r="L244" s="1764">
        <f>SUM(L245:L247)</f>
        <v>0</v>
      </c>
      <c r="M244" s="1764">
        <f t="shared" ref="M244:N244" si="533">SUM(M245:M247)</f>
        <v>0</v>
      </c>
      <c r="N244" s="1764">
        <f t="shared" si="533"/>
        <v>0</v>
      </c>
      <c r="O244" s="1764">
        <f t="shared" si="418"/>
        <v>0</v>
      </c>
      <c r="P244" s="1781">
        <f t="shared" ref="P244:V244" si="534">SUM(P245:P247)</f>
        <v>0</v>
      </c>
      <c r="Q244" s="1765" t="e">
        <f t="shared" ref="Q244" si="535">+P244/L244</f>
        <v>#DIV/0!</v>
      </c>
      <c r="R244" s="1781">
        <f t="shared" si="534"/>
        <v>0</v>
      </c>
      <c r="S244" s="1765" t="e">
        <f t="shared" ref="S244" si="536">+R244/L244</f>
        <v>#DIV/0!</v>
      </c>
      <c r="T244" s="1781">
        <f t="shared" si="534"/>
        <v>0</v>
      </c>
      <c r="U244" s="1765" t="e">
        <f t="shared" ref="U244" si="537">+T244/L244</f>
        <v>#DIV/0!</v>
      </c>
      <c r="V244" s="1781">
        <f t="shared" si="534"/>
        <v>0</v>
      </c>
      <c r="W244" s="1747" t="e">
        <f>+W243/W236</f>
        <v>#DIV/0!</v>
      </c>
      <c r="X244" s="1781">
        <f t="shared" ref="X244:Z244" si="538">SUM(X245:X247)</f>
        <v>0</v>
      </c>
      <c r="Y244" s="1781">
        <f t="shared" si="538"/>
        <v>0</v>
      </c>
      <c r="Z244" s="1781">
        <f t="shared" si="538"/>
        <v>0</v>
      </c>
      <c r="AA244" s="1781">
        <f t="shared" si="424"/>
        <v>0</v>
      </c>
      <c r="AB244" s="1875" t="e">
        <f t="shared" si="425"/>
        <v>#DIV/0!</v>
      </c>
    </row>
    <row r="245" spans="1:28" ht="22.5" hidden="1" customHeight="1" thickTop="1" thickBot="1">
      <c r="A245" s="1772">
        <v>1</v>
      </c>
      <c r="B245" s="1772">
        <v>1</v>
      </c>
      <c r="C245" s="1773" t="s">
        <v>209</v>
      </c>
      <c r="D245" s="1773" t="s">
        <v>129</v>
      </c>
      <c r="E245" s="1773" t="s">
        <v>129</v>
      </c>
      <c r="F245" s="1773" t="s">
        <v>1751</v>
      </c>
      <c r="G245" s="1773" t="s">
        <v>127</v>
      </c>
      <c r="H245" s="1773"/>
      <c r="I245" s="1773"/>
      <c r="J245" s="1773"/>
      <c r="K245" s="1776" t="s">
        <v>1801</v>
      </c>
      <c r="L245" s="1774"/>
      <c r="M245" s="1774"/>
      <c r="N245" s="1774"/>
      <c r="O245" s="1774">
        <f t="shared" si="418"/>
        <v>0</v>
      </c>
      <c r="P245" s="1777">
        <f t="shared" ref="P245:P247" si="539">+L245*Q245</f>
        <v>0</v>
      </c>
      <c r="Q245" s="1775"/>
      <c r="R245" s="1777">
        <f t="shared" ref="R245:R247" si="540">+L245*S245</f>
        <v>0</v>
      </c>
      <c r="S245" s="1775"/>
      <c r="T245" s="1777">
        <f t="shared" ref="T245:T247" si="541">+L245*U245</f>
        <v>0</v>
      </c>
      <c r="U245" s="1775"/>
      <c r="V245" s="1777">
        <f t="shared" ref="V245:V247" si="542">+L245*W245</f>
        <v>0</v>
      </c>
      <c r="W245" s="1775"/>
      <c r="X245" s="1777"/>
      <c r="Y245" s="1777"/>
      <c r="Z245" s="1777"/>
      <c r="AA245" s="1777">
        <f t="shared" si="424"/>
        <v>0</v>
      </c>
      <c r="AB245" s="1877" t="e">
        <f t="shared" si="425"/>
        <v>#DIV/0!</v>
      </c>
    </row>
    <row r="246" spans="1:28" ht="22.5" hidden="1" customHeight="1" thickTop="1" thickBot="1">
      <c r="A246" s="1772">
        <v>1</v>
      </c>
      <c r="B246" s="1772">
        <v>1</v>
      </c>
      <c r="C246" s="1773" t="s">
        <v>209</v>
      </c>
      <c r="D246" s="1773" t="s">
        <v>129</v>
      </c>
      <c r="E246" s="1773" t="s">
        <v>129</v>
      </c>
      <c r="F246" s="1773" t="s">
        <v>1751</v>
      </c>
      <c r="G246" s="1773" t="s">
        <v>209</v>
      </c>
      <c r="H246" s="1773"/>
      <c r="I246" s="1773"/>
      <c r="J246" s="1773"/>
      <c r="K246" s="1776" t="s">
        <v>1802</v>
      </c>
      <c r="L246" s="1774"/>
      <c r="M246" s="1774"/>
      <c r="N246" s="1774"/>
      <c r="O246" s="1774">
        <f t="shared" si="418"/>
        <v>0</v>
      </c>
      <c r="P246" s="1777">
        <f t="shared" si="539"/>
        <v>0</v>
      </c>
      <c r="Q246" s="1775"/>
      <c r="R246" s="1777">
        <f t="shared" si="540"/>
        <v>0</v>
      </c>
      <c r="S246" s="1775"/>
      <c r="T246" s="1777">
        <f t="shared" si="541"/>
        <v>0</v>
      </c>
      <c r="U246" s="1775"/>
      <c r="V246" s="1777">
        <f t="shared" si="542"/>
        <v>0</v>
      </c>
      <c r="W246" s="1775"/>
      <c r="X246" s="1777"/>
      <c r="Y246" s="1777"/>
      <c r="Z246" s="1777"/>
      <c r="AA246" s="1777">
        <f t="shared" si="424"/>
        <v>0</v>
      </c>
      <c r="AB246" s="1877" t="e">
        <f t="shared" si="425"/>
        <v>#DIV/0!</v>
      </c>
    </row>
    <row r="247" spans="1:28" ht="22.5" hidden="1" customHeight="1" thickTop="1" thickBot="1">
      <c r="A247" s="1772">
        <v>1</v>
      </c>
      <c r="B247" s="1772">
        <v>1</v>
      </c>
      <c r="C247" s="1773" t="s">
        <v>209</v>
      </c>
      <c r="D247" s="1773" t="s">
        <v>129</v>
      </c>
      <c r="E247" s="1773" t="s">
        <v>129</v>
      </c>
      <c r="F247" s="1773" t="s">
        <v>1751</v>
      </c>
      <c r="G247" s="1773" t="s">
        <v>1622</v>
      </c>
      <c r="H247" s="1773"/>
      <c r="I247" s="1773"/>
      <c r="J247" s="1773"/>
      <c r="K247" s="1776" t="s">
        <v>1803</v>
      </c>
      <c r="L247" s="1774"/>
      <c r="M247" s="1774"/>
      <c r="N247" s="1774"/>
      <c r="O247" s="1774">
        <f t="shared" si="418"/>
        <v>0</v>
      </c>
      <c r="P247" s="1777">
        <f t="shared" si="539"/>
        <v>0</v>
      </c>
      <c r="Q247" s="1775"/>
      <c r="R247" s="1777">
        <f t="shared" si="540"/>
        <v>0</v>
      </c>
      <c r="S247" s="1775"/>
      <c r="T247" s="1777">
        <f t="shared" si="541"/>
        <v>0</v>
      </c>
      <c r="U247" s="1775"/>
      <c r="V247" s="1777">
        <f t="shared" si="542"/>
        <v>0</v>
      </c>
      <c r="W247" s="1775"/>
      <c r="X247" s="1777"/>
      <c r="Y247" s="1777"/>
      <c r="Z247" s="1777"/>
      <c r="AA247" s="1777">
        <f t="shared" si="424"/>
        <v>0</v>
      </c>
      <c r="AB247" s="1877" t="e">
        <f t="shared" si="425"/>
        <v>#DIV/0!</v>
      </c>
    </row>
    <row r="248" spans="1:28" s="1766" customFormat="1" ht="22.5" hidden="1" customHeight="1" thickTop="1" thickBot="1">
      <c r="A248" s="1761">
        <v>1</v>
      </c>
      <c r="B248" s="1761">
        <v>1</v>
      </c>
      <c r="C248" s="1762" t="s">
        <v>209</v>
      </c>
      <c r="D248" s="1762" t="s">
        <v>129</v>
      </c>
      <c r="E248" s="1762" t="s">
        <v>129</v>
      </c>
      <c r="F248" s="1762" t="s">
        <v>1804</v>
      </c>
      <c r="G248" s="1762"/>
      <c r="H248" s="1762"/>
      <c r="I248" s="1762"/>
      <c r="J248" s="1762"/>
      <c r="K248" s="1763" t="s">
        <v>1805</v>
      </c>
      <c r="L248" s="1764">
        <f>SUM(L249:L251)</f>
        <v>0</v>
      </c>
      <c r="M248" s="1764">
        <f t="shared" ref="M248:N248" si="543">SUM(M249:M251)</f>
        <v>0</v>
      </c>
      <c r="N248" s="1764">
        <f t="shared" si="543"/>
        <v>0</v>
      </c>
      <c r="O248" s="1764">
        <f t="shared" si="418"/>
        <v>0</v>
      </c>
      <c r="P248" s="1781">
        <f t="shared" ref="P248:V248" si="544">SUM(P249:P251)</f>
        <v>0</v>
      </c>
      <c r="Q248" s="1765" t="e">
        <f t="shared" ref="Q248" si="545">+P248/L248</f>
        <v>#DIV/0!</v>
      </c>
      <c r="R248" s="1781">
        <f t="shared" si="544"/>
        <v>0</v>
      </c>
      <c r="S248" s="1765" t="e">
        <f t="shared" ref="S248" si="546">+R248/L248</f>
        <v>#DIV/0!</v>
      </c>
      <c r="T248" s="1781">
        <f t="shared" si="544"/>
        <v>0</v>
      </c>
      <c r="U248" s="1765" t="e">
        <f t="shared" ref="U248" si="547">+T248/L248</f>
        <v>#DIV/0!</v>
      </c>
      <c r="V248" s="1781">
        <f t="shared" si="544"/>
        <v>0</v>
      </c>
      <c r="W248" s="1747" t="e">
        <f>+W247/W240</f>
        <v>#DIV/0!</v>
      </c>
      <c r="X248" s="1781">
        <f t="shared" ref="X248:Z248" si="548">SUM(X249:X251)</f>
        <v>0</v>
      </c>
      <c r="Y248" s="1781">
        <f t="shared" si="548"/>
        <v>0</v>
      </c>
      <c r="Z248" s="1781">
        <f t="shared" si="548"/>
        <v>0</v>
      </c>
      <c r="AA248" s="1781">
        <f t="shared" si="424"/>
        <v>0</v>
      </c>
      <c r="AB248" s="1875" t="e">
        <f t="shared" si="425"/>
        <v>#DIV/0!</v>
      </c>
    </row>
    <row r="249" spans="1:28" ht="22.5" hidden="1" customHeight="1" thickTop="1" thickBot="1">
      <c r="A249" s="1772">
        <v>1</v>
      </c>
      <c r="B249" s="1772">
        <v>1</v>
      </c>
      <c r="C249" s="1773" t="s">
        <v>209</v>
      </c>
      <c r="D249" s="1773" t="s">
        <v>129</v>
      </c>
      <c r="E249" s="1773" t="s">
        <v>129</v>
      </c>
      <c r="F249" s="1773" t="s">
        <v>1804</v>
      </c>
      <c r="G249" s="1773" t="s">
        <v>127</v>
      </c>
      <c r="H249" s="1773"/>
      <c r="I249" s="1773"/>
      <c r="J249" s="1773"/>
      <c r="K249" s="1776" t="s">
        <v>1806</v>
      </c>
      <c r="L249" s="1774"/>
      <c r="M249" s="1774"/>
      <c r="N249" s="1774"/>
      <c r="O249" s="1774">
        <f t="shared" si="418"/>
        <v>0</v>
      </c>
      <c r="P249" s="1777">
        <f t="shared" ref="P249:P251" si="549">+L249*Q249</f>
        <v>0</v>
      </c>
      <c r="Q249" s="1775"/>
      <c r="R249" s="1777">
        <f t="shared" ref="R249:R251" si="550">+L249*S249</f>
        <v>0</v>
      </c>
      <c r="S249" s="1775"/>
      <c r="T249" s="1777">
        <f t="shared" ref="T249:T251" si="551">+L249*U249</f>
        <v>0</v>
      </c>
      <c r="U249" s="1775"/>
      <c r="V249" s="1777">
        <f t="shared" ref="V249:V251" si="552">+L249*W249</f>
        <v>0</v>
      </c>
      <c r="W249" s="1775"/>
      <c r="X249" s="1777"/>
      <c r="Y249" s="1777"/>
      <c r="Z249" s="1777"/>
      <c r="AA249" s="1777">
        <f t="shared" si="424"/>
        <v>0</v>
      </c>
      <c r="AB249" s="1877" t="e">
        <f t="shared" si="425"/>
        <v>#DIV/0!</v>
      </c>
    </row>
    <row r="250" spans="1:28" ht="22.5" hidden="1" customHeight="1" thickTop="1" thickBot="1">
      <c r="A250" s="1772">
        <v>1</v>
      </c>
      <c r="B250" s="1772">
        <v>1</v>
      </c>
      <c r="C250" s="1773" t="s">
        <v>209</v>
      </c>
      <c r="D250" s="1773" t="s">
        <v>129</v>
      </c>
      <c r="E250" s="1773" t="s">
        <v>129</v>
      </c>
      <c r="F250" s="1773" t="s">
        <v>1804</v>
      </c>
      <c r="G250" s="1773" t="s">
        <v>209</v>
      </c>
      <c r="H250" s="1773"/>
      <c r="I250" s="1773"/>
      <c r="J250" s="1773"/>
      <c r="K250" s="1776" t="s">
        <v>1807</v>
      </c>
      <c r="L250" s="1774"/>
      <c r="M250" s="1774"/>
      <c r="N250" s="1774"/>
      <c r="O250" s="1774">
        <f t="shared" si="418"/>
        <v>0</v>
      </c>
      <c r="P250" s="1777">
        <f t="shared" si="549"/>
        <v>0</v>
      </c>
      <c r="Q250" s="1775"/>
      <c r="R250" s="1777">
        <f t="shared" si="550"/>
        <v>0</v>
      </c>
      <c r="S250" s="1775"/>
      <c r="T250" s="1777">
        <f t="shared" si="551"/>
        <v>0</v>
      </c>
      <c r="U250" s="1775"/>
      <c r="V250" s="1777">
        <f t="shared" si="552"/>
        <v>0</v>
      </c>
      <c r="W250" s="1775"/>
      <c r="X250" s="1777"/>
      <c r="Y250" s="1777"/>
      <c r="Z250" s="1777"/>
      <c r="AA250" s="1777">
        <f t="shared" si="424"/>
        <v>0</v>
      </c>
      <c r="AB250" s="1877" t="e">
        <f t="shared" si="425"/>
        <v>#DIV/0!</v>
      </c>
    </row>
    <row r="251" spans="1:28" ht="22.5" hidden="1" customHeight="1" thickTop="1" thickBot="1">
      <c r="A251" s="1772">
        <v>1</v>
      </c>
      <c r="B251" s="1772">
        <v>1</v>
      </c>
      <c r="C251" s="1773" t="s">
        <v>209</v>
      </c>
      <c r="D251" s="1773" t="s">
        <v>129</v>
      </c>
      <c r="E251" s="1773" t="s">
        <v>129</v>
      </c>
      <c r="F251" s="1773" t="s">
        <v>1804</v>
      </c>
      <c r="G251" s="1773" t="s">
        <v>1622</v>
      </c>
      <c r="H251" s="1773"/>
      <c r="I251" s="1773"/>
      <c r="J251" s="1773"/>
      <c r="K251" s="1776" t="s">
        <v>1808</v>
      </c>
      <c r="L251" s="1774"/>
      <c r="M251" s="1774"/>
      <c r="N251" s="1774"/>
      <c r="O251" s="1774">
        <f t="shared" si="418"/>
        <v>0</v>
      </c>
      <c r="P251" s="1777">
        <f t="shared" si="549"/>
        <v>0</v>
      </c>
      <c r="Q251" s="1775"/>
      <c r="R251" s="1777">
        <f t="shared" si="550"/>
        <v>0</v>
      </c>
      <c r="S251" s="1775"/>
      <c r="T251" s="1777">
        <f t="shared" si="551"/>
        <v>0</v>
      </c>
      <c r="U251" s="1775"/>
      <c r="V251" s="1777">
        <f t="shared" si="552"/>
        <v>0</v>
      </c>
      <c r="W251" s="1775"/>
      <c r="X251" s="1777"/>
      <c r="Y251" s="1777"/>
      <c r="Z251" s="1777"/>
      <c r="AA251" s="1777">
        <f t="shared" si="424"/>
        <v>0</v>
      </c>
      <c r="AB251" s="1877" t="e">
        <f t="shared" si="425"/>
        <v>#DIV/0!</v>
      </c>
    </row>
    <row r="252" spans="1:28" s="1760" customFormat="1" ht="22.5" hidden="1" customHeight="1" thickTop="1" thickBot="1">
      <c r="A252" s="1755">
        <v>1</v>
      </c>
      <c r="B252" s="1755">
        <v>1</v>
      </c>
      <c r="C252" s="1756" t="s">
        <v>209</v>
      </c>
      <c r="D252" s="1756" t="s">
        <v>129</v>
      </c>
      <c r="E252" s="1756" t="s">
        <v>134</v>
      </c>
      <c r="F252" s="1756"/>
      <c r="G252" s="1756"/>
      <c r="H252" s="1756"/>
      <c r="I252" s="1756"/>
      <c r="J252" s="1756"/>
      <c r="K252" s="1757" t="s">
        <v>171</v>
      </c>
      <c r="L252" s="1758">
        <f>+L253+L271+L284</f>
        <v>0</v>
      </c>
      <c r="M252" s="1758">
        <f t="shared" ref="M252:N252" si="553">+M253+M271+M284</f>
        <v>0</v>
      </c>
      <c r="N252" s="1758">
        <f t="shared" si="553"/>
        <v>0</v>
      </c>
      <c r="O252" s="1758">
        <f t="shared" si="418"/>
        <v>0</v>
      </c>
      <c r="P252" s="1805">
        <f t="shared" ref="P252:V252" si="554">+P253+P271+P284</f>
        <v>0</v>
      </c>
      <c r="Q252" s="1759" t="e">
        <f t="shared" ref="Q252:Q254" si="555">+P252/L252</f>
        <v>#DIV/0!</v>
      </c>
      <c r="R252" s="1805">
        <f t="shared" si="554"/>
        <v>0</v>
      </c>
      <c r="S252" s="1759" t="e">
        <f t="shared" ref="S252:S254" si="556">+R252/L252</f>
        <v>#DIV/0!</v>
      </c>
      <c r="T252" s="1805">
        <f t="shared" si="554"/>
        <v>0</v>
      </c>
      <c r="U252" s="1759" t="e">
        <f t="shared" ref="U252:U254" si="557">+T252/L252</f>
        <v>#DIV/0!</v>
      </c>
      <c r="V252" s="1805">
        <f t="shared" si="554"/>
        <v>0</v>
      </c>
      <c r="W252" s="1747" t="e">
        <f>+W251/W244</f>
        <v>#DIV/0!</v>
      </c>
      <c r="X252" s="1805">
        <f t="shared" ref="X252:Z252" si="558">+X253+X271+X284</f>
        <v>0</v>
      </c>
      <c r="Y252" s="1805">
        <f t="shared" si="558"/>
        <v>0</v>
      </c>
      <c r="Z252" s="1805">
        <f t="shared" si="558"/>
        <v>0</v>
      </c>
      <c r="AA252" s="1805">
        <f t="shared" si="424"/>
        <v>0</v>
      </c>
      <c r="AB252" s="1874" t="e">
        <f t="shared" si="425"/>
        <v>#DIV/0!</v>
      </c>
    </row>
    <row r="253" spans="1:28" s="1766" customFormat="1" ht="22.5" hidden="1" customHeight="1" thickTop="1" thickBot="1">
      <c r="A253" s="1761">
        <v>1</v>
      </c>
      <c r="B253" s="1761">
        <v>1</v>
      </c>
      <c r="C253" s="1762" t="s">
        <v>209</v>
      </c>
      <c r="D253" s="1762" t="s">
        <v>129</v>
      </c>
      <c r="E253" s="1762" t="s">
        <v>134</v>
      </c>
      <c r="F253" s="1762" t="s">
        <v>1684</v>
      </c>
      <c r="G253" s="1762"/>
      <c r="H253" s="1762"/>
      <c r="I253" s="1762"/>
      <c r="J253" s="1762"/>
      <c r="K253" s="1763" t="s">
        <v>172</v>
      </c>
      <c r="L253" s="1764">
        <f>+L254+L258+L262</f>
        <v>0</v>
      </c>
      <c r="M253" s="1764">
        <f t="shared" ref="M253:N253" si="559">+M254+M258+M262</f>
        <v>0</v>
      </c>
      <c r="N253" s="1764">
        <f t="shared" si="559"/>
        <v>0</v>
      </c>
      <c r="O253" s="1764">
        <f t="shared" si="418"/>
        <v>0</v>
      </c>
      <c r="P253" s="1781">
        <f t="shared" ref="P253:V253" si="560">+P254+P258+P262</f>
        <v>0</v>
      </c>
      <c r="Q253" s="1765" t="e">
        <f t="shared" si="555"/>
        <v>#DIV/0!</v>
      </c>
      <c r="R253" s="1781">
        <f t="shared" si="560"/>
        <v>0</v>
      </c>
      <c r="S253" s="1765" t="e">
        <f t="shared" si="556"/>
        <v>#DIV/0!</v>
      </c>
      <c r="T253" s="1781">
        <f t="shared" si="560"/>
        <v>0</v>
      </c>
      <c r="U253" s="1765" t="e">
        <f t="shared" si="557"/>
        <v>#DIV/0!</v>
      </c>
      <c r="V253" s="1781">
        <f t="shared" si="560"/>
        <v>0</v>
      </c>
      <c r="W253" s="1765" t="e">
        <f t="shared" ref="W253:W254" si="561">+V253/L253</f>
        <v>#DIV/0!</v>
      </c>
      <c r="X253" s="1781">
        <f t="shared" ref="X253:Z253" si="562">+X254+X258+X262</f>
        <v>0</v>
      </c>
      <c r="Y253" s="1781">
        <f t="shared" si="562"/>
        <v>0</v>
      </c>
      <c r="Z253" s="1781">
        <f t="shared" si="562"/>
        <v>0</v>
      </c>
      <c r="AA253" s="1781">
        <f t="shared" si="424"/>
        <v>0</v>
      </c>
      <c r="AB253" s="1875" t="e">
        <f t="shared" si="425"/>
        <v>#DIV/0!</v>
      </c>
    </row>
    <row r="254" spans="1:28" s="1791" customFormat="1" ht="22.5" hidden="1" customHeight="1" thickTop="1" thickBot="1">
      <c r="A254" s="1785">
        <v>1</v>
      </c>
      <c r="B254" s="1785">
        <v>1</v>
      </c>
      <c r="C254" s="1786" t="s">
        <v>209</v>
      </c>
      <c r="D254" s="1786" t="s">
        <v>129</v>
      </c>
      <c r="E254" s="1786" t="s">
        <v>134</v>
      </c>
      <c r="F254" s="1786" t="s">
        <v>1684</v>
      </c>
      <c r="G254" s="1786" t="s">
        <v>129</v>
      </c>
      <c r="H254" s="1786"/>
      <c r="I254" s="1786"/>
      <c r="J254" s="1786"/>
      <c r="K254" s="1788" t="s">
        <v>173</v>
      </c>
      <c r="L254" s="1789">
        <f>SUM(L255:L257)</f>
        <v>0</v>
      </c>
      <c r="M254" s="1789">
        <f t="shared" ref="M254:N254" si="563">SUM(M255:M257)</f>
        <v>0</v>
      </c>
      <c r="N254" s="1789">
        <f t="shared" si="563"/>
        <v>0</v>
      </c>
      <c r="O254" s="1789">
        <f t="shared" si="418"/>
        <v>0</v>
      </c>
      <c r="P254" s="1800">
        <f t="shared" ref="P254:V254" si="564">SUM(P255:P257)</f>
        <v>0</v>
      </c>
      <c r="Q254" s="1790" t="e">
        <f t="shared" si="555"/>
        <v>#DIV/0!</v>
      </c>
      <c r="R254" s="1800">
        <f t="shared" si="564"/>
        <v>0</v>
      </c>
      <c r="S254" s="1790" t="e">
        <f t="shared" si="556"/>
        <v>#DIV/0!</v>
      </c>
      <c r="T254" s="1800">
        <f t="shared" si="564"/>
        <v>0</v>
      </c>
      <c r="U254" s="1790" t="e">
        <f t="shared" si="557"/>
        <v>#DIV/0!</v>
      </c>
      <c r="V254" s="1800">
        <f t="shared" si="564"/>
        <v>0</v>
      </c>
      <c r="W254" s="1790" t="e">
        <f t="shared" si="561"/>
        <v>#DIV/0!</v>
      </c>
      <c r="X254" s="1800">
        <f t="shared" ref="X254:Z254" si="565">SUM(X255:X257)</f>
        <v>0</v>
      </c>
      <c r="Y254" s="1800">
        <f t="shared" si="565"/>
        <v>0</v>
      </c>
      <c r="Z254" s="1800">
        <f t="shared" si="565"/>
        <v>0</v>
      </c>
      <c r="AA254" s="1800">
        <f t="shared" si="424"/>
        <v>0</v>
      </c>
      <c r="AB254" s="1878" t="e">
        <f t="shared" si="425"/>
        <v>#DIV/0!</v>
      </c>
    </row>
    <row r="255" spans="1:28" ht="22.5" hidden="1" customHeight="1" thickTop="1" thickBot="1">
      <c r="A255" s="1772">
        <v>1</v>
      </c>
      <c r="B255" s="1772">
        <v>1</v>
      </c>
      <c r="C255" s="1773" t="s">
        <v>209</v>
      </c>
      <c r="D255" s="1773" t="s">
        <v>129</v>
      </c>
      <c r="E255" s="1773" t="s">
        <v>134</v>
      </c>
      <c r="F255" s="1773" t="s">
        <v>1684</v>
      </c>
      <c r="G255" s="1773" t="s">
        <v>129</v>
      </c>
      <c r="H255" s="1773" t="s">
        <v>127</v>
      </c>
      <c r="I255" s="1773"/>
      <c r="J255" s="1773"/>
      <c r="K255" s="1776" t="s">
        <v>1809</v>
      </c>
      <c r="L255" s="1774"/>
      <c r="M255" s="1774"/>
      <c r="N255" s="1774"/>
      <c r="O255" s="1774">
        <f t="shared" si="418"/>
        <v>0</v>
      </c>
      <c r="P255" s="1777">
        <f t="shared" ref="P255:P257" si="566">+L255*Q255</f>
        <v>0</v>
      </c>
      <c r="Q255" s="1775"/>
      <c r="R255" s="1777">
        <f t="shared" ref="R255:R257" si="567">+L255*S255</f>
        <v>0</v>
      </c>
      <c r="S255" s="1775"/>
      <c r="T255" s="1777">
        <f t="shared" ref="T255:T257" si="568">+L255*U255</f>
        <v>0</v>
      </c>
      <c r="U255" s="1775"/>
      <c r="V255" s="1777">
        <f t="shared" ref="V255:V257" si="569">+L255*W255</f>
        <v>0</v>
      </c>
      <c r="W255" s="1775"/>
      <c r="X255" s="1777"/>
      <c r="Y255" s="1777"/>
      <c r="Z255" s="1777"/>
      <c r="AA255" s="1777">
        <f t="shared" si="424"/>
        <v>0</v>
      </c>
      <c r="AB255" s="1877" t="e">
        <f t="shared" si="425"/>
        <v>#DIV/0!</v>
      </c>
    </row>
    <row r="256" spans="1:28" ht="22.5" hidden="1" customHeight="1" thickTop="1" thickBot="1">
      <c r="A256" s="1772">
        <v>1</v>
      </c>
      <c r="B256" s="1772">
        <v>1</v>
      </c>
      <c r="C256" s="1773" t="s">
        <v>209</v>
      </c>
      <c r="D256" s="1773" t="s">
        <v>129</v>
      </c>
      <c r="E256" s="1773" t="s">
        <v>134</v>
      </c>
      <c r="F256" s="1773" t="s">
        <v>1684</v>
      </c>
      <c r="G256" s="1773" t="s">
        <v>129</v>
      </c>
      <c r="H256" s="1773" t="s">
        <v>209</v>
      </c>
      <c r="I256" s="1773"/>
      <c r="J256" s="1773"/>
      <c r="K256" s="1776" t="s">
        <v>1810</v>
      </c>
      <c r="L256" s="1774"/>
      <c r="M256" s="1774"/>
      <c r="N256" s="1774"/>
      <c r="O256" s="1774">
        <f t="shared" si="418"/>
        <v>0</v>
      </c>
      <c r="P256" s="1777">
        <f t="shared" si="566"/>
        <v>0</v>
      </c>
      <c r="Q256" s="1775"/>
      <c r="R256" s="1777">
        <f t="shared" si="567"/>
        <v>0</v>
      </c>
      <c r="S256" s="1775"/>
      <c r="T256" s="1777">
        <f t="shared" si="568"/>
        <v>0</v>
      </c>
      <c r="U256" s="1775"/>
      <c r="V256" s="1777">
        <f t="shared" si="569"/>
        <v>0</v>
      </c>
      <c r="W256" s="1775"/>
      <c r="X256" s="1777"/>
      <c r="Y256" s="1777"/>
      <c r="Z256" s="1777"/>
      <c r="AA256" s="1777">
        <f t="shared" si="424"/>
        <v>0</v>
      </c>
      <c r="AB256" s="1877" t="e">
        <f t="shared" si="425"/>
        <v>#DIV/0!</v>
      </c>
    </row>
    <row r="257" spans="1:28" ht="22.5" hidden="1" customHeight="1" thickTop="1" thickBot="1">
      <c r="A257" s="1772">
        <v>1</v>
      </c>
      <c r="B257" s="1772">
        <v>1</v>
      </c>
      <c r="C257" s="1773" t="s">
        <v>209</v>
      </c>
      <c r="D257" s="1773" t="s">
        <v>129</v>
      </c>
      <c r="E257" s="1773" t="s">
        <v>134</v>
      </c>
      <c r="F257" s="1773" t="s">
        <v>1684</v>
      </c>
      <c r="G257" s="1773" t="s">
        <v>129</v>
      </c>
      <c r="H257" s="1773" t="s">
        <v>1622</v>
      </c>
      <c r="I257" s="1773"/>
      <c r="J257" s="1773"/>
      <c r="K257" s="1776" t="s">
        <v>1811</v>
      </c>
      <c r="L257" s="1774"/>
      <c r="M257" s="1774"/>
      <c r="N257" s="1774"/>
      <c r="O257" s="1774">
        <f t="shared" si="418"/>
        <v>0</v>
      </c>
      <c r="P257" s="1777">
        <f t="shared" si="566"/>
        <v>0</v>
      </c>
      <c r="Q257" s="1775"/>
      <c r="R257" s="1777">
        <f t="shared" si="567"/>
        <v>0</v>
      </c>
      <c r="S257" s="1775"/>
      <c r="T257" s="1777">
        <f t="shared" si="568"/>
        <v>0</v>
      </c>
      <c r="U257" s="1775"/>
      <c r="V257" s="1777">
        <f t="shared" si="569"/>
        <v>0</v>
      </c>
      <c r="W257" s="1775"/>
      <c r="X257" s="1777"/>
      <c r="Y257" s="1777"/>
      <c r="Z257" s="1777"/>
      <c r="AA257" s="1777">
        <f t="shared" si="424"/>
        <v>0</v>
      </c>
      <c r="AB257" s="1877" t="e">
        <f t="shared" si="425"/>
        <v>#DIV/0!</v>
      </c>
    </row>
    <row r="258" spans="1:28" s="1791" customFormat="1" ht="22.5" hidden="1" customHeight="1" thickTop="1" thickBot="1">
      <c r="A258" s="1785">
        <v>1</v>
      </c>
      <c r="B258" s="1785">
        <v>1</v>
      </c>
      <c r="C258" s="1786" t="s">
        <v>209</v>
      </c>
      <c r="D258" s="1786" t="s">
        <v>129</v>
      </c>
      <c r="E258" s="1786" t="s">
        <v>134</v>
      </c>
      <c r="F258" s="1786" t="s">
        <v>1684</v>
      </c>
      <c r="G258" s="1786" t="s">
        <v>134</v>
      </c>
      <c r="H258" s="1786"/>
      <c r="I258" s="1786"/>
      <c r="J258" s="1786"/>
      <c r="K258" s="1788" t="s">
        <v>174</v>
      </c>
      <c r="L258" s="1789">
        <f>SUM(L259:L261)</f>
        <v>0</v>
      </c>
      <c r="M258" s="1789">
        <f t="shared" ref="M258:N258" si="570">SUM(M259:M261)</f>
        <v>0</v>
      </c>
      <c r="N258" s="1789">
        <f t="shared" si="570"/>
        <v>0</v>
      </c>
      <c r="O258" s="1789">
        <f t="shared" si="418"/>
        <v>0</v>
      </c>
      <c r="P258" s="1800">
        <f t="shared" ref="P258:V258" si="571">SUM(P259:P261)</f>
        <v>0</v>
      </c>
      <c r="Q258" s="1790" t="e">
        <f t="shared" ref="Q258" si="572">+P258/L258</f>
        <v>#DIV/0!</v>
      </c>
      <c r="R258" s="1800">
        <f t="shared" si="571"/>
        <v>0</v>
      </c>
      <c r="S258" s="1790" t="e">
        <f t="shared" ref="S258" si="573">+R258/L258</f>
        <v>#DIV/0!</v>
      </c>
      <c r="T258" s="1800">
        <f t="shared" si="571"/>
        <v>0</v>
      </c>
      <c r="U258" s="1790" t="e">
        <f t="shared" ref="U258" si="574">+T258/L258</f>
        <v>#DIV/0!</v>
      </c>
      <c r="V258" s="1800">
        <f t="shared" si="571"/>
        <v>0</v>
      </c>
      <c r="W258" s="1790" t="e">
        <f t="shared" ref="W258" si="575">+V258/L258</f>
        <v>#DIV/0!</v>
      </c>
      <c r="X258" s="1800">
        <f t="shared" ref="X258:Z258" si="576">SUM(X259:X261)</f>
        <v>0</v>
      </c>
      <c r="Y258" s="1800">
        <f t="shared" si="576"/>
        <v>0</v>
      </c>
      <c r="Z258" s="1800">
        <f t="shared" si="576"/>
        <v>0</v>
      </c>
      <c r="AA258" s="1800">
        <f t="shared" si="424"/>
        <v>0</v>
      </c>
      <c r="AB258" s="1878" t="e">
        <f t="shared" si="425"/>
        <v>#DIV/0!</v>
      </c>
    </row>
    <row r="259" spans="1:28" ht="22.5" hidden="1" customHeight="1" thickTop="1" thickBot="1">
      <c r="A259" s="1772">
        <v>1</v>
      </c>
      <c r="B259" s="1772">
        <v>1</v>
      </c>
      <c r="C259" s="1773" t="s">
        <v>209</v>
      </c>
      <c r="D259" s="1773" t="s">
        <v>129</v>
      </c>
      <c r="E259" s="1773" t="s">
        <v>134</v>
      </c>
      <c r="F259" s="1773" t="s">
        <v>1684</v>
      </c>
      <c r="G259" s="1773" t="s">
        <v>134</v>
      </c>
      <c r="H259" s="1773" t="s">
        <v>127</v>
      </c>
      <c r="I259" s="1773"/>
      <c r="J259" s="1773"/>
      <c r="K259" s="1776" t="s">
        <v>1812</v>
      </c>
      <c r="L259" s="1774"/>
      <c r="M259" s="1774"/>
      <c r="N259" s="1774"/>
      <c r="O259" s="1774">
        <f t="shared" si="418"/>
        <v>0</v>
      </c>
      <c r="P259" s="1777">
        <f t="shared" ref="P259:P261" si="577">+L259*Q259</f>
        <v>0</v>
      </c>
      <c r="Q259" s="1775"/>
      <c r="R259" s="1777">
        <f t="shared" ref="R259:R261" si="578">+L259*S259</f>
        <v>0</v>
      </c>
      <c r="S259" s="1775"/>
      <c r="T259" s="1777">
        <f t="shared" ref="T259:T261" si="579">+L259*U259</f>
        <v>0</v>
      </c>
      <c r="U259" s="1775"/>
      <c r="V259" s="1777">
        <f t="shared" ref="V259:V261" si="580">+L259*W259</f>
        <v>0</v>
      </c>
      <c r="W259" s="1775"/>
      <c r="X259" s="1777"/>
      <c r="Y259" s="1777"/>
      <c r="Z259" s="1777"/>
      <c r="AA259" s="1777">
        <f t="shared" si="424"/>
        <v>0</v>
      </c>
      <c r="AB259" s="1877" t="e">
        <f t="shared" si="425"/>
        <v>#DIV/0!</v>
      </c>
    </row>
    <row r="260" spans="1:28" ht="22.5" hidden="1" customHeight="1" thickTop="1" thickBot="1">
      <c r="A260" s="1772">
        <v>1</v>
      </c>
      <c r="B260" s="1772">
        <v>1</v>
      </c>
      <c r="C260" s="1773" t="s">
        <v>209</v>
      </c>
      <c r="D260" s="1773" t="s">
        <v>129</v>
      </c>
      <c r="E260" s="1773" t="s">
        <v>134</v>
      </c>
      <c r="F260" s="1773" t="s">
        <v>1684</v>
      </c>
      <c r="G260" s="1773" t="s">
        <v>134</v>
      </c>
      <c r="H260" s="1773" t="s">
        <v>209</v>
      </c>
      <c r="I260" s="1773"/>
      <c r="J260" s="1773"/>
      <c r="K260" s="1776" t="s">
        <v>1813</v>
      </c>
      <c r="L260" s="1774"/>
      <c r="M260" s="1774"/>
      <c r="N260" s="1774"/>
      <c r="O260" s="1774">
        <f t="shared" si="418"/>
        <v>0</v>
      </c>
      <c r="P260" s="1777">
        <f t="shared" si="577"/>
        <v>0</v>
      </c>
      <c r="Q260" s="1775"/>
      <c r="R260" s="1777">
        <f t="shared" si="578"/>
        <v>0</v>
      </c>
      <c r="S260" s="1775"/>
      <c r="T260" s="1777">
        <f t="shared" si="579"/>
        <v>0</v>
      </c>
      <c r="U260" s="1775"/>
      <c r="V260" s="1777">
        <f t="shared" si="580"/>
        <v>0</v>
      </c>
      <c r="W260" s="1775"/>
      <c r="X260" s="1777"/>
      <c r="Y260" s="1777"/>
      <c r="Z260" s="1777"/>
      <c r="AA260" s="1777">
        <f t="shared" si="424"/>
        <v>0</v>
      </c>
      <c r="AB260" s="1877" t="e">
        <f t="shared" si="425"/>
        <v>#DIV/0!</v>
      </c>
    </row>
    <row r="261" spans="1:28" ht="22.5" hidden="1" customHeight="1" thickTop="1" thickBot="1">
      <c r="A261" s="1772">
        <v>1</v>
      </c>
      <c r="B261" s="1772">
        <v>1</v>
      </c>
      <c r="C261" s="1773" t="s">
        <v>209</v>
      </c>
      <c r="D261" s="1773" t="s">
        <v>129</v>
      </c>
      <c r="E261" s="1773" t="s">
        <v>134</v>
      </c>
      <c r="F261" s="1773" t="s">
        <v>1684</v>
      </c>
      <c r="G261" s="1773" t="s">
        <v>134</v>
      </c>
      <c r="H261" s="1773" t="s">
        <v>1622</v>
      </c>
      <c r="I261" s="1773"/>
      <c r="J261" s="1773"/>
      <c r="K261" s="1776" t="s">
        <v>1814</v>
      </c>
      <c r="L261" s="1774"/>
      <c r="M261" s="1774"/>
      <c r="N261" s="1774"/>
      <c r="O261" s="1774">
        <f t="shared" si="418"/>
        <v>0</v>
      </c>
      <c r="P261" s="1777">
        <f t="shared" si="577"/>
        <v>0</v>
      </c>
      <c r="Q261" s="1775"/>
      <c r="R261" s="1777">
        <f t="shared" si="578"/>
        <v>0</v>
      </c>
      <c r="S261" s="1775"/>
      <c r="T261" s="1777">
        <f t="shared" si="579"/>
        <v>0</v>
      </c>
      <c r="U261" s="1775"/>
      <c r="V261" s="1777">
        <f t="shared" si="580"/>
        <v>0</v>
      </c>
      <c r="W261" s="1775"/>
      <c r="X261" s="1777"/>
      <c r="Y261" s="1777"/>
      <c r="Z261" s="1777"/>
      <c r="AA261" s="1777">
        <f t="shared" si="424"/>
        <v>0</v>
      </c>
      <c r="AB261" s="1877" t="e">
        <f t="shared" si="425"/>
        <v>#DIV/0!</v>
      </c>
    </row>
    <row r="262" spans="1:28" s="1791" customFormat="1" ht="22.5" hidden="1" customHeight="1" thickTop="1" thickBot="1">
      <c r="A262" s="1785">
        <v>1</v>
      </c>
      <c r="B262" s="1785">
        <v>1</v>
      </c>
      <c r="C262" s="1786" t="s">
        <v>209</v>
      </c>
      <c r="D262" s="1786" t="s">
        <v>129</v>
      </c>
      <c r="E262" s="1786" t="s">
        <v>134</v>
      </c>
      <c r="F262" s="1786" t="s">
        <v>1684</v>
      </c>
      <c r="G262" s="1786" t="s">
        <v>139</v>
      </c>
      <c r="H262" s="1786"/>
      <c r="I262" s="1786"/>
      <c r="J262" s="1786"/>
      <c r="K262" s="1788" t="s">
        <v>175</v>
      </c>
      <c r="L262" s="1789">
        <f>+L263+L267</f>
        <v>0</v>
      </c>
      <c r="M262" s="1789">
        <f t="shared" ref="M262:N262" si="581">+M263+M267</f>
        <v>0</v>
      </c>
      <c r="N262" s="1789">
        <f t="shared" si="581"/>
        <v>0</v>
      </c>
      <c r="O262" s="1789">
        <f t="shared" si="418"/>
        <v>0</v>
      </c>
      <c r="P262" s="1800">
        <f t="shared" ref="P262:V262" si="582">+P263+P267</f>
        <v>0</v>
      </c>
      <c r="Q262" s="1790" t="e">
        <f t="shared" ref="Q262:Q263" si="583">+P262/L262</f>
        <v>#DIV/0!</v>
      </c>
      <c r="R262" s="1800">
        <f t="shared" si="582"/>
        <v>0</v>
      </c>
      <c r="S262" s="1790" t="e">
        <f t="shared" ref="S262:S263" si="584">+R262/L262</f>
        <v>#DIV/0!</v>
      </c>
      <c r="T262" s="1800">
        <f t="shared" si="582"/>
        <v>0</v>
      </c>
      <c r="U262" s="1790" t="e">
        <f t="shared" ref="U262:U263" si="585">+T262/L262</f>
        <v>#DIV/0!</v>
      </c>
      <c r="V262" s="1800">
        <f t="shared" si="582"/>
        <v>0</v>
      </c>
      <c r="W262" s="1790" t="e">
        <f t="shared" ref="W262:W263" si="586">+V262/L262</f>
        <v>#DIV/0!</v>
      </c>
      <c r="X262" s="1800">
        <f t="shared" ref="X262:Z262" si="587">+X263+X267</f>
        <v>0</v>
      </c>
      <c r="Y262" s="1800">
        <f t="shared" si="587"/>
        <v>0</v>
      </c>
      <c r="Z262" s="1800">
        <f t="shared" si="587"/>
        <v>0</v>
      </c>
      <c r="AA262" s="1800">
        <f t="shared" si="424"/>
        <v>0</v>
      </c>
      <c r="AB262" s="1878" t="e">
        <f t="shared" si="425"/>
        <v>#DIV/0!</v>
      </c>
    </row>
    <row r="263" spans="1:28" s="1729" customFormat="1" ht="22.5" hidden="1" customHeight="1" thickTop="1" thickBot="1">
      <c r="A263" s="1767">
        <v>1</v>
      </c>
      <c r="B263" s="1767">
        <v>1</v>
      </c>
      <c r="C263" s="1768" t="s">
        <v>209</v>
      </c>
      <c r="D263" s="1768" t="s">
        <v>129</v>
      </c>
      <c r="E263" s="1768" t="s">
        <v>134</v>
      </c>
      <c r="F263" s="1768" t="s">
        <v>1684</v>
      </c>
      <c r="G263" s="1768" t="s">
        <v>139</v>
      </c>
      <c r="H263" s="1768" t="s">
        <v>129</v>
      </c>
      <c r="I263" s="1768"/>
      <c r="J263" s="1768"/>
      <c r="K263" s="1769" t="s">
        <v>1815</v>
      </c>
      <c r="L263" s="1770">
        <f>SUM(L264:L266)</f>
        <v>0</v>
      </c>
      <c r="M263" s="1770">
        <f t="shared" ref="M263:N263" si="588">SUM(M264:M266)</f>
        <v>0</v>
      </c>
      <c r="N263" s="1770">
        <f t="shared" si="588"/>
        <v>0</v>
      </c>
      <c r="O263" s="1770">
        <f t="shared" si="418"/>
        <v>0</v>
      </c>
      <c r="P263" s="1778">
        <f t="shared" ref="P263:V263" si="589">SUM(P264:P266)</f>
        <v>0</v>
      </c>
      <c r="Q263" s="1771" t="e">
        <f t="shared" si="583"/>
        <v>#DIV/0!</v>
      </c>
      <c r="R263" s="1778">
        <f t="shared" si="589"/>
        <v>0</v>
      </c>
      <c r="S263" s="1771" t="e">
        <f t="shared" si="584"/>
        <v>#DIV/0!</v>
      </c>
      <c r="T263" s="1778">
        <f t="shared" si="589"/>
        <v>0</v>
      </c>
      <c r="U263" s="1771" t="e">
        <f t="shared" si="585"/>
        <v>#DIV/0!</v>
      </c>
      <c r="V263" s="1778">
        <f t="shared" si="589"/>
        <v>0</v>
      </c>
      <c r="W263" s="1771" t="e">
        <f t="shared" si="586"/>
        <v>#DIV/0!</v>
      </c>
      <c r="X263" s="1778">
        <f t="shared" ref="X263:Z263" si="590">SUM(X264:X266)</f>
        <v>0</v>
      </c>
      <c r="Y263" s="1778">
        <f t="shared" si="590"/>
        <v>0</v>
      </c>
      <c r="Z263" s="1778">
        <f t="shared" si="590"/>
        <v>0</v>
      </c>
      <c r="AA263" s="1778">
        <f t="shared" si="424"/>
        <v>0</v>
      </c>
      <c r="AB263" s="1876" t="e">
        <f t="shared" si="425"/>
        <v>#DIV/0!</v>
      </c>
    </row>
    <row r="264" spans="1:28" ht="22.5" hidden="1" customHeight="1" thickTop="1" thickBot="1">
      <c r="A264" s="1772">
        <v>1</v>
      </c>
      <c r="B264" s="1772">
        <v>1</v>
      </c>
      <c r="C264" s="1773" t="s">
        <v>209</v>
      </c>
      <c r="D264" s="1773" t="s">
        <v>129</v>
      </c>
      <c r="E264" s="1773" t="s">
        <v>134</v>
      </c>
      <c r="F264" s="1773" t="s">
        <v>1684</v>
      </c>
      <c r="G264" s="1773" t="s">
        <v>139</v>
      </c>
      <c r="H264" s="1773" t="s">
        <v>129</v>
      </c>
      <c r="I264" s="1773" t="s">
        <v>127</v>
      </c>
      <c r="J264" s="1773"/>
      <c r="K264" s="1776" t="s">
        <v>1816</v>
      </c>
      <c r="L264" s="1774"/>
      <c r="M264" s="1774"/>
      <c r="N264" s="1774"/>
      <c r="O264" s="1774">
        <f t="shared" ref="O264:O327" si="591">+L264+M264-N264</f>
        <v>0</v>
      </c>
      <c r="P264" s="1777">
        <f t="shared" ref="P264:P266" si="592">+L264*Q264</f>
        <v>0</v>
      </c>
      <c r="Q264" s="1775"/>
      <c r="R264" s="1777">
        <f t="shared" ref="R264:R266" si="593">+L264*S264</f>
        <v>0</v>
      </c>
      <c r="S264" s="1775"/>
      <c r="T264" s="1777">
        <f t="shared" ref="T264:T266" si="594">+L264*U264</f>
        <v>0</v>
      </c>
      <c r="U264" s="1775"/>
      <c r="V264" s="1777">
        <f t="shared" ref="V264:V266" si="595">+L264*W264</f>
        <v>0</v>
      </c>
      <c r="W264" s="1775"/>
      <c r="X264" s="1777"/>
      <c r="Y264" s="1777"/>
      <c r="Z264" s="1777"/>
      <c r="AA264" s="1777">
        <f t="shared" ref="AA264:AA327" si="596">+Y264+Z264</f>
        <v>0</v>
      </c>
      <c r="AB264" s="1877" t="e">
        <f t="shared" ref="AB264:AB327" si="597">+AA264/X264</f>
        <v>#DIV/0!</v>
      </c>
    </row>
    <row r="265" spans="1:28" ht="22.5" hidden="1" customHeight="1" thickTop="1" thickBot="1">
      <c r="A265" s="1772">
        <v>1</v>
      </c>
      <c r="B265" s="1772">
        <v>1</v>
      </c>
      <c r="C265" s="1773" t="s">
        <v>209</v>
      </c>
      <c r="D265" s="1773" t="s">
        <v>129</v>
      </c>
      <c r="E265" s="1773" t="s">
        <v>134</v>
      </c>
      <c r="F265" s="1773" t="s">
        <v>1684</v>
      </c>
      <c r="G265" s="1773" t="s">
        <v>139</v>
      </c>
      <c r="H265" s="1773" t="s">
        <v>129</v>
      </c>
      <c r="I265" s="1773" t="s">
        <v>209</v>
      </c>
      <c r="J265" s="1773"/>
      <c r="K265" s="1776" t="s">
        <v>1817</v>
      </c>
      <c r="L265" s="1774"/>
      <c r="M265" s="1774"/>
      <c r="N265" s="1774"/>
      <c r="O265" s="1774">
        <f t="shared" si="591"/>
        <v>0</v>
      </c>
      <c r="P265" s="1777">
        <f t="shared" si="592"/>
        <v>0</v>
      </c>
      <c r="Q265" s="1775"/>
      <c r="R265" s="1777">
        <f t="shared" si="593"/>
        <v>0</v>
      </c>
      <c r="S265" s="1775"/>
      <c r="T265" s="1777">
        <f t="shared" si="594"/>
        <v>0</v>
      </c>
      <c r="U265" s="1775"/>
      <c r="V265" s="1777">
        <f t="shared" si="595"/>
        <v>0</v>
      </c>
      <c r="W265" s="1775"/>
      <c r="X265" s="1777"/>
      <c r="Y265" s="1777"/>
      <c r="Z265" s="1777"/>
      <c r="AA265" s="1777">
        <f t="shared" si="596"/>
        <v>0</v>
      </c>
      <c r="AB265" s="1877" t="e">
        <f t="shared" si="597"/>
        <v>#DIV/0!</v>
      </c>
    </row>
    <row r="266" spans="1:28" ht="22.5" hidden="1" customHeight="1" thickTop="1" thickBot="1">
      <c r="A266" s="1772">
        <v>1</v>
      </c>
      <c r="B266" s="1772">
        <v>1</v>
      </c>
      <c r="C266" s="1773" t="s">
        <v>209</v>
      </c>
      <c r="D266" s="1773" t="s">
        <v>129</v>
      </c>
      <c r="E266" s="1773" t="s">
        <v>134</v>
      </c>
      <c r="F266" s="1773" t="s">
        <v>1684</v>
      </c>
      <c r="G266" s="1773" t="s">
        <v>139</v>
      </c>
      <c r="H266" s="1773" t="s">
        <v>129</v>
      </c>
      <c r="I266" s="1773" t="s">
        <v>1622</v>
      </c>
      <c r="J266" s="1773"/>
      <c r="K266" s="1776" t="s">
        <v>1818</v>
      </c>
      <c r="L266" s="1774"/>
      <c r="M266" s="1774"/>
      <c r="N266" s="1774"/>
      <c r="O266" s="1774">
        <f t="shared" si="591"/>
        <v>0</v>
      </c>
      <c r="P266" s="1777">
        <f t="shared" si="592"/>
        <v>0</v>
      </c>
      <c r="Q266" s="1775"/>
      <c r="R266" s="1777">
        <f t="shared" si="593"/>
        <v>0</v>
      </c>
      <c r="S266" s="1775"/>
      <c r="T266" s="1777">
        <f t="shared" si="594"/>
        <v>0</v>
      </c>
      <c r="U266" s="1775"/>
      <c r="V266" s="1777">
        <f t="shared" si="595"/>
        <v>0</v>
      </c>
      <c r="W266" s="1775"/>
      <c r="X266" s="1777"/>
      <c r="Y266" s="1777"/>
      <c r="Z266" s="1777"/>
      <c r="AA266" s="1777">
        <f t="shared" si="596"/>
        <v>0</v>
      </c>
      <c r="AB266" s="1877" t="e">
        <f t="shared" si="597"/>
        <v>#DIV/0!</v>
      </c>
    </row>
    <row r="267" spans="1:28" s="1729" customFormat="1" ht="22.5" hidden="1" customHeight="1" thickTop="1" thickBot="1">
      <c r="A267" s="1767">
        <v>1</v>
      </c>
      <c r="B267" s="1767">
        <v>1</v>
      </c>
      <c r="C267" s="1768" t="s">
        <v>209</v>
      </c>
      <c r="D267" s="1768" t="s">
        <v>129</v>
      </c>
      <c r="E267" s="1768" t="s">
        <v>134</v>
      </c>
      <c r="F267" s="1768" t="s">
        <v>1684</v>
      </c>
      <c r="G267" s="1768" t="s">
        <v>139</v>
      </c>
      <c r="H267" s="1768" t="s">
        <v>134</v>
      </c>
      <c r="I267" s="1768"/>
      <c r="J267" s="1768"/>
      <c r="K267" s="1769" t="s">
        <v>176</v>
      </c>
      <c r="L267" s="1770">
        <f>SUM(L268:L270)</f>
        <v>0</v>
      </c>
      <c r="M267" s="1770">
        <f t="shared" ref="M267:N267" si="598">SUM(M268:M270)</f>
        <v>0</v>
      </c>
      <c r="N267" s="1770">
        <f t="shared" si="598"/>
        <v>0</v>
      </c>
      <c r="O267" s="1770">
        <f t="shared" si="591"/>
        <v>0</v>
      </c>
      <c r="P267" s="1778">
        <f t="shared" ref="P267:V267" si="599">SUM(P268:P270)</f>
        <v>0</v>
      </c>
      <c r="Q267" s="1771" t="e">
        <f t="shared" ref="Q267" si="600">+P267/L267</f>
        <v>#DIV/0!</v>
      </c>
      <c r="R267" s="1778">
        <f t="shared" si="599"/>
        <v>0</v>
      </c>
      <c r="S267" s="1771" t="e">
        <f t="shared" ref="S267" si="601">+R267/L267</f>
        <v>#DIV/0!</v>
      </c>
      <c r="T267" s="1778">
        <f t="shared" si="599"/>
        <v>0</v>
      </c>
      <c r="U267" s="1771" t="e">
        <f t="shared" ref="U267" si="602">+T267/L267</f>
        <v>#DIV/0!</v>
      </c>
      <c r="V267" s="1778">
        <f t="shared" si="599"/>
        <v>0</v>
      </c>
      <c r="W267" s="1771" t="e">
        <f t="shared" ref="W267" si="603">+V267/L267</f>
        <v>#DIV/0!</v>
      </c>
      <c r="X267" s="1778">
        <f t="shared" ref="X267:Z267" si="604">SUM(X268:X270)</f>
        <v>0</v>
      </c>
      <c r="Y267" s="1778">
        <f t="shared" si="604"/>
        <v>0</v>
      </c>
      <c r="Z267" s="1778">
        <f t="shared" si="604"/>
        <v>0</v>
      </c>
      <c r="AA267" s="1778">
        <f t="shared" si="596"/>
        <v>0</v>
      </c>
      <c r="AB267" s="1876" t="e">
        <f t="shared" si="597"/>
        <v>#DIV/0!</v>
      </c>
    </row>
    <row r="268" spans="1:28" ht="22.5" hidden="1" customHeight="1" thickTop="1" thickBot="1">
      <c r="A268" s="1772">
        <v>1</v>
      </c>
      <c r="B268" s="1772">
        <v>1</v>
      </c>
      <c r="C268" s="1773" t="s">
        <v>209</v>
      </c>
      <c r="D268" s="1773" t="s">
        <v>129</v>
      </c>
      <c r="E268" s="1773" t="s">
        <v>134</v>
      </c>
      <c r="F268" s="1773" t="s">
        <v>1684</v>
      </c>
      <c r="G268" s="1773" t="s">
        <v>139</v>
      </c>
      <c r="H268" s="1773" t="s">
        <v>134</v>
      </c>
      <c r="I268" s="1773" t="s">
        <v>127</v>
      </c>
      <c r="J268" s="1773"/>
      <c r="K268" s="1776" t="s">
        <v>1819</v>
      </c>
      <c r="L268" s="1774"/>
      <c r="M268" s="1774"/>
      <c r="N268" s="1774"/>
      <c r="O268" s="1774">
        <f t="shared" si="591"/>
        <v>0</v>
      </c>
      <c r="P268" s="1777">
        <f t="shared" ref="P268:P270" si="605">+L268*Q268</f>
        <v>0</v>
      </c>
      <c r="Q268" s="1775"/>
      <c r="R268" s="1777">
        <f t="shared" ref="R268:R270" si="606">+L268*S268</f>
        <v>0</v>
      </c>
      <c r="S268" s="1775"/>
      <c r="T268" s="1777">
        <f t="shared" ref="T268:T270" si="607">+L268*U268</f>
        <v>0</v>
      </c>
      <c r="U268" s="1775"/>
      <c r="V268" s="1777">
        <f t="shared" ref="V268:V270" si="608">+L268*W268</f>
        <v>0</v>
      </c>
      <c r="W268" s="1775"/>
      <c r="X268" s="1777"/>
      <c r="Y268" s="1777"/>
      <c r="Z268" s="1777"/>
      <c r="AA268" s="1777">
        <f t="shared" si="596"/>
        <v>0</v>
      </c>
      <c r="AB268" s="1877" t="e">
        <f t="shared" si="597"/>
        <v>#DIV/0!</v>
      </c>
    </row>
    <row r="269" spans="1:28" ht="22.5" hidden="1" customHeight="1" thickTop="1" thickBot="1">
      <c r="A269" s="1772">
        <v>1</v>
      </c>
      <c r="B269" s="1772">
        <v>1</v>
      </c>
      <c r="C269" s="1773" t="s">
        <v>209</v>
      </c>
      <c r="D269" s="1773" t="s">
        <v>129</v>
      </c>
      <c r="E269" s="1773" t="s">
        <v>134</v>
      </c>
      <c r="F269" s="1773" t="s">
        <v>1684</v>
      </c>
      <c r="G269" s="1773" t="s">
        <v>139</v>
      </c>
      <c r="H269" s="1773" t="s">
        <v>134</v>
      </c>
      <c r="I269" s="1773" t="s">
        <v>209</v>
      </c>
      <c r="J269" s="1773"/>
      <c r="K269" s="1776" t="s">
        <v>1820</v>
      </c>
      <c r="L269" s="1774"/>
      <c r="M269" s="1774"/>
      <c r="N269" s="1774"/>
      <c r="O269" s="1774">
        <f t="shared" si="591"/>
        <v>0</v>
      </c>
      <c r="P269" s="1777">
        <f t="shared" si="605"/>
        <v>0</v>
      </c>
      <c r="Q269" s="1775"/>
      <c r="R269" s="1777">
        <f t="shared" si="606"/>
        <v>0</v>
      </c>
      <c r="S269" s="1775"/>
      <c r="T269" s="1777">
        <f t="shared" si="607"/>
        <v>0</v>
      </c>
      <c r="U269" s="1775"/>
      <c r="V269" s="1777">
        <f t="shared" si="608"/>
        <v>0</v>
      </c>
      <c r="W269" s="1775"/>
      <c r="X269" s="1777"/>
      <c r="Y269" s="1777"/>
      <c r="Z269" s="1777"/>
      <c r="AA269" s="1777">
        <f t="shared" si="596"/>
        <v>0</v>
      </c>
      <c r="AB269" s="1877" t="e">
        <f t="shared" si="597"/>
        <v>#DIV/0!</v>
      </c>
    </row>
    <row r="270" spans="1:28" ht="22.5" hidden="1" customHeight="1" thickTop="1" thickBot="1">
      <c r="A270" s="1772">
        <v>1</v>
      </c>
      <c r="B270" s="1772">
        <v>1</v>
      </c>
      <c r="C270" s="1773" t="s">
        <v>209</v>
      </c>
      <c r="D270" s="1773" t="s">
        <v>129</v>
      </c>
      <c r="E270" s="1773" t="s">
        <v>134</v>
      </c>
      <c r="F270" s="1773" t="s">
        <v>1684</v>
      </c>
      <c r="G270" s="1773" t="s">
        <v>139</v>
      </c>
      <c r="H270" s="1773" t="s">
        <v>134</v>
      </c>
      <c r="I270" s="1773" t="s">
        <v>1622</v>
      </c>
      <c r="J270" s="1773"/>
      <c r="K270" s="1776" t="s">
        <v>1821</v>
      </c>
      <c r="L270" s="1774"/>
      <c r="M270" s="1774"/>
      <c r="N270" s="1774"/>
      <c r="O270" s="1774">
        <f t="shared" si="591"/>
        <v>0</v>
      </c>
      <c r="P270" s="1777">
        <f t="shared" si="605"/>
        <v>0</v>
      </c>
      <c r="Q270" s="1775"/>
      <c r="R270" s="1777">
        <f t="shared" si="606"/>
        <v>0</v>
      </c>
      <c r="S270" s="1775"/>
      <c r="T270" s="1777">
        <f t="shared" si="607"/>
        <v>0</v>
      </c>
      <c r="U270" s="1775"/>
      <c r="V270" s="1777">
        <f t="shared" si="608"/>
        <v>0</v>
      </c>
      <c r="W270" s="1775"/>
      <c r="X270" s="1777"/>
      <c r="Y270" s="1777"/>
      <c r="Z270" s="1777"/>
      <c r="AA270" s="1777">
        <f t="shared" si="596"/>
        <v>0</v>
      </c>
      <c r="AB270" s="1877" t="e">
        <f t="shared" si="597"/>
        <v>#DIV/0!</v>
      </c>
    </row>
    <row r="271" spans="1:28" s="1766" customFormat="1" ht="22.5" hidden="1" customHeight="1" thickTop="1" thickBot="1">
      <c r="A271" s="1761">
        <v>1</v>
      </c>
      <c r="B271" s="1761">
        <v>1</v>
      </c>
      <c r="C271" s="1762" t="s">
        <v>209</v>
      </c>
      <c r="D271" s="1762" t="s">
        <v>129</v>
      </c>
      <c r="E271" s="1762" t="s">
        <v>134</v>
      </c>
      <c r="F271" s="1762" t="s">
        <v>1703</v>
      </c>
      <c r="G271" s="1762"/>
      <c r="H271" s="1762"/>
      <c r="I271" s="1762"/>
      <c r="J271" s="1762"/>
      <c r="K271" s="1763" t="s">
        <v>1822</v>
      </c>
      <c r="L271" s="1764">
        <f>+L272+L276+L280</f>
        <v>0</v>
      </c>
      <c r="M271" s="1764">
        <f t="shared" ref="M271:N271" si="609">+M272+M276+M280</f>
        <v>0</v>
      </c>
      <c r="N271" s="1764">
        <f t="shared" si="609"/>
        <v>0</v>
      </c>
      <c r="O271" s="1764">
        <f t="shared" si="591"/>
        <v>0</v>
      </c>
      <c r="P271" s="1781">
        <f t="shared" ref="P271:V271" si="610">+P272+P276+P280</f>
        <v>0</v>
      </c>
      <c r="Q271" s="1765" t="e">
        <f t="shared" ref="Q271:Q272" si="611">+P271/L271</f>
        <v>#DIV/0!</v>
      </c>
      <c r="R271" s="1781">
        <f t="shared" si="610"/>
        <v>0</v>
      </c>
      <c r="S271" s="1765" t="e">
        <f t="shared" ref="S271:S272" si="612">+R271/L271</f>
        <v>#DIV/0!</v>
      </c>
      <c r="T271" s="1781">
        <f t="shared" si="610"/>
        <v>0</v>
      </c>
      <c r="U271" s="1765" t="e">
        <f t="shared" ref="U271:U272" si="613">+T271/L271</f>
        <v>#DIV/0!</v>
      </c>
      <c r="V271" s="1781">
        <f t="shared" si="610"/>
        <v>0</v>
      </c>
      <c r="W271" s="1765" t="e">
        <f t="shared" ref="W271:W272" si="614">+V271/L271</f>
        <v>#DIV/0!</v>
      </c>
      <c r="X271" s="1781">
        <f t="shared" ref="X271:Z271" si="615">+X272+X276+X280</f>
        <v>0</v>
      </c>
      <c r="Y271" s="1781">
        <f t="shared" si="615"/>
        <v>0</v>
      </c>
      <c r="Z271" s="1781">
        <f t="shared" si="615"/>
        <v>0</v>
      </c>
      <c r="AA271" s="1781">
        <f t="shared" si="596"/>
        <v>0</v>
      </c>
      <c r="AB271" s="1875" t="e">
        <f t="shared" si="597"/>
        <v>#DIV/0!</v>
      </c>
    </row>
    <row r="272" spans="1:28" s="1791" customFormat="1" ht="22.5" hidden="1" customHeight="1" thickTop="1" thickBot="1">
      <c r="A272" s="1785">
        <v>1</v>
      </c>
      <c r="B272" s="1785">
        <v>1</v>
      </c>
      <c r="C272" s="1786" t="s">
        <v>209</v>
      </c>
      <c r="D272" s="1786" t="s">
        <v>129</v>
      </c>
      <c r="E272" s="1786" t="s">
        <v>134</v>
      </c>
      <c r="F272" s="1786" t="s">
        <v>1703</v>
      </c>
      <c r="G272" s="1786" t="s">
        <v>129</v>
      </c>
      <c r="H272" s="1786"/>
      <c r="I272" s="1786"/>
      <c r="J272" s="1786"/>
      <c r="K272" s="1788" t="s">
        <v>1823</v>
      </c>
      <c r="L272" s="1789">
        <f>SUM(L273:L275)</f>
        <v>0</v>
      </c>
      <c r="M272" s="1789">
        <f t="shared" ref="M272:N272" si="616">SUM(M273:M275)</f>
        <v>0</v>
      </c>
      <c r="N272" s="1789">
        <f t="shared" si="616"/>
        <v>0</v>
      </c>
      <c r="O272" s="1789">
        <f t="shared" si="591"/>
        <v>0</v>
      </c>
      <c r="P272" s="1800">
        <f t="shared" ref="P272:V272" si="617">SUM(P273:P275)</f>
        <v>0</v>
      </c>
      <c r="Q272" s="1790" t="e">
        <f t="shared" si="611"/>
        <v>#DIV/0!</v>
      </c>
      <c r="R272" s="1800">
        <f t="shared" si="617"/>
        <v>0</v>
      </c>
      <c r="S272" s="1790" t="e">
        <f t="shared" si="612"/>
        <v>#DIV/0!</v>
      </c>
      <c r="T272" s="1800">
        <f t="shared" si="617"/>
        <v>0</v>
      </c>
      <c r="U272" s="1790" t="e">
        <f t="shared" si="613"/>
        <v>#DIV/0!</v>
      </c>
      <c r="V272" s="1800">
        <f t="shared" si="617"/>
        <v>0</v>
      </c>
      <c r="W272" s="1790" t="e">
        <f t="shared" si="614"/>
        <v>#DIV/0!</v>
      </c>
      <c r="X272" s="1800">
        <f t="shared" ref="X272:Z272" si="618">SUM(X273:X275)</f>
        <v>0</v>
      </c>
      <c r="Y272" s="1800">
        <f t="shared" si="618"/>
        <v>0</v>
      </c>
      <c r="Z272" s="1800">
        <f t="shared" si="618"/>
        <v>0</v>
      </c>
      <c r="AA272" s="1800">
        <f t="shared" si="596"/>
        <v>0</v>
      </c>
      <c r="AB272" s="1878" t="e">
        <f t="shared" si="597"/>
        <v>#DIV/0!</v>
      </c>
    </row>
    <row r="273" spans="1:28" ht="22.5" hidden="1" customHeight="1" thickTop="1" thickBot="1">
      <c r="A273" s="1772">
        <v>1</v>
      </c>
      <c r="B273" s="1772">
        <v>1</v>
      </c>
      <c r="C273" s="1773" t="s">
        <v>209</v>
      </c>
      <c r="D273" s="1773" t="s">
        <v>129</v>
      </c>
      <c r="E273" s="1773" t="s">
        <v>134</v>
      </c>
      <c r="F273" s="1773" t="s">
        <v>1703</v>
      </c>
      <c r="G273" s="1773" t="s">
        <v>129</v>
      </c>
      <c r="H273" s="1773" t="s">
        <v>127</v>
      </c>
      <c r="I273" s="1773"/>
      <c r="J273" s="1773"/>
      <c r="K273" s="1776" t="s">
        <v>1824</v>
      </c>
      <c r="L273" s="1774"/>
      <c r="M273" s="1774"/>
      <c r="N273" s="1774"/>
      <c r="O273" s="1774">
        <f t="shared" si="591"/>
        <v>0</v>
      </c>
      <c r="P273" s="1777">
        <f t="shared" ref="P273:P275" si="619">+L273*Q273</f>
        <v>0</v>
      </c>
      <c r="Q273" s="1775"/>
      <c r="R273" s="1777">
        <f t="shared" ref="R273:R275" si="620">+L273*S273</f>
        <v>0</v>
      </c>
      <c r="S273" s="1775"/>
      <c r="T273" s="1777">
        <f t="shared" ref="T273:T275" si="621">+L273*U273</f>
        <v>0</v>
      </c>
      <c r="U273" s="1775"/>
      <c r="V273" s="1777">
        <f t="shared" ref="V273:V275" si="622">+L273*W273</f>
        <v>0</v>
      </c>
      <c r="W273" s="1775"/>
      <c r="X273" s="1777"/>
      <c r="Y273" s="1777"/>
      <c r="Z273" s="1777"/>
      <c r="AA273" s="1777">
        <f t="shared" si="596"/>
        <v>0</v>
      </c>
      <c r="AB273" s="1877" t="e">
        <f t="shared" si="597"/>
        <v>#DIV/0!</v>
      </c>
    </row>
    <row r="274" spans="1:28" ht="22.5" hidden="1" customHeight="1" thickTop="1" thickBot="1">
      <c r="A274" s="1772">
        <v>1</v>
      </c>
      <c r="B274" s="1772">
        <v>1</v>
      </c>
      <c r="C274" s="1773" t="s">
        <v>209</v>
      </c>
      <c r="D274" s="1773" t="s">
        <v>129</v>
      </c>
      <c r="E274" s="1773" t="s">
        <v>134</v>
      </c>
      <c r="F274" s="1773" t="s">
        <v>1703</v>
      </c>
      <c r="G274" s="1773" t="s">
        <v>129</v>
      </c>
      <c r="H274" s="1773" t="s">
        <v>209</v>
      </c>
      <c r="I274" s="1773"/>
      <c r="J274" s="1773"/>
      <c r="K274" s="1776" t="s">
        <v>1825</v>
      </c>
      <c r="L274" s="1774"/>
      <c r="M274" s="1774"/>
      <c r="N274" s="1774"/>
      <c r="O274" s="1774">
        <f t="shared" si="591"/>
        <v>0</v>
      </c>
      <c r="P274" s="1777">
        <f t="shared" si="619"/>
        <v>0</v>
      </c>
      <c r="Q274" s="1775"/>
      <c r="R274" s="1777">
        <f t="shared" si="620"/>
        <v>0</v>
      </c>
      <c r="S274" s="1775"/>
      <c r="T274" s="1777">
        <f t="shared" si="621"/>
        <v>0</v>
      </c>
      <c r="U274" s="1775"/>
      <c r="V274" s="1777">
        <f t="shared" si="622"/>
        <v>0</v>
      </c>
      <c r="W274" s="1775"/>
      <c r="X274" s="1777"/>
      <c r="Y274" s="1777"/>
      <c r="Z274" s="1777"/>
      <c r="AA274" s="1777">
        <f t="shared" si="596"/>
        <v>0</v>
      </c>
      <c r="AB274" s="1877" t="e">
        <f t="shared" si="597"/>
        <v>#DIV/0!</v>
      </c>
    </row>
    <row r="275" spans="1:28" ht="22.5" hidden="1" customHeight="1" thickTop="1" thickBot="1">
      <c r="A275" s="1772">
        <v>1</v>
      </c>
      <c r="B275" s="1772">
        <v>1</v>
      </c>
      <c r="C275" s="1773" t="s">
        <v>209</v>
      </c>
      <c r="D275" s="1773" t="s">
        <v>129</v>
      </c>
      <c r="E275" s="1773" t="s">
        <v>134</v>
      </c>
      <c r="F275" s="1773" t="s">
        <v>1703</v>
      </c>
      <c r="G275" s="1773" t="s">
        <v>129</v>
      </c>
      <c r="H275" s="1773" t="s">
        <v>1622</v>
      </c>
      <c r="I275" s="1773"/>
      <c r="J275" s="1773"/>
      <c r="K275" s="1776" t="s">
        <v>1826</v>
      </c>
      <c r="L275" s="1774"/>
      <c r="M275" s="1774"/>
      <c r="N275" s="1774"/>
      <c r="O275" s="1774">
        <f t="shared" si="591"/>
        <v>0</v>
      </c>
      <c r="P275" s="1777">
        <f t="shared" si="619"/>
        <v>0</v>
      </c>
      <c r="Q275" s="1775"/>
      <c r="R275" s="1777">
        <f t="shared" si="620"/>
        <v>0</v>
      </c>
      <c r="S275" s="1775"/>
      <c r="T275" s="1777">
        <f t="shared" si="621"/>
        <v>0</v>
      </c>
      <c r="U275" s="1775"/>
      <c r="V275" s="1777">
        <f t="shared" si="622"/>
        <v>0</v>
      </c>
      <c r="W275" s="1775"/>
      <c r="X275" s="1777"/>
      <c r="Y275" s="1777"/>
      <c r="Z275" s="1777"/>
      <c r="AA275" s="1777">
        <f t="shared" si="596"/>
        <v>0</v>
      </c>
      <c r="AB275" s="1877" t="e">
        <f t="shared" si="597"/>
        <v>#DIV/0!</v>
      </c>
    </row>
    <row r="276" spans="1:28" s="1791" customFormat="1" ht="22.5" hidden="1" customHeight="1" thickTop="1" thickBot="1">
      <c r="A276" s="1785">
        <v>1</v>
      </c>
      <c r="B276" s="1785">
        <v>1</v>
      </c>
      <c r="C276" s="1786" t="s">
        <v>209</v>
      </c>
      <c r="D276" s="1786" t="s">
        <v>129</v>
      </c>
      <c r="E276" s="1786" t="s">
        <v>134</v>
      </c>
      <c r="F276" s="1786" t="s">
        <v>1703</v>
      </c>
      <c r="G276" s="1786" t="s">
        <v>134</v>
      </c>
      <c r="H276" s="1786"/>
      <c r="I276" s="1786"/>
      <c r="J276" s="1786"/>
      <c r="K276" s="1788" t="s">
        <v>1827</v>
      </c>
      <c r="L276" s="1789">
        <f>SUM(L277:L279)</f>
        <v>0</v>
      </c>
      <c r="M276" s="1789"/>
      <c r="N276" s="1789"/>
      <c r="O276" s="1789">
        <f t="shared" si="591"/>
        <v>0</v>
      </c>
      <c r="P276" s="1800">
        <f t="shared" ref="P276:V276" si="623">SUM(P277:P279)</f>
        <v>0</v>
      </c>
      <c r="Q276" s="1790" t="e">
        <f t="shared" ref="Q276" si="624">+P276/L276</f>
        <v>#DIV/0!</v>
      </c>
      <c r="R276" s="1800">
        <f t="shared" si="623"/>
        <v>0</v>
      </c>
      <c r="S276" s="1790" t="e">
        <f t="shared" ref="S276" si="625">+R276/L276</f>
        <v>#DIV/0!</v>
      </c>
      <c r="T276" s="1800">
        <f t="shared" si="623"/>
        <v>0</v>
      </c>
      <c r="U276" s="1790" t="e">
        <f t="shared" ref="U276" si="626">+T276/L276</f>
        <v>#DIV/0!</v>
      </c>
      <c r="V276" s="1800">
        <f t="shared" si="623"/>
        <v>0</v>
      </c>
      <c r="W276" s="1790" t="e">
        <f t="shared" ref="W276" si="627">+V276/L276</f>
        <v>#DIV/0!</v>
      </c>
      <c r="X276" s="1800">
        <f t="shared" ref="X276:Z276" si="628">SUM(X277:X279)</f>
        <v>0</v>
      </c>
      <c r="Y276" s="1800">
        <f t="shared" si="628"/>
        <v>0</v>
      </c>
      <c r="Z276" s="1800">
        <f t="shared" si="628"/>
        <v>0</v>
      </c>
      <c r="AA276" s="1800">
        <f t="shared" si="596"/>
        <v>0</v>
      </c>
      <c r="AB276" s="1878" t="e">
        <f t="shared" si="597"/>
        <v>#DIV/0!</v>
      </c>
    </row>
    <row r="277" spans="1:28" ht="22.5" hidden="1" customHeight="1" thickTop="1" thickBot="1">
      <c r="A277" s="1772">
        <v>1</v>
      </c>
      <c r="B277" s="1772">
        <v>1</v>
      </c>
      <c r="C277" s="1773" t="s">
        <v>209</v>
      </c>
      <c r="D277" s="1773" t="s">
        <v>129</v>
      </c>
      <c r="E277" s="1773" t="s">
        <v>134</v>
      </c>
      <c r="F277" s="1773" t="s">
        <v>1703</v>
      </c>
      <c r="G277" s="1773" t="s">
        <v>134</v>
      </c>
      <c r="H277" s="1773" t="s">
        <v>127</v>
      </c>
      <c r="I277" s="1773"/>
      <c r="J277" s="1773"/>
      <c r="K277" s="1776" t="s">
        <v>1828</v>
      </c>
      <c r="L277" s="1774"/>
      <c r="M277" s="1774"/>
      <c r="N277" s="1774"/>
      <c r="O277" s="1774">
        <f t="shared" si="591"/>
        <v>0</v>
      </c>
      <c r="P277" s="1777">
        <f t="shared" ref="P277:P279" si="629">+L277*Q277</f>
        <v>0</v>
      </c>
      <c r="Q277" s="1775"/>
      <c r="R277" s="1777">
        <f t="shared" ref="R277:R279" si="630">+L277*S277</f>
        <v>0</v>
      </c>
      <c r="S277" s="1775"/>
      <c r="T277" s="1777">
        <f t="shared" ref="T277:T279" si="631">+L277*U277</f>
        <v>0</v>
      </c>
      <c r="U277" s="1775"/>
      <c r="V277" s="1777">
        <f t="shared" ref="V277:V279" si="632">+L277*W277</f>
        <v>0</v>
      </c>
      <c r="W277" s="1775"/>
      <c r="X277" s="1777"/>
      <c r="Y277" s="1777"/>
      <c r="Z277" s="1777"/>
      <c r="AA277" s="1777">
        <f t="shared" si="596"/>
        <v>0</v>
      </c>
      <c r="AB277" s="1877" t="e">
        <f t="shared" si="597"/>
        <v>#DIV/0!</v>
      </c>
    </row>
    <row r="278" spans="1:28" ht="22.5" hidden="1" customHeight="1" thickTop="1" thickBot="1">
      <c r="A278" s="1772">
        <v>1</v>
      </c>
      <c r="B278" s="1772">
        <v>1</v>
      </c>
      <c r="C278" s="1773" t="s">
        <v>209</v>
      </c>
      <c r="D278" s="1773" t="s">
        <v>129</v>
      </c>
      <c r="E278" s="1773" t="s">
        <v>134</v>
      </c>
      <c r="F278" s="1773" t="s">
        <v>1703</v>
      </c>
      <c r="G278" s="1773" t="s">
        <v>134</v>
      </c>
      <c r="H278" s="1773" t="s">
        <v>209</v>
      </c>
      <c r="I278" s="1773"/>
      <c r="J278" s="1773"/>
      <c r="K278" s="1776" t="s">
        <v>1829</v>
      </c>
      <c r="L278" s="1774"/>
      <c r="M278" s="1774">
        <f t="shared" ref="M278:N278" si="633">+M279+M283</f>
        <v>0</v>
      </c>
      <c r="N278" s="1774">
        <f t="shared" si="633"/>
        <v>0</v>
      </c>
      <c r="O278" s="1774">
        <f t="shared" si="591"/>
        <v>0</v>
      </c>
      <c r="P278" s="1777">
        <f t="shared" si="629"/>
        <v>0</v>
      </c>
      <c r="Q278" s="1775"/>
      <c r="R278" s="1777">
        <f t="shared" si="630"/>
        <v>0</v>
      </c>
      <c r="S278" s="1775"/>
      <c r="T278" s="1777">
        <f t="shared" si="631"/>
        <v>0</v>
      </c>
      <c r="U278" s="1775"/>
      <c r="V278" s="1777">
        <f t="shared" si="632"/>
        <v>0</v>
      </c>
      <c r="W278" s="1775"/>
      <c r="X278" s="1777"/>
      <c r="Y278" s="1777"/>
      <c r="Z278" s="1777"/>
      <c r="AA278" s="1777">
        <f t="shared" si="596"/>
        <v>0</v>
      </c>
      <c r="AB278" s="1877" t="e">
        <f t="shared" si="597"/>
        <v>#DIV/0!</v>
      </c>
    </row>
    <row r="279" spans="1:28" ht="22.5" hidden="1" customHeight="1" thickTop="1" thickBot="1">
      <c r="A279" s="1772">
        <v>1</v>
      </c>
      <c r="B279" s="1772">
        <v>1</v>
      </c>
      <c r="C279" s="1773" t="s">
        <v>209</v>
      </c>
      <c r="D279" s="1773" t="s">
        <v>129</v>
      </c>
      <c r="E279" s="1773" t="s">
        <v>134</v>
      </c>
      <c r="F279" s="1773" t="s">
        <v>1703</v>
      </c>
      <c r="G279" s="1773" t="s">
        <v>134</v>
      </c>
      <c r="H279" s="1773" t="s">
        <v>1622</v>
      </c>
      <c r="I279" s="1773"/>
      <c r="J279" s="1773"/>
      <c r="K279" s="1776" t="s">
        <v>1830</v>
      </c>
      <c r="L279" s="1774"/>
      <c r="M279" s="1774">
        <f t="shared" ref="M279:N280" si="634">SUM(M280:M282)</f>
        <v>0</v>
      </c>
      <c r="N279" s="1774">
        <f t="shared" si="634"/>
        <v>0</v>
      </c>
      <c r="O279" s="1774">
        <f t="shared" si="591"/>
        <v>0</v>
      </c>
      <c r="P279" s="1777">
        <f t="shared" si="629"/>
        <v>0</v>
      </c>
      <c r="Q279" s="1775"/>
      <c r="R279" s="1777">
        <f t="shared" si="630"/>
        <v>0</v>
      </c>
      <c r="S279" s="1775"/>
      <c r="T279" s="1777">
        <f t="shared" si="631"/>
        <v>0</v>
      </c>
      <c r="U279" s="1775"/>
      <c r="V279" s="1777">
        <f t="shared" si="632"/>
        <v>0</v>
      </c>
      <c r="W279" s="1775"/>
      <c r="X279" s="1777"/>
      <c r="Y279" s="1777"/>
      <c r="Z279" s="1777"/>
      <c r="AA279" s="1777">
        <f t="shared" si="596"/>
        <v>0</v>
      </c>
      <c r="AB279" s="1877" t="e">
        <f t="shared" si="597"/>
        <v>#DIV/0!</v>
      </c>
    </row>
    <row r="280" spans="1:28" s="1791" customFormat="1" ht="22.5" hidden="1" customHeight="1" thickTop="1" thickBot="1">
      <c r="A280" s="1785">
        <v>1</v>
      </c>
      <c r="B280" s="1785">
        <v>1</v>
      </c>
      <c r="C280" s="1786" t="s">
        <v>209</v>
      </c>
      <c r="D280" s="1786" t="s">
        <v>129</v>
      </c>
      <c r="E280" s="1786" t="s">
        <v>134</v>
      </c>
      <c r="F280" s="1786" t="s">
        <v>1703</v>
      </c>
      <c r="G280" s="1786" t="s">
        <v>139</v>
      </c>
      <c r="H280" s="1786"/>
      <c r="I280" s="1786"/>
      <c r="J280" s="1786"/>
      <c r="K280" s="1788" t="s">
        <v>1831</v>
      </c>
      <c r="L280" s="1789">
        <f>SUM(L281:L283)</f>
        <v>0</v>
      </c>
      <c r="M280" s="1789">
        <f t="shared" si="634"/>
        <v>0</v>
      </c>
      <c r="N280" s="1789">
        <f t="shared" si="634"/>
        <v>0</v>
      </c>
      <c r="O280" s="1789">
        <f t="shared" si="591"/>
        <v>0</v>
      </c>
      <c r="P280" s="1800">
        <f t="shared" ref="P280:V280" si="635">SUM(P281:P283)</f>
        <v>0</v>
      </c>
      <c r="Q280" s="1790" t="e">
        <f t="shared" ref="Q280" si="636">+P280/L280</f>
        <v>#DIV/0!</v>
      </c>
      <c r="R280" s="1800">
        <f t="shared" si="635"/>
        <v>0</v>
      </c>
      <c r="S280" s="1790" t="e">
        <f t="shared" ref="S280" si="637">+R280/L280</f>
        <v>#DIV/0!</v>
      </c>
      <c r="T280" s="1800">
        <f t="shared" si="635"/>
        <v>0</v>
      </c>
      <c r="U280" s="1790" t="e">
        <f t="shared" ref="U280" si="638">+T280/L280</f>
        <v>#DIV/0!</v>
      </c>
      <c r="V280" s="1800">
        <f t="shared" si="635"/>
        <v>0</v>
      </c>
      <c r="W280" s="1790" t="e">
        <f t="shared" ref="W280" si="639">+V280/L280</f>
        <v>#DIV/0!</v>
      </c>
      <c r="X280" s="1800">
        <f t="shared" ref="X280:Z280" si="640">SUM(X281:X283)</f>
        <v>0</v>
      </c>
      <c r="Y280" s="1800">
        <f t="shared" si="640"/>
        <v>0</v>
      </c>
      <c r="Z280" s="1800">
        <f t="shared" si="640"/>
        <v>0</v>
      </c>
      <c r="AA280" s="1800">
        <f t="shared" si="596"/>
        <v>0</v>
      </c>
      <c r="AB280" s="1878" t="e">
        <f t="shared" si="597"/>
        <v>#DIV/0!</v>
      </c>
    </row>
    <row r="281" spans="1:28" ht="22.5" hidden="1" customHeight="1" thickTop="1" thickBot="1">
      <c r="A281" s="1772">
        <v>1</v>
      </c>
      <c r="B281" s="1772">
        <v>1</v>
      </c>
      <c r="C281" s="1773" t="s">
        <v>209</v>
      </c>
      <c r="D281" s="1773" t="s">
        <v>129</v>
      </c>
      <c r="E281" s="1773" t="s">
        <v>134</v>
      </c>
      <c r="F281" s="1773" t="s">
        <v>1703</v>
      </c>
      <c r="G281" s="1773" t="s">
        <v>139</v>
      </c>
      <c r="H281" s="1773" t="s">
        <v>127</v>
      </c>
      <c r="I281" s="1773"/>
      <c r="J281" s="1773"/>
      <c r="K281" s="1776" t="s">
        <v>1832</v>
      </c>
      <c r="L281" s="1774"/>
      <c r="M281" s="1774"/>
      <c r="N281" s="1774"/>
      <c r="O281" s="1774">
        <f t="shared" si="591"/>
        <v>0</v>
      </c>
      <c r="P281" s="1777">
        <f t="shared" ref="P281:P283" si="641">+L281*Q281</f>
        <v>0</v>
      </c>
      <c r="Q281" s="1775"/>
      <c r="R281" s="1777">
        <f t="shared" ref="R281:R283" si="642">+L281*S281</f>
        <v>0</v>
      </c>
      <c r="S281" s="1775"/>
      <c r="T281" s="1777">
        <f t="shared" ref="T281:T283" si="643">+L281*U281</f>
        <v>0</v>
      </c>
      <c r="U281" s="1775"/>
      <c r="V281" s="1777">
        <f t="shared" ref="V281:V283" si="644">+L281*W281</f>
        <v>0</v>
      </c>
      <c r="W281" s="1775"/>
      <c r="X281" s="1777"/>
      <c r="Y281" s="1777"/>
      <c r="Z281" s="1777"/>
      <c r="AA281" s="1777">
        <f t="shared" si="596"/>
        <v>0</v>
      </c>
      <c r="AB281" s="1877" t="e">
        <f t="shared" si="597"/>
        <v>#DIV/0!</v>
      </c>
    </row>
    <row r="282" spans="1:28" ht="22.5" hidden="1" customHeight="1" thickTop="1" thickBot="1">
      <c r="A282" s="1772">
        <v>1</v>
      </c>
      <c r="B282" s="1772">
        <v>1</v>
      </c>
      <c r="C282" s="1773" t="s">
        <v>209</v>
      </c>
      <c r="D282" s="1773" t="s">
        <v>129</v>
      </c>
      <c r="E282" s="1773" t="s">
        <v>134</v>
      </c>
      <c r="F282" s="1773" t="s">
        <v>1703</v>
      </c>
      <c r="G282" s="1773" t="s">
        <v>139</v>
      </c>
      <c r="H282" s="1773" t="s">
        <v>209</v>
      </c>
      <c r="I282" s="1773"/>
      <c r="J282" s="1773"/>
      <c r="K282" s="1776" t="s">
        <v>1833</v>
      </c>
      <c r="L282" s="1774"/>
      <c r="M282" s="1774"/>
      <c r="N282" s="1774"/>
      <c r="O282" s="1774">
        <f t="shared" si="591"/>
        <v>0</v>
      </c>
      <c r="P282" s="1777">
        <f t="shared" si="641"/>
        <v>0</v>
      </c>
      <c r="Q282" s="1775"/>
      <c r="R282" s="1777">
        <f t="shared" si="642"/>
        <v>0</v>
      </c>
      <c r="S282" s="1775"/>
      <c r="T282" s="1777">
        <f t="shared" si="643"/>
        <v>0</v>
      </c>
      <c r="U282" s="1775"/>
      <c r="V282" s="1777">
        <f t="shared" si="644"/>
        <v>0</v>
      </c>
      <c r="W282" s="1775"/>
      <c r="X282" s="1777"/>
      <c r="Y282" s="1777"/>
      <c r="Z282" s="1777"/>
      <c r="AA282" s="1777">
        <f t="shared" si="596"/>
        <v>0</v>
      </c>
      <c r="AB282" s="1877" t="e">
        <f t="shared" si="597"/>
        <v>#DIV/0!</v>
      </c>
    </row>
    <row r="283" spans="1:28" ht="22.5" hidden="1" customHeight="1" thickTop="1" thickBot="1">
      <c r="A283" s="1772">
        <v>1</v>
      </c>
      <c r="B283" s="1772">
        <v>1</v>
      </c>
      <c r="C283" s="1773" t="s">
        <v>209</v>
      </c>
      <c r="D283" s="1773" t="s">
        <v>129</v>
      </c>
      <c r="E283" s="1773" t="s">
        <v>134</v>
      </c>
      <c r="F283" s="1773" t="s">
        <v>1703</v>
      </c>
      <c r="G283" s="1773" t="s">
        <v>139</v>
      </c>
      <c r="H283" s="1773" t="s">
        <v>1622</v>
      </c>
      <c r="I283" s="1773"/>
      <c r="J283" s="1773"/>
      <c r="K283" s="1776" t="s">
        <v>1834</v>
      </c>
      <c r="L283" s="1774"/>
      <c r="M283" s="1774"/>
      <c r="N283" s="1774"/>
      <c r="O283" s="1774">
        <f t="shared" si="591"/>
        <v>0</v>
      </c>
      <c r="P283" s="1777">
        <f t="shared" si="641"/>
        <v>0</v>
      </c>
      <c r="Q283" s="1775"/>
      <c r="R283" s="1777">
        <f t="shared" si="642"/>
        <v>0</v>
      </c>
      <c r="S283" s="1775"/>
      <c r="T283" s="1777">
        <f t="shared" si="643"/>
        <v>0</v>
      </c>
      <c r="U283" s="1775"/>
      <c r="V283" s="1777">
        <f t="shared" si="644"/>
        <v>0</v>
      </c>
      <c r="W283" s="1775"/>
      <c r="X283" s="1777"/>
      <c r="Y283" s="1777"/>
      <c r="Z283" s="1777"/>
      <c r="AA283" s="1777">
        <f t="shared" si="596"/>
        <v>0</v>
      </c>
      <c r="AB283" s="1877" t="e">
        <f t="shared" si="597"/>
        <v>#DIV/0!</v>
      </c>
    </row>
    <row r="284" spans="1:28" s="1766" customFormat="1" ht="22.5" hidden="1" customHeight="1" thickTop="1" thickBot="1">
      <c r="A284" s="1761">
        <v>1</v>
      </c>
      <c r="B284" s="1761">
        <v>1</v>
      </c>
      <c r="C284" s="1762" t="s">
        <v>209</v>
      </c>
      <c r="D284" s="1762" t="s">
        <v>129</v>
      </c>
      <c r="E284" s="1762" t="s">
        <v>134</v>
      </c>
      <c r="F284" s="1762" t="s">
        <v>1751</v>
      </c>
      <c r="G284" s="1762"/>
      <c r="H284" s="1762"/>
      <c r="I284" s="1762"/>
      <c r="J284" s="1762"/>
      <c r="K284" s="1763" t="s">
        <v>177</v>
      </c>
      <c r="L284" s="1764">
        <f>+L285+L289</f>
        <v>0</v>
      </c>
      <c r="M284" s="1764">
        <f t="shared" ref="M284:N284" si="645">+M285+M289</f>
        <v>0</v>
      </c>
      <c r="N284" s="1764">
        <f t="shared" si="645"/>
        <v>0</v>
      </c>
      <c r="O284" s="1764">
        <f t="shared" si="591"/>
        <v>0</v>
      </c>
      <c r="P284" s="1781">
        <f t="shared" ref="P284:V284" si="646">+P285+P289</f>
        <v>0</v>
      </c>
      <c r="Q284" s="1765" t="e">
        <f t="shared" ref="Q284:Q285" si="647">+P284/L284</f>
        <v>#DIV/0!</v>
      </c>
      <c r="R284" s="1781">
        <f t="shared" si="646"/>
        <v>0</v>
      </c>
      <c r="S284" s="1765" t="e">
        <f t="shared" ref="S284:S285" si="648">+R284/L284</f>
        <v>#DIV/0!</v>
      </c>
      <c r="T284" s="1781">
        <f t="shared" si="646"/>
        <v>0</v>
      </c>
      <c r="U284" s="1765" t="e">
        <f t="shared" ref="U284:U285" si="649">+T284/L284</f>
        <v>#DIV/0!</v>
      </c>
      <c r="V284" s="1781">
        <f t="shared" si="646"/>
        <v>0</v>
      </c>
      <c r="W284" s="1765" t="e">
        <f t="shared" ref="W284:W285" si="650">+V284/L284</f>
        <v>#DIV/0!</v>
      </c>
      <c r="X284" s="1781">
        <f t="shared" ref="X284:Z284" si="651">+X285+X289</f>
        <v>0</v>
      </c>
      <c r="Y284" s="1781">
        <f t="shared" si="651"/>
        <v>0</v>
      </c>
      <c r="Z284" s="1781">
        <f t="shared" si="651"/>
        <v>0</v>
      </c>
      <c r="AA284" s="1781">
        <f t="shared" si="596"/>
        <v>0</v>
      </c>
      <c r="AB284" s="1875" t="e">
        <f t="shared" si="597"/>
        <v>#DIV/0!</v>
      </c>
    </row>
    <row r="285" spans="1:28" s="1791" customFormat="1" ht="22.5" hidden="1" customHeight="1" thickTop="1" thickBot="1">
      <c r="A285" s="1785">
        <v>1</v>
      </c>
      <c r="B285" s="1785">
        <v>1</v>
      </c>
      <c r="C285" s="1786" t="s">
        <v>209</v>
      </c>
      <c r="D285" s="1786" t="s">
        <v>129</v>
      </c>
      <c r="E285" s="1786" t="s">
        <v>134</v>
      </c>
      <c r="F285" s="1786" t="s">
        <v>1751</v>
      </c>
      <c r="G285" s="1786" t="s">
        <v>129</v>
      </c>
      <c r="H285" s="1786"/>
      <c r="I285" s="1786"/>
      <c r="J285" s="1786"/>
      <c r="K285" s="1788" t="s">
        <v>178</v>
      </c>
      <c r="L285" s="1789">
        <f>SUM(L286:L288)</f>
        <v>0</v>
      </c>
      <c r="M285" s="1789">
        <f t="shared" ref="M285:N285" si="652">SUM(M286:M288)</f>
        <v>0</v>
      </c>
      <c r="N285" s="1789">
        <f t="shared" si="652"/>
        <v>0</v>
      </c>
      <c r="O285" s="1789">
        <f t="shared" si="591"/>
        <v>0</v>
      </c>
      <c r="P285" s="1800">
        <f t="shared" ref="P285:V285" si="653">SUM(P286:P288)</f>
        <v>0</v>
      </c>
      <c r="Q285" s="1790" t="e">
        <f t="shared" si="647"/>
        <v>#DIV/0!</v>
      </c>
      <c r="R285" s="1800">
        <f t="shared" si="653"/>
        <v>0</v>
      </c>
      <c r="S285" s="1790" t="e">
        <f t="shared" si="648"/>
        <v>#DIV/0!</v>
      </c>
      <c r="T285" s="1800">
        <f t="shared" si="653"/>
        <v>0</v>
      </c>
      <c r="U285" s="1790" t="e">
        <f t="shared" si="649"/>
        <v>#DIV/0!</v>
      </c>
      <c r="V285" s="1800">
        <f t="shared" si="653"/>
        <v>0</v>
      </c>
      <c r="W285" s="1790" t="e">
        <f t="shared" si="650"/>
        <v>#DIV/0!</v>
      </c>
      <c r="X285" s="1800">
        <f t="shared" ref="X285:Z285" si="654">SUM(X286:X288)</f>
        <v>0</v>
      </c>
      <c r="Y285" s="1800">
        <f t="shared" si="654"/>
        <v>0</v>
      </c>
      <c r="Z285" s="1800">
        <f t="shared" si="654"/>
        <v>0</v>
      </c>
      <c r="AA285" s="1800">
        <f t="shared" si="596"/>
        <v>0</v>
      </c>
      <c r="AB285" s="1878" t="e">
        <f t="shared" si="597"/>
        <v>#DIV/0!</v>
      </c>
    </row>
    <row r="286" spans="1:28" ht="22.5" hidden="1" customHeight="1" thickTop="1" thickBot="1">
      <c r="A286" s="1772">
        <v>1</v>
      </c>
      <c r="B286" s="1772">
        <v>1</v>
      </c>
      <c r="C286" s="1773" t="s">
        <v>209</v>
      </c>
      <c r="D286" s="1773" t="s">
        <v>129</v>
      </c>
      <c r="E286" s="1773" t="s">
        <v>134</v>
      </c>
      <c r="F286" s="1773" t="s">
        <v>1751</v>
      </c>
      <c r="G286" s="1773" t="s">
        <v>129</v>
      </c>
      <c r="H286" s="1773" t="s">
        <v>127</v>
      </c>
      <c r="I286" s="1773"/>
      <c r="J286" s="1773"/>
      <c r="K286" s="1776" t="s">
        <v>1835</v>
      </c>
      <c r="L286" s="1774"/>
      <c r="M286" s="1774"/>
      <c r="N286" s="1774"/>
      <c r="O286" s="1774">
        <f t="shared" si="591"/>
        <v>0</v>
      </c>
      <c r="P286" s="1777">
        <f t="shared" ref="P286:P288" si="655">+L286*Q286</f>
        <v>0</v>
      </c>
      <c r="Q286" s="1775"/>
      <c r="R286" s="1777">
        <f t="shared" ref="R286:R288" si="656">+L286*S286</f>
        <v>0</v>
      </c>
      <c r="S286" s="1775"/>
      <c r="T286" s="1777">
        <f t="shared" ref="T286:T288" si="657">+L286*U286</f>
        <v>0</v>
      </c>
      <c r="U286" s="1775"/>
      <c r="V286" s="1777">
        <f t="shared" ref="V286:V288" si="658">+L286*W286</f>
        <v>0</v>
      </c>
      <c r="W286" s="1775"/>
      <c r="X286" s="1777"/>
      <c r="Y286" s="1777"/>
      <c r="Z286" s="1777"/>
      <c r="AA286" s="1777">
        <f t="shared" si="596"/>
        <v>0</v>
      </c>
      <c r="AB286" s="1877" t="e">
        <f t="shared" si="597"/>
        <v>#DIV/0!</v>
      </c>
    </row>
    <row r="287" spans="1:28" ht="22.5" hidden="1" customHeight="1" thickTop="1" thickBot="1">
      <c r="A287" s="1772">
        <v>1</v>
      </c>
      <c r="B287" s="1772">
        <v>1</v>
      </c>
      <c r="C287" s="1773" t="s">
        <v>209</v>
      </c>
      <c r="D287" s="1773" t="s">
        <v>129</v>
      </c>
      <c r="E287" s="1773" t="s">
        <v>134</v>
      </c>
      <c r="F287" s="1773" t="s">
        <v>1751</v>
      </c>
      <c r="G287" s="1773" t="s">
        <v>129</v>
      </c>
      <c r="H287" s="1773" t="s">
        <v>209</v>
      </c>
      <c r="I287" s="1773"/>
      <c r="J287" s="1773"/>
      <c r="K287" s="1776" t="s">
        <v>1836</v>
      </c>
      <c r="L287" s="1774"/>
      <c r="M287" s="1774"/>
      <c r="N287" s="1774"/>
      <c r="O287" s="1774">
        <f t="shared" si="591"/>
        <v>0</v>
      </c>
      <c r="P287" s="1777">
        <f t="shared" si="655"/>
        <v>0</v>
      </c>
      <c r="Q287" s="1775"/>
      <c r="R287" s="1777">
        <f t="shared" si="656"/>
        <v>0</v>
      </c>
      <c r="S287" s="1775"/>
      <c r="T287" s="1777">
        <f t="shared" si="657"/>
        <v>0</v>
      </c>
      <c r="U287" s="1775"/>
      <c r="V287" s="1777">
        <f t="shared" si="658"/>
        <v>0</v>
      </c>
      <c r="W287" s="1775"/>
      <c r="X287" s="1777"/>
      <c r="Y287" s="1777"/>
      <c r="Z287" s="1777"/>
      <c r="AA287" s="1777">
        <f t="shared" si="596"/>
        <v>0</v>
      </c>
      <c r="AB287" s="1877" t="e">
        <f t="shared" si="597"/>
        <v>#DIV/0!</v>
      </c>
    </row>
    <row r="288" spans="1:28" ht="22.5" hidden="1" customHeight="1" thickTop="1" thickBot="1">
      <c r="A288" s="1772">
        <v>1</v>
      </c>
      <c r="B288" s="1772">
        <v>1</v>
      </c>
      <c r="C288" s="1773" t="s">
        <v>209</v>
      </c>
      <c r="D288" s="1773" t="s">
        <v>129</v>
      </c>
      <c r="E288" s="1773" t="s">
        <v>134</v>
      </c>
      <c r="F288" s="1773" t="s">
        <v>1751</v>
      </c>
      <c r="G288" s="1773" t="s">
        <v>129</v>
      </c>
      <c r="H288" s="1773" t="s">
        <v>1622</v>
      </c>
      <c r="I288" s="1773"/>
      <c r="J288" s="1773"/>
      <c r="K288" s="1776" t="s">
        <v>1837</v>
      </c>
      <c r="L288" s="1774"/>
      <c r="M288" s="1774"/>
      <c r="N288" s="1774"/>
      <c r="O288" s="1774">
        <f t="shared" si="591"/>
        <v>0</v>
      </c>
      <c r="P288" s="1777">
        <f t="shared" si="655"/>
        <v>0</v>
      </c>
      <c r="Q288" s="1775"/>
      <c r="R288" s="1777">
        <f t="shared" si="656"/>
        <v>0</v>
      </c>
      <c r="S288" s="1775"/>
      <c r="T288" s="1777">
        <f t="shared" si="657"/>
        <v>0</v>
      </c>
      <c r="U288" s="1775"/>
      <c r="V288" s="1777">
        <f t="shared" si="658"/>
        <v>0</v>
      </c>
      <c r="W288" s="1775"/>
      <c r="X288" s="1777"/>
      <c r="Y288" s="1777"/>
      <c r="Z288" s="1777"/>
      <c r="AA288" s="1777">
        <f t="shared" si="596"/>
        <v>0</v>
      </c>
      <c r="AB288" s="1877" t="e">
        <f t="shared" si="597"/>
        <v>#DIV/0!</v>
      </c>
    </row>
    <row r="289" spans="1:28" s="1791" customFormat="1" ht="22.5" hidden="1" customHeight="1" thickTop="1" thickBot="1">
      <c r="A289" s="1785">
        <v>1</v>
      </c>
      <c r="B289" s="1785">
        <v>1</v>
      </c>
      <c r="C289" s="1786" t="s">
        <v>209</v>
      </c>
      <c r="D289" s="1786" t="s">
        <v>129</v>
      </c>
      <c r="E289" s="1786" t="s">
        <v>134</v>
      </c>
      <c r="F289" s="1786" t="s">
        <v>1751</v>
      </c>
      <c r="G289" s="1786" t="s">
        <v>134</v>
      </c>
      <c r="H289" s="1786"/>
      <c r="I289" s="1786"/>
      <c r="J289" s="1786"/>
      <c r="K289" s="1788" t="s">
        <v>1838</v>
      </c>
      <c r="L289" s="1789">
        <f>SUM(L290:L292)</f>
        <v>0</v>
      </c>
      <c r="M289" s="1789">
        <f t="shared" ref="M289:N289" si="659">SUM(M290:M292)</f>
        <v>0</v>
      </c>
      <c r="N289" s="1789">
        <f t="shared" si="659"/>
        <v>0</v>
      </c>
      <c r="O289" s="1789">
        <f t="shared" si="591"/>
        <v>0</v>
      </c>
      <c r="P289" s="1800">
        <f t="shared" ref="P289:V289" si="660">SUM(P290:P292)</f>
        <v>0</v>
      </c>
      <c r="Q289" s="1790" t="e">
        <f t="shared" ref="Q289" si="661">+P289/L289</f>
        <v>#DIV/0!</v>
      </c>
      <c r="R289" s="1800">
        <f t="shared" si="660"/>
        <v>0</v>
      </c>
      <c r="S289" s="1790" t="e">
        <f t="shared" ref="S289" si="662">+R289/L289</f>
        <v>#DIV/0!</v>
      </c>
      <c r="T289" s="1800">
        <f t="shared" si="660"/>
        <v>0</v>
      </c>
      <c r="U289" s="1790" t="e">
        <f t="shared" ref="U289" si="663">+T289/Q289</f>
        <v>#DIV/0!</v>
      </c>
      <c r="V289" s="1800">
        <f t="shared" si="660"/>
        <v>0</v>
      </c>
      <c r="W289" s="1790" t="e">
        <f t="shared" ref="W289" si="664">+V289/L289</f>
        <v>#DIV/0!</v>
      </c>
      <c r="X289" s="1800">
        <f t="shared" ref="X289:Z289" si="665">SUM(X290:X292)</f>
        <v>0</v>
      </c>
      <c r="Y289" s="1800">
        <f t="shared" si="665"/>
        <v>0</v>
      </c>
      <c r="Z289" s="1800">
        <f t="shared" si="665"/>
        <v>0</v>
      </c>
      <c r="AA289" s="1800">
        <f t="shared" si="596"/>
        <v>0</v>
      </c>
      <c r="AB289" s="1878" t="e">
        <f t="shared" si="597"/>
        <v>#DIV/0!</v>
      </c>
    </row>
    <row r="290" spans="1:28" ht="22.5" hidden="1" customHeight="1" thickTop="1" thickBot="1">
      <c r="A290" s="1772">
        <v>1</v>
      </c>
      <c r="B290" s="1772">
        <v>1</v>
      </c>
      <c r="C290" s="1773" t="s">
        <v>209</v>
      </c>
      <c r="D290" s="1773" t="s">
        <v>129</v>
      </c>
      <c r="E290" s="1773" t="s">
        <v>134</v>
      </c>
      <c r="F290" s="1773" t="s">
        <v>1751</v>
      </c>
      <c r="G290" s="1773" t="s">
        <v>134</v>
      </c>
      <c r="H290" s="1773" t="s">
        <v>127</v>
      </c>
      <c r="I290" s="1773"/>
      <c r="J290" s="1773"/>
      <c r="K290" s="1776" t="s">
        <v>1839</v>
      </c>
      <c r="L290" s="1774"/>
      <c r="M290" s="1774"/>
      <c r="N290" s="1774"/>
      <c r="O290" s="1774">
        <f t="shared" si="591"/>
        <v>0</v>
      </c>
      <c r="P290" s="1777">
        <f t="shared" ref="P290:P292" si="666">+L290*Q290</f>
        <v>0</v>
      </c>
      <c r="Q290" s="1775"/>
      <c r="R290" s="1777">
        <f t="shared" ref="R290:R292" si="667">+L290*S290</f>
        <v>0</v>
      </c>
      <c r="S290" s="1775"/>
      <c r="T290" s="1777">
        <f t="shared" ref="T290:T292" si="668">+L290*U290</f>
        <v>0</v>
      </c>
      <c r="U290" s="1775"/>
      <c r="V290" s="1777">
        <f t="shared" ref="V290:V292" si="669">+L290*W290</f>
        <v>0</v>
      </c>
      <c r="W290" s="1775"/>
      <c r="X290" s="1777"/>
      <c r="Y290" s="1777"/>
      <c r="Z290" s="1777"/>
      <c r="AA290" s="1777">
        <f t="shared" si="596"/>
        <v>0</v>
      </c>
      <c r="AB290" s="1877" t="e">
        <f t="shared" si="597"/>
        <v>#DIV/0!</v>
      </c>
    </row>
    <row r="291" spans="1:28" ht="22.5" hidden="1" customHeight="1" thickTop="1" thickBot="1">
      <c r="A291" s="1772">
        <v>1</v>
      </c>
      <c r="B291" s="1772">
        <v>1</v>
      </c>
      <c r="C291" s="1773" t="s">
        <v>209</v>
      </c>
      <c r="D291" s="1773" t="s">
        <v>129</v>
      </c>
      <c r="E291" s="1773" t="s">
        <v>134</v>
      </c>
      <c r="F291" s="1773" t="s">
        <v>1751</v>
      </c>
      <c r="G291" s="1773" t="s">
        <v>134</v>
      </c>
      <c r="H291" s="1773" t="s">
        <v>209</v>
      </c>
      <c r="I291" s="1773"/>
      <c r="J291" s="1773"/>
      <c r="K291" s="1776" t="s">
        <v>1840</v>
      </c>
      <c r="L291" s="1774"/>
      <c r="M291" s="1774"/>
      <c r="N291" s="1774"/>
      <c r="O291" s="1774">
        <f t="shared" si="591"/>
        <v>0</v>
      </c>
      <c r="P291" s="1777">
        <f t="shared" si="666"/>
        <v>0</v>
      </c>
      <c r="Q291" s="1775"/>
      <c r="R291" s="1777">
        <f t="shared" si="667"/>
        <v>0</v>
      </c>
      <c r="S291" s="1775"/>
      <c r="T291" s="1777">
        <f t="shared" si="668"/>
        <v>0</v>
      </c>
      <c r="U291" s="1775"/>
      <c r="V291" s="1777">
        <f t="shared" si="669"/>
        <v>0</v>
      </c>
      <c r="W291" s="1775"/>
      <c r="X291" s="1777"/>
      <c r="Y291" s="1777"/>
      <c r="Z291" s="1777"/>
      <c r="AA291" s="1777">
        <f t="shared" si="596"/>
        <v>0</v>
      </c>
      <c r="AB291" s="1877" t="e">
        <f t="shared" si="597"/>
        <v>#DIV/0!</v>
      </c>
    </row>
    <row r="292" spans="1:28" ht="22.5" hidden="1" customHeight="1" thickTop="1" thickBot="1">
      <c r="A292" s="1772">
        <v>1</v>
      </c>
      <c r="B292" s="1772">
        <v>1</v>
      </c>
      <c r="C292" s="1773" t="s">
        <v>209</v>
      </c>
      <c r="D292" s="1773" t="s">
        <v>129</v>
      </c>
      <c r="E292" s="1773" t="s">
        <v>134</v>
      </c>
      <c r="F292" s="1773" t="s">
        <v>1751</v>
      </c>
      <c r="G292" s="1773" t="s">
        <v>134</v>
      </c>
      <c r="H292" s="1773" t="s">
        <v>1622</v>
      </c>
      <c r="I292" s="1773"/>
      <c r="J292" s="1773"/>
      <c r="K292" s="1776" t="s">
        <v>1841</v>
      </c>
      <c r="L292" s="1774"/>
      <c r="M292" s="1774"/>
      <c r="N292" s="1774"/>
      <c r="O292" s="1774">
        <f t="shared" si="591"/>
        <v>0</v>
      </c>
      <c r="P292" s="1777">
        <f t="shared" si="666"/>
        <v>0</v>
      </c>
      <c r="Q292" s="1775"/>
      <c r="R292" s="1777">
        <f t="shared" si="667"/>
        <v>0</v>
      </c>
      <c r="S292" s="1775"/>
      <c r="T292" s="1777">
        <f t="shared" si="668"/>
        <v>0</v>
      </c>
      <c r="U292" s="1775"/>
      <c r="V292" s="1777">
        <f t="shared" si="669"/>
        <v>0</v>
      </c>
      <c r="W292" s="1775"/>
      <c r="X292" s="1777"/>
      <c r="Y292" s="1777"/>
      <c r="Z292" s="1777"/>
      <c r="AA292" s="1777">
        <f t="shared" si="596"/>
        <v>0</v>
      </c>
      <c r="AB292" s="1877" t="e">
        <f t="shared" si="597"/>
        <v>#DIV/0!</v>
      </c>
    </row>
    <row r="293" spans="1:28" s="1754" customFormat="1" ht="22.5" hidden="1" customHeight="1" thickTop="1" thickBot="1">
      <c r="A293" s="1749">
        <v>1</v>
      </c>
      <c r="B293" s="1750" t="s">
        <v>127</v>
      </c>
      <c r="C293" s="1750" t="s">
        <v>209</v>
      </c>
      <c r="D293" s="1750" t="s">
        <v>139</v>
      </c>
      <c r="E293" s="1750"/>
      <c r="F293" s="1750"/>
      <c r="G293" s="1750"/>
      <c r="H293" s="1750"/>
      <c r="I293" s="1750"/>
      <c r="J293" s="1750"/>
      <c r="K293" s="1751" t="s">
        <v>1842</v>
      </c>
      <c r="L293" s="1752">
        <f>+L294+L298+L302+L306+L310</f>
        <v>0</v>
      </c>
      <c r="M293" s="1752">
        <f t="shared" ref="M293:N293" si="670">+M294+M298+M302+M306+M310</f>
        <v>0</v>
      </c>
      <c r="N293" s="1752">
        <f t="shared" si="670"/>
        <v>0</v>
      </c>
      <c r="O293" s="1752">
        <f t="shared" si="591"/>
        <v>0</v>
      </c>
      <c r="P293" s="1804">
        <f t="shared" ref="P293:V293" si="671">+P294+P298+P302+P306+P310</f>
        <v>0</v>
      </c>
      <c r="Q293" s="1753" t="e">
        <f t="shared" ref="Q293:Q295" si="672">+P293/L293</f>
        <v>#DIV/0!</v>
      </c>
      <c r="R293" s="1804">
        <f t="shared" si="671"/>
        <v>0</v>
      </c>
      <c r="S293" s="1753" t="e">
        <f t="shared" ref="S293:S295" si="673">+R293/L293</f>
        <v>#DIV/0!</v>
      </c>
      <c r="T293" s="1804">
        <f t="shared" si="671"/>
        <v>0</v>
      </c>
      <c r="U293" s="1753" t="e">
        <f t="shared" ref="U293:U295" si="674">+T293/Q293</f>
        <v>#DIV/0!</v>
      </c>
      <c r="V293" s="1804">
        <f t="shared" si="671"/>
        <v>0</v>
      </c>
      <c r="W293" s="1753" t="e">
        <f t="shared" ref="W293:W295" si="675">+V293/L293</f>
        <v>#DIV/0!</v>
      </c>
      <c r="X293" s="1804">
        <f t="shared" ref="X293:Z293" si="676">+X294+X298+X302+X306+X310</f>
        <v>0</v>
      </c>
      <c r="Y293" s="1804">
        <f t="shared" si="676"/>
        <v>0</v>
      </c>
      <c r="Z293" s="1804">
        <f t="shared" si="676"/>
        <v>0</v>
      </c>
      <c r="AA293" s="1804">
        <f t="shared" si="596"/>
        <v>0</v>
      </c>
      <c r="AB293" s="1873" t="e">
        <f t="shared" si="597"/>
        <v>#DIV/0!</v>
      </c>
    </row>
    <row r="294" spans="1:28" s="1760" customFormat="1" ht="22.5" hidden="1" customHeight="1" thickTop="1" thickBot="1">
      <c r="A294" s="1755">
        <v>1</v>
      </c>
      <c r="B294" s="1756" t="s">
        <v>127</v>
      </c>
      <c r="C294" s="1756" t="s">
        <v>209</v>
      </c>
      <c r="D294" s="1756" t="s">
        <v>139</v>
      </c>
      <c r="E294" s="1756" t="s">
        <v>134</v>
      </c>
      <c r="F294" s="1756"/>
      <c r="G294" s="1756"/>
      <c r="H294" s="1756"/>
      <c r="I294" s="1756"/>
      <c r="J294" s="1756"/>
      <c r="K294" s="1757" t="s">
        <v>1843</v>
      </c>
      <c r="L294" s="1758">
        <f>+L295</f>
        <v>0</v>
      </c>
      <c r="M294" s="1758">
        <f t="shared" ref="M294:N294" si="677">+M295</f>
        <v>0</v>
      </c>
      <c r="N294" s="1758">
        <f t="shared" si="677"/>
        <v>0</v>
      </c>
      <c r="O294" s="1758">
        <f t="shared" si="591"/>
        <v>0</v>
      </c>
      <c r="P294" s="1805">
        <f t="shared" ref="P294:V294" si="678">SUM(P295:P297)</f>
        <v>0</v>
      </c>
      <c r="Q294" s="1759" t="e">
        <f t="shared" si="672"/>
        <v>#DIV/0!</v>
      </c>
      <c r="R294" s="1805">
        <f t="shared" si="678"/>
        <v>0</v>
      </c>
      <c r="S294" s="1759" t="e">
        <f t="shared" si="673"/>
        <v>#DIV/0!</v>
      </c>
      <c r="T294" s="1805">
        <f t="shared" si="678"/>
        <v>0</v>
      </c>
      <c r="U294" s="1759" t="e">
        <f t="shared" si="674"/>
        <v>#DIV/0!</v>
      </c>
      <c r="V294" s="1805">
        <f t="shared" si="678"/>
        <v>0</v>
      </c>
      <c r="W294" s="1759" t="e">
        <f t="shared" si="675"/>
        <v>#DIV/0!</v>
      </c>
      <c r="X294" s="1805">
        <f t="shared" ref="X294:Z294" si="679">SUM(X295:X297)</f>
        <v>0</v>
      </c>
      <c r="Y294" s="1805">
        <f t="shared" si="679"/>
        <v>0</v>
      </c>
      <c r="Z294" s="1805">
        <f t="shared" si="679"/>
        <v>0</v>
      </c>
      <c r="AA294" s="1805">
        <f t="shared" si="596"/>
        <v>0</v>
      </c>
      <c r="AB294" s="1874" t="e">
        <f t="shared" si="597"/>
        <v>#DIV/0!</v>
      </c>
    </row>
    <row r="295" spans="1:28" s="1766" customFormat="1" ht="22.5" hidden="1" customHeight="1" thickTop="1" thickBot="1">
      <c r="A295" s="1761">
        <v>1</v>
      </c>
      <c r="B295" s="1762" t="s">
        <v>127</v>
      </c>
      <c r="C295" s="1762" t="s">
        <v>209</v>
      </c>
      <c r="D295" s="1762" t="s">
        <v>139</v>
      </c>
      <c r="E295" s="1762" t="s">
        <v>134</v>
      </c>
      <c r="F295" s="1762" t="s">
        <v>127</v>
      </c>
      <c r="G295" s="1762"/>
      <c r="H295" s="1762"/>
      <c r="I295" s="1762"/>
      <c r="J295" s="1762"/>
      <c r="K295" s="1763" t="s">
        <v>1844</v>
      </c>
      <c r="L295" s="1764">
        <f>+SUM(L296:L297)</f>
        <v>0</v>
      </c>
      <c r="M295" s="1764">
        <f t="shared" ref="M295:N295" si="680">+SUM(M296:M297)</f>
        <v>0</v>
      </c>
      <c r="N295" s="1764">
        <f t="shared" si="680"/>
        <v>0</v>
      </c>
      <c r="O295" s="1764">
        <f t="shared" si="591"/>
        <v>0</v>
      </c>
      <c r="P295" s="1764">
        <f>+SUM(P296:P297)</f>
        <v>0</v>
      </c>
      <c r="Q295" s="1765" t="e">
        <f t="shared" si="672"/>
        <v>#DIV/0!</v>
      </c>
      <c r="R295" s="1764">
        <f>+SUM(R296:R297)</f>
        <v>0</v>
      </c>
      <c r="S295" s="1765" t="e">
        <f t="shared" si="673"/>
        <v>#DIV/0!</v>
      </c>
      <c r="T295" s="1764">
        <f>+SUM(T296:T297)</f>
        <v>0</v>
      </c>
      <c r="U295" s="1765" t="e">
        <f t="shared" si="674"/>
        <v>#DIV/0!</v>
      </c>
      <c r="V295" s="1764">
        <f>+SUM(V296:V297)</f>
        <v>0</v>
      </c>
      <c r="W295" s="1765" t="e">
        <f t="shared" si="675"/>
        <v>#DIV/0!</v>
      </c>
      <c r="X295" s="1764">
        <f>+SUM(X296:X297)</f>
        <v>0</v>
      </c>
      <c r="Y295" s="1764">
        <f>+SUM(Y296:Y297)</f>
        <v>0</v>
      </c>
      <c r="Z295" s="1764">
        <f>+SUM(Z296:Z297)</f>
        <v>0</v>
      </c>
      <c r="AA295" s="1764">
        <f t="shared" si="596"/>
        <v>0</v>
      </c>
      <c r="AB295" s="1875" t="e">
        <f t="shared" si="597"/>
        <v>#DIV/0!</v>
      </c>
    </row>
    <row r="296" spans="1:28" ht="22.5" hidden="1" customHeight="1" thickTop="1" thickBot="1">
      <c r="A296" s="1772">
        <v>1</v>
      </c>
      <c r="B296" s="1773" t="s">
        <v>127</v>
      </c>
      <c r="C296" s="1773" t="s">
        <v>209</v>
      </c>
      <c r="D296" s="1773" t="s">
        <v>139</v>
      </c>
      <c r="E296" s="1773" t="s">
        <v>134</v>
      </c>
      <c r="F296" s="1773" t="s">
        <v>209</v>
      </c>
      <c r="G296" s="1773"/>
      <c r="H296" s="1773"/>
      <c r="I296" s="1773"/>
      <c r="J296" s="1773"/>
      <c r="K296" s="1776" t="s">
        <v>1845</v>
      </c>
      <c r="L296" s="1774"/>
      <c r="M296" s="1774"/>
      <c r="N296" s="1774"/>
      <c r="O296" s="1774">
        <f t="shared" si="591"/>
        <v>0</v>
      </c>
      <c r="P296" s="1777">
        <f t="shared" ref="P296:P297" si="681">+L296*Q296</f>
        <v>0</v>
      </c>
      <c r="Q296" s="1775"/>
      <c r="R296" s="1777">
        <f t="shared" ref="R296:R297" si="682">+L296*S296</f>
        <v>0</v>
      </c>
      <c r="S296" s="1775"/>
      <c r="T296" s="1777">
        <f t="shared" ref="T296:T297" si="683">+L296*U296</f>
        <v>0</v>
      </c>
      <c r="U296" s="1775"/>
      <c r="V296" s="1777">
        <f t="shared" ref="V296:V297" si="684">+L296*W296</f>
        <v>0</v>
      </c>
      <c r="W296" s="1775"/>
      <c r="X296" s="1777"/>
      <c r="Y296" s="1777"/>
      <c r="Z296" s="1777"/>
      <c r="AA296" s="1777">
        <f t="shared" si="596"/>
        <v>0</v>
      </c>
      <c r="AB296" s="1877" t="e">
        <f t="shared" si="597"/>
        <v>#DIV/0!</v>
      </c>
    </row>
    <row r="297" spans="1:28" ht="22.5" hidden="1" customHeight="1" thickTop="1" thickBot="1">
      <c r="A297" s="1772">
        <v>1</v>
      </c>
      <c r="B297" s="1773" t="s">
        <v>127</v>
      </c>
      <c r="C297" s="1773" t="s">
        <v>209</v>
      </c>
      <c r="D297" s="1773" t="s">
        <v>139</v>
      </c>
      <c r="E297" s="1773" t="s">
        <v>134</v>
      </c>
      <c r="F297" s="1773" t="s">
        <v>1622</v>
      </c>
      <c r="G297" s="1773"/>
      <c r="H297" s="1773"/>
      <c r="I297" s="1773"/>
      <c r="J297" s="1773"/>
      <c r="K297" s="1776" t="s">
        <v>1846</v>
      </c>
      <c r="L297" s="1774"/>
      <c r="M297" s="1774"/>
      <c r="N297" s="1774"/>
      <c r="O297" s="1774">
        <f t="shared" si="591"/>
        <v>0</v>
      </c>
      <c r="P297" s="1777">
        <f t="shared" si="681"/>
        <v>0</v>
      </c>
      <c r="Q297" s="1775"/>
      <c r="R297" s="1777">
        <f t="shared" si="682"/>
        <v>0</v>
      </c>
      <c r="S297" s="1775"/>
      <c r="T297" s="1777">
        <f t="shared" si="683"/>
        <v>0</v>
      </c>
      <c r="U297" s="1775"/>
      <c r="V297" s="1777">
        <f t="shared" si="684"/>
        <v>0</v>
      </c>
      <c r="W297" s="1775"/>
      <c r="X297" s="1777"/>
      <c r="Y297" s="1777"/>
      <c r="Z297" s="1777"/>
      <c r="AA297" s="1777">
        <f t="shared" si="596"/>
        <v>0</v>
      </c>
      <c r="AB297" s="1877" t="e">
        <f t="shared" si="597"/>
        <v>#DIV/0!</v>
      </c>
    </row>
    <row r="298" spans="1:28" s="1760" customFormat="1" ht="22.5" hidden="1" customHeight="1" thickTop="1" thickBot="1">
      <c r="A298" s="1755">
        <v>1</v>
      </c>
      <c r="B298" s="1756" t="s">
        <v>127</v>
      </c>
      <c r="C298" s="1756" t="s">
        <v>209</v>
      </c>
      <c r="D298" s="1756" t="s">
        <v>139</v>
      </c>
      <c r="E298" s="1756" t="s">
        <v>139</v>
      </c>
      <c r="F298" s="1756"/>
      <c r="G298" s="1756"/>
      <c r="H298" s="1756"/>
      <c r="I298" s="1756"/>
      <c r="J298" s="1756"/>
      <c r="K298" s="1757" t="s">
        <v>1847</v>
      </c>
      <c r="L298" s="1758">
        <f>SUM(L299:L301)</f>
        <v>0</v>
      </c>
      <c r="M298" s="1758">
        <f t="shared" ref="M298:N298" si="685">SUM(M299:M301)</f>
        <v>0</v>
      </c>
      <c r="N298" s="1758">
        <f t="shared" si="685"/>
        <v>0</v>
      </c>
      <c r="O298" s="1758">
        <f t="shared" si="591"/>
        <v>0</v>
      </c>
      <c r="P298" s="1805">
        <f t="shared" ref="P298:V298" si="686">SUM(P299:P301)</f>
        <v>0</v>
      </c>
      <c r="Q298" s="1759" t="e">
        <f t="shared" ref="Q298" si="687">+P298/L298</f>
        <v>#DIV/0!</v>
      </c>
      <c r="R298" s="1805">
        <f t="shared" si="686"/>
        <v>0</v>
      </c>
      <c r="S298" s="1759" t="e">
        <f t="shared" ref="S298" si="688">+R298/L298</f>
        <v>#DIV/0!</v>
      </c>
      <c r="T298" s="1805">
        <f t="shared" si="686"/>
        <v>0</v>
      </c>
      <c r="U298" s="1759" t="e">
        <f t="shared" ref="U298" si="689">+T298/Q298</f>
        <v>#DIV/0!</v>
      </c>
      <c r="V298" s="1805">
        <f t="shared" si="686"/>
        <v>0</v>
      </c>
      <c r="W298" s="1759" t="e">
        <f t="shared" ref="W298" si="690">+V298/L298</f>
        <v>#DIV/0!</v>
      </c>
      <c r="X298" s="1805">
        <f t="shared" ref="X298:Z298" si="691">SUM(X299:X301)</f>
        <v>0</v>
      </c>
      <c r="Y298" s="1805">
        <f t="shared" si="691"/>
        <v>0</v>
      </c>
      <c r="Z298" s="1805">
        <f t="shared" si="691"/>
        <v>0</v>
      </c>
      <c r="AA298" s="1805">
        <f t="shared" si="596"/>
        <v>0</v>
      </c>
      <c r="AB298" s="1874" t="e">
        <f t="shared" si="597"/>
        <v>#DIV/0!</v>
      </c>
    </row>
    <row r="299" spans="1:28" ht="22.5" hidden="1" customHeight="1" thickTop="1" thickBot="1">
      <c r="A299" s="1772">
        <v>1</v>
      </c>
      <c r="B299" s="1773" t="s">
        <v>127</v>
      </c>
      <c r="C299" s="1773" t="s">
        <v>209</v>
      </c>
      <c r="D299" s="1773" t="s">
        <v>139</v>
      </c>
      <c r="E299" s="1773" t="s">
        <v>139</v>
      </c>
      <c r="F299" s="1773" t="s">
        <v>127</v>
      </c>
      <c r="G299" s="1773"/>
      <c r="H299" s="1773"/>
      <c r="I299" s="1773"/>
      <c r="J299" s="1773"/>
      <c r="K299" s="1776" t="s">
        <v>1848</v>
      </c>
      <c r="L299" s="1774"/>
      <c r="M299" s="1774"/>
      <c r="N299" s="1774"/>
      <c r="O299" s="1774">
        <f t="shared" si="591"/>
        <v>0</v>
      </c>
      <c r="P299" s="1777">
        <f t="shared" ref="P299:P301" si="692">+L299*Q299</f>
        <v>0</v>
      </c>
      <c r="Q299" s="1775"/>
      <c r="R299" s="1777">
        <f t="shared" ref="R299:R301" si="693">+L299*S299</f>
        <v>0</v>
      </c>
      <c r="S299" s="1775"/>
      <c r="T299" s="1777">
        <f t="shared" ref="T299:T301" si="694">+L299*U299</f>
        <v>0</v>
      </c>
      <c r="U299" s="1775"/>
      <c r="V299" s="1777">
        <f t="shared" ref="V299:V301" si="695">+L299*W299</f>
        <v>0</v>
      </c>
      <c r="W299" s="1775"/>
      <c r="X299" s="1777"/>
      <c r="Y299" s="1777"/>
      <c r="Z299" s="1777"/>
      <c r="AA299" s="1777">
        <f t="shared" si="596"/>
        <v>0</v>
      </c>
      <c r="AB299" s="1877" t="e">
        <f t="shared" si="597"/>
        <v>#DIV/0!</v>
      </c>
    </row>
    <row r="300" spans="1:28" ht="22.5" hidden="1" customHeight="1" thickTop="1" thickBot="1">
      <c r="A300" s="1772">
        <v>1</v>
      </c>
      <c r="B300" s="1773" t="s">
        <v>127</v>
      </c>
      <c r="C300" s="1773" t="s">
        <v>209</v>
      </c>
      <c r="D300" s="1773" t="s">
        <v>139</v>
      </c>
      <c r="E300" s="1773" t="s">
        <v>139</v>
      </c>
      <c r="F300" s="1773" t="s">
        <v>209</v>
      </c>
      <c r="G300" s="1773"/>
      <c r="H300" s="1773"/>
      <c r="I300" s="1773"/>
      <c r="J300" s="1773"/>
      <c r="K300" s="1776" t="s">
        <v>1849</v>
      </c>
      <c r="L300" s="1774"/>
      <c r="M300" s="1774"/>
      <c r="N300" s="1774"/>
      <c r="O300" s="1774">
        <f t="shared" si="591"/>
        <v>0</v>
      </c>
      <c r="P300" s="1777">
        <f t="shared" si="692"/>
        <v>0</v>
      </c>
      <c r="Q300" s="1775"/>
      <c r="R300" s="1777">
        <f t="shared" si="693"/>
        <v>0</v>
      </c>
      <c r="S300" s="1775"/>
      <c r="T300" s="1777">
        <f t="shared" si="694"/>
        <v>0</v>
      </c>
      <c r="U300" s="1775"/>
      <c r="V300" s="1777">
        <f t="shared" si="695"/>
        <v>0</v>
      </c>
      <c r="W300" s="1775"/>
      <c r="X300" s="1777"/>
      <c r="Y300" s="1777"/>
      <c r="Z300" s="1777"/>
      <c r="AA300" s="1777">
        <f t="shared" si="596"/>
        <v>0</v>
      </c>
      <c r="AB300" s="1877" t="e">
        <f t="shared" si="597"/>
        <v>#DIV/0!</v>
      </c>
    </row>
    <row r="301" spans="1:28" ht="22.5" hidden="1" customHeight="1" thickTop="1" thickBot="1">
      <c r="A301" s="1772">
        <v>1</v>
      </c>
      <c r="B301" s="1773" t="s">
        <v>127</v>
      </c>
      <c r="C301" s="1773" t="s">
        <v>209</v>
      </c>
      <c r="D301" s="1773" t="s">
        <v>139</v>
      </c>
      <c r="E301" s="1773" t="s">
        <v>139</v>
      </c>
      <c r="F301" s="1773" t="s">
        <v>1622</v>
      </c>
      <c r="G301" s="1773"/>
      <c r="H301" s="1773"/>
      <c r="I301" s="1773"/>
      <c r="J301" s="1773"/>
      <c r="K301" s="1776" t="s">
        <v>1850</v>
      </c>
      <c r="L301" s="1774"/>
      <c r="M301" s="1774"/>
      <c r="N301" s="1774"/>
      <c r="O301" s="1774">
        <f t="shared" si="591"/>
        <v>0</v>
      </c>
      <c r="P301" s="1777">
        <f t="shared" si="692"/>
        <v>0</v>
      </c>
      <c r="Q301" s="1775"/>
      <c r="R301" s="1777">
        <f t="shared" si="693"/>
        <v>0</v>
      </c>
      <c r="S301" s="1775"/>
      <c r="T301" s="1777">
        <f t="shared" si="694"/>
        <v>0</v>
      </c>
      <c r="U301" s="1775"/>
      <c r="V301" s="1777">
        <f t="shared" si="695"/>
        <v>0</v>
      </c>
      <c r="W301" s="1775"/>
      <c r="X301" s="1777"/>
      <c r="Y301" s="1777"/>
      <c r="Z301" s="1777"/>
      <c r="AA301" s="1777">
        <f t="shared" si="596"/>
        <v>0</v>
      </c>
      <c r="AB301" s="1877" t="e">
        <f t="shared" si="597"/>
        <v>#DIV/0!</v>
      </c>
    </row>
    <row r="302" spans="1:28" s="1760" customFormat="1" ht="22.5" hidden="1" customHeight="1" thickTop="1" thickBot="1">
      <c r="A302" s="1755">
        <v>1</v>
      </c>
      <c r="B302" s="1756" t="s">
        <v>127</v>
      </c>
      <c r="C302" s="1756" t="s">
        <v>209</v>
      </c>
      <c r="D302" s="1756" t="s">
        <v>139</v>
      </c>
      <c r="E302" s="1756" t="s">
        <v>140</v>
      </c>
      <c r="F302" s="1756"/>
      <c r="G302" s="1756"/>
      <c r="H302" s="1756"/>
      <c r="I302" s="1756"/>
      <c r="J302" s="1756"/>
      <c r="K302" s="1757" t="s">
        <v>1851</v>
      </c>
      <c r="L302" s="1758">
        <f>SUM(L303:L305)</f>
        <v>0</v>
      </c>
      <c r="M302" s="1758">
        <f t="shared" ref="M302:N302" si="696">SUM(M303:M305)</f>
        <v>0</v>
      </c>
      <c r="N302" s="1758">
        <f t="shared" si="696"/>
        <v>0</v>
      </c>
      <c r="O302" s="1758">
        <f t="shared" si="591"/>
        <v>0</v>
      </c>
      <c r="P302" s="1805">
        <f t="shared" ref="P302:V302" si="697">SUM(P303:P305)</f>
        <v>0</v>
      </c>
      <c r="Q302" s="1759" t="e">
        <f t="shared" ref="Q302" si="698">+P302/L302</f>
        <v>#DIV/0!</v>
      </c>
      <c r="R302" s="1805">
        <f t="shared" si="697"/>
        <v>0</v>
      </c>
      <c r="S302" s="1759" t="e">
        <f t="shared" ref="S302" si="699">+R302/L302</f>
        <v>#DIV/0!</v>
      </c>
      <c r="T302" s="1805">
        <f t="shared" si="697"/>
        <v>0</v>
      </c>
      <c r="U302" s="1759" t="e">
        <f t="shared" ref="U302" si="700">+T302/Q302</f>
        <v>#DIV/0!</v>
      </c>
      <c r="V302" s="1805">
        <f t="shared" si="697"/>
        <v>0</v>
      </c>
      <c r="W302" s="1759" t="e">
        <f t="shared" ref="W302" si="701">+V302/L302</f>
        <v>#DIV/0!</v>
      </c>
      <c r="X302" s="1805">
        <f t="shared" ref="X302:Z302" si="702">SUM(X303:X305)</f>
        <v>0</v>
      </c>
      <c r="Y302" s="1805">
        <f t="shared" si="702"/>
        <v>0</v>
      </c>
      <c r="Z302" s="1805">
        <f t="shared" si="702"/>
        <v>0</v>
      </c>
      <c r="AA302" s="1805">
        <f t="shared" si="596"/>
        <v>0</v>
      </c>
      <c r="AB302" s="1874" t="e">
        <f t="shared" si="597"/>
        <v>#DIV/0!</v>
      </c>
    </row>
    <row r="303" spans="1:28" ht="22.5" hidden="1" customHeight="1" thickTop="1" thickBot="1">
      <c r="A303" s="1772">
        <v>1</v>
      </c>
      <c r="B303" s="1773" t="s">
        <v>127</v>
      </c>
      <c r="C303" s="1773" t="s">
        <v>209</v>
      </c>
      <c r="D303" s="1773" t="s">
        <v>139</v>
      </c>
      <c r="E303" s="1773" t="s">
        <v>140</v>
      </c>
      <c r="F303" s="1773" t="s">
        <v>127</v>
      </c>
      <c r="G303" s="1773"/>
      <c r="H303" s="1773"/>
      <c r="I303" s="1773"/>
      <c r="J303" s="1773"/>
      <c r="K303" s="1776" t="s">
        <v>1852</v>
      </c>
      <c r="L303" s="1774"/>
      <c r="M303" s="1774"/>
      <c r="N303" s="1774"/>
      <c r="O303" s="1774">
        <f t="shared" si="591"/>
        <v>0</v>
      </c>
      <c r="P303" s="1777">
        <f t="shared" ref="P303:P305" si="703">+L303*Q303</f>
        <v>0</v>
      </c>
      <c r="Q303" s="1775"/>
      <c r="R303" s="1777">
        <f t="shared" ref="R303:R305" si="704">+L303*S303</f>
        <v>0</v>
      </c>
      <c r="S303" s="1775"/>
      <c r="T303" s="1777">
        <f t="shared" ref="T303:T305" si="705">+L303*U303</f>
        <v>0</v>
      </c>
      <c r="U303" s="1775"/>
      <c r="V303" s="1777">
        <f t="shared" ref="V303:V305" si="706">+L303*W303</f>
        <v>0</v>
      </c>
      <c r="W303" s="1775"/>
      <c r="X303" s="1777"/>
      <c r="Y303" s="1777"/>
      <c r="Z303" s="1777"/>
      <c r="AA303" s="1777">
        <f t="shared" si="596"/>
        <v>0</v>
      </c>
      <c r="AB303" s="1877" t="e">
        <f t="shared" si="597"/>
        <v>#DIV/0!</v>
      </c>
    </row>
    <row r="304" spans="1:28" ht="22.5" hidden="1" customHeight="1" thickTop="1" thickBot="1">
      <c r="A304" s="1772">
        <v>1</v>
      </c>
      <c r="B304" s="1773" t="s">
        <v>127</v>
      </c>
      <c r="C304" s="1773" t="s">
        <v>209</v>
      </c>
      <c r="D304" s="1773" t="s">
        <v>139</v>
      </c>
      <c r="E304" s="1773" t="s">
        <v>140</v>
      </c>
      <c r="F304" s="1773" t="s">
        <v>209</v>
      </c>
      <c r="G304" s="1773"/>
      <c r="H304" s="1773"/>
      <c r="I304" s="1773"/>
      <c r="J304" s="1773"/>
      <c r="K304" s="1776" t="s">
        <v>1853</v>
      </c>
      <c r="L304" s="1774"/>
      <c r="M304" s="1774"/>
      <c r="N304" s="1774"/>
      <c r="O304" s="1774">
        <f t="shared" si="591"/>
        <v>0</v>
      </c>
      <c r="P304" s="1777">
        <f t="shared" si="703"/>
        <v>0</v>
      </c>
      <c r="Q304" s="1775"/>
      <c r="R304" s="1777">
        <f t="shared" si="704"/>
        <v>0</v>
      </c>
      <c r="S304" s="1775"/>
      <c r="T304" s="1777">
        <f t="shared" si="705"/>
        <v>0</v>
      </c>
      <c r="U304" s="1775"/>
      <c r="V304" s="1777">
        <f t="shared" si="706"/>
        <v>0</v>
      </c>
      <c r="W304" s="1775"/>
      <c r="X304" s="1777"/>
      <c r="Y304" s="1777"/>
      <c r="Z304" s="1777"/>
      <c r="AA304" s="1777">
        <f t="shared" si="596"/>
        <v>0</v>
      </c>
      <c r="AB304" s="1877" t="e">
        <f t="shared" si="597"/>
        <v>#DIV/0!</v>
      </c>
    </row>
    <row r="305" spans="1:28" ht="22.5" hidden="1" customHeight="1" thickTop="1" thickBot="1">
      <c r="A305" s="1772">
        <v>1</v>
      </c>
      <c r="B305" s="1773" t="s">
        <v>127</v>
      </c>
      <c r="C305" s="1773" t="s">
        <v>209</v>
      </c>
      <c r="D305" s="1773" t="s">
        <v>139</v>
      </c>
      <c r="E305" s="1773" t="s">
        <v>140</v>
      </c>
      <c r="F305" s="1773" t="s">
        <v>1622</v>
      </c>
      <c r="G305" s="1773"/>
      <c r="H305" s="1773"/>
      <c r="I305" s="1773"/>
      <c r="J305" s="1773"/>
      <c r="K305" s="1776" t="s">
        <v>1854</v>
      </c>
      <c r="L305" s="1774"/>
      <c r="M305" s="1774"/>
      <c r="N305" s="1774"/>
      <c r="O305" s="1774">
        <f t="shared" si="591"/>
        <v>0</v>
      </c>
      <c r="P305" s="1777">
        <f t="shared" si="703"/>
        <v>0</v>
      </c>
      <c r="Q305" s="1775"/>
      <c r="R305" s="1777">
        <f t="shared" si="704"/>
        <v>0</v>
      </c>
      <c r="S305" s="1775"/>
      <c r="T305" s="1777">
        <f t="shared" si="705"/>
        <v>0</v>
      </c>
      <c r="U305" s="1775"/>
      <c r="V305" s="1777">
        <f t="shared" si="706"/>
        <v>0</v>
      </c>
      <c r="W305" s="1775"/>
      <c r="X305" s="1777"/>
      <c r="Y305" s="1777"/>
      <c r="Z305" s="1777"/>
      <c r="AA305" s="1777">
        <f t="shared" si="596"/>
        <v>0</v>
      </c>
      <c r="AB305" s="1877" t="e">
        <f t="shared" si="597"/>
        <v>#DIV/0!</v>
      </c>
    </row>
    <row r="306" spans="1:28" s="1760" customFormat="1" ht="22.5" hidden="1" customHeight="1" thickTop="1" thickBot="1">
      <c r="A306" s="1755">
        <v>1</v>
      </c>
      <c r="B306" s="1756" t="s">
        <v>127</v>
      </c>
      <c r="C306" s="1756" t="s">
        <v>209</v>
      </c>
      <c r="D306" s="1756" t="s">
        <v>139</v>
      </c>
      <c r="E306" s="1756" t="s">
        <v>144</v>
      </c>
      <c r="F306" s="1756"/>
      <c r="G306" s="1756"/>
      <c r="H306" s="1756"/>
      <c r="I306" s="1756"/>
      <c r="J306" s="1756"/>
      <c r="K306" s="1757" t="s">
        <v>1855</v>
      </c>
      <c r="L306" s="1758">
        <f>SUM(L307:L309)</f>
        <v>0</v>
      </c>
      <c r="M306" s="1758">
        <f t="shared" ref="M306:N306" si="707">SUM(M307:M309)</f>
        <v>0</v>
      </c>
      <c r="N306" s="1758">
        <f t="shared" si="707"/>
        <v>0</v>
      </c>
      <c r="O306" s="1758">
        <f t="shared" si="591"/>
        <v>0</v>
      </c>
      <c r="P306" s="1805">
        <f t="shared" ref="P306:V306" si="708">SUM(P307:P309)</f>
        <v>0</v>
      </c>
      <c r="Q306" s="1759" t="e">
        <f t="shared" ref="Q306" si="709">+P306/L306</f>
        <v>#DIV/0!</v>
      </c>
      <c r="R306" s="1805">
        <f t="shared" si="708"/>
        <v>0</v>
      </c>
      <c r="S306" s="1759" t="e">
        <f t="shared" ref="S306" si="710">+R306/L306</f>
        <v>#DIV/0!</v>
      </c>
      <c r="T306" s="1805">
        <f t="shared" si="708"/>
        <v>0</v>
      </c>
      <c r="U306" s="1759" t="e">
        <f t="shared" ref="U306" si="711">+T306/Q306</f>
        <v>#DIV/0!</v>
      </c>
      <c r="V306" s="1805">
        <f t="shared" si="708"/>
        <v>0</v>
      </c>
      <c r="W306" s="1759" t="e">
        <f t="shared" ref="W306" si="712">+V306/L306</f>
        <v>#DIV/0!</v>
      </c>
      <c r="X306" s="1805">
        <f t="shared" ref="X306:Z306" si="713">SUM(X307:X309)</f>
        <v>0</v>
      </c>
      <c r="Y306" s="1805">
        <f t="shared" si="713"/>
        <v>0</v>
      </c>
      <c r="Z306" s="1805">
        <f t="shared" si="713"/>
        <v>0</v>
      </c>
      <c r="AA306" s="1805">
        <f t="shared" si="596"/>
        <v>0</v>
      </c>
      <c r="AB306" s="1874" t="e">
        <f t="shared" si="597"/>
        <v>#DIV/0!</v>
      </c>
    </row>
    <row r="307" spans="1:28" ht="22.5" hidden="1" customHeight="1" thickTop="1" thickBot="1">
      <c r="A307" s="1772">
        <v>1</v>
      </c>
      <c r="B307" s="1773" t="s">
        <v>127</v>
      </c>
      <c r="C307" s="1773" t="s">
        <v>209</v>
      </c>
      <c r="D307" s="1773" t="s">
        <v>139</v>
      </c>
      <c r="E307" s="1773" t="s">
        <v>144</v>
      </c>
      <c r="F307" s="1773" t="s">
        <v>127</v>
      </c>
      <c r="G307" s="1773"/>
      <c r="H307" s="1773"/>
      <c r="I307" s="1773"/>
      <c r="J307" s="1773"/>
      <c r="K307" s="1776" t="s">
        <v>1856</v>
      </c>
      <c r="L307" s="1774"/>
      <c r="M307" s="1774"/>
      <c r="N307" s="1774"/>
      <c r="O307" s="1774">
        <f t="shared" si="591"/>
        <v>0</v>
      </c>
      <c r="P307" s="1777">
        <f t="shared" ref="P307:P309" si="714">+L307*Q307</f>
        <v>0</v>
      </c>
      <c r="Q307" s="1775"/>
      <c r="R307" s="1777">
        <f t="shared" ref="R307:R309" si="715">+L307*S307</f>
        <v>0</v>
      </c>
      <c r="S307" s="1775"/>
      <c r="T307" s="1777">
        <f t="shared" ref="T307:T309" si="716">+L307*U307</f>
        <v>0</v>
      </c>
      <c r="U307" s="1775"/>
      <c r="V307" s="1777">
        <f t="shared" ref="V307:V309" si="717">+L307*W307</f>
        <v>0</v>
      </c>
      <c r="W307" s="1775"/>
      <c r="X307" s="1777"/>
      <c r="Y307" s="1777"/>
      <c r="Z307" s="1777"/>
      <c r="AA307" s="1777">
        <f t="shared" si="596"/>
        <v>0</v>
      </c>
      <c r="AB307" s="1877" t="e">
        <f t="shared" si="597"/>
        <v>#DIV/0!</v>
      </c>
    </row>
    <row r="308" spans="1:28" ht="22.5" hidden="1" customHeight="1" thickTop="1" thickBot="1">
      <c r="A308" s="1772">
        <v>1</v>
      </c>
      <c r="B308" s="1773" t="s">
        <v>127</v>
      </c>
      <c r="C308" s="1773" t="s">
        <v>209</v>
      </c>
      <c r="D308" s="1773" t="s">
        <v>139</v>
      </c>
      <c r="E308" s="1773" t="s">
        <v>144</v>
      </c>
      <c r="F308" s="1773" t="s">
        <v>209</v>
      </c>
      <c r="G308" s="1773"/>
      <c r="H308" s="1773"/>
      <c r="I308" s="1773"/>
      <c r="J308" s="1773"/>
      <c r="K308" s="1776" t="s">
        <v>1857</v>
      </c>
      <c r="L308" s="1774"/>
      <c r="M308" s="1774"/>
      <c r="N308" s="1774"/>
      <c r="O308" s="1774">
        <f t="shared" si="591"/>
        <v>0</v>
      </c>
      <c r="P308" s="1777">
        <f t="shared" si="714"/>
        <v>0</v>
      </c>
      <c r="Q308" s="1775"/>
      <c r="R308" s="1777">
        <f t="shared" si="715"/>
        <v>0</v>
      </c>
      <c r="S308" s="1775"/>
      <c r="T308" s="1777">
        <f t="shared" si="716"/>
        <v>0</v>
      </c>
      <c r="U308" s="1775"/>
      <c r="V308" s="1777">
        <f t="shared" si="717"/>
        <v>0</v>
      </c>
      <c r="W308" s="1775"/>
      <c r="X308" s="1777"/>
      <c r="Y308" s="1777"/>
      <c r="Z308" s="1777"/>
      <c r="AA308" s="1777">
        <f t="shared" si="596"/>
        <v>0</v>
      </c>
      <c r="AB308" s="1877" t="e">
        <f t="shared" si="597"/>
        <v>#DIV/0!</v>
      </c>
    </row>
    <row r="309" spans="1:28" ht="22.5" hidden="1" customHeight="1" thickTop="1" thickBot="1">
      <c r="A309" s="1772">
        <v>1</v>
      </c>
      <c r="B309" s="1773" t="s">
        <v>127</v>
      </c>
      <c r="C309" s="1773" t="s">
        <v>209</v>
      </c>
      <c r="D309" s="1773" t="s">
        <v>139</v>
      </c>
      <c r="E309" s="1773" t="s">
        <v>144</v>
      </c>
      <c r="F309" s="1773" t="s">
        <v>1622</v>
      </c>
      <c r="G309" s="1773"/>
      <c r="H309" s="1773"/>
      <c r="I309" s="1773"/>
      <c r="J309" s="1773"/>
      <c r="K309" s="1776" t="s">
        <v>1858</v>
      </c>
      <c r="L309" s="1774"/>
      <c r="M309" s="1774"/>
      <c r="N309" s="1774"/>
      <c r="O309" s="1774">
        <f t="shared" si="591"/>
        <v>0</v>
      </c>
      <c r="P309" s="1777">
        <f t="shared" si="714"/>
        <v>0</v>
      </c>
      <c r="Q309" s="1775"/>
      <c r="R309" s="1777">
        <f t="shared" si="715"/>
        <v>0</v>
      </c>
      <c r="S309" s="1775"/>
      <c r="T309" s="1777">
        <f t="shared" si="716"/>
        <v>0</v>
      </c>
      <c r="U309" s="1775"/>
      <c r="V309" s="1777">
        <f t="shared" si="717"/>
        <v>0</v>
      </c>
      <c r="W309" s="1775"/>
      <c r="X309" s="1777"/>
      <c r="Y309" s="1777"/>
      <c r="Z309" s="1777"/>
      <c r="AA309" s="1777">
        <f t="shared" si="596"/>
        <v>0</v>
      </c>
      <c r="AB309" s="1877" t="e">
        <f t="shared" si="597"/>
        <v>#DIV/0!</v>
      </c>
    </row>
    <row r="310" spans="1:28" s="1760" customFormat="1" ht="22.5" hidden="1" customHeight="1" thickTop="1" thickBot="1">
      <c r="A310" s="1755">
        <v>1</v>
      </c>
      <c r="B310" s="1756" t="s">
        <v>127</v>
      </c>
      <c r="C310" s="1756" t="s">
        <v>209</v>
      </c>
      <c r="D310" s="1756" t="s">
        <v>139</v>
      </c>
      <c r="E310" s="1756" t="s">
        <v>145</v>
      </c>
      <c r="F310" s="1756"/>
      <c r="G310" s="1756"/>
      <c r="H310" s="1756"/>
      <c r="I310" s="1756"/>
      <c r="J310" s="1756"/>
      <c r="K310" s="1757" t="s">
        <v>1859</v>
      </c>
      <c r="L310" s="1758">
        <f>SUM(L311:L313)</f>
        <v>0</v>
      </c>
      <c r="M310" s="1758">
        <f t="shared" ref="M310:N310" si="718">SUM(M311:M340)</f>
        <v>0</v>
      </c>
      <c r="N310" s="1758">
        <f t="shared" si="718"/>
        <v>0</v>
      </c>
      <c r="O310" s="1758">
        <f t="shared" si="591"/>
        <v>0</v>
      </c>
      <c r="P310" s="1805">
        <f t="shared" ref="P310:V310" si="719">SUM(P311:P313)</f>
        <v>0</v>
      </c>
      <c r="Q310" s="1759" t="e">
        <f t="shared" ref="Q310" si="720">+P310/L310</f>
        <v>#DIV/0!</v>
      </c>
      <c r="R310" s="1805">
        <f t="shared" si="719"/>
        <v>0</v>
      </c>
      <c r="S310" s="1759" t="e">
        <f t="shared" ref="S310" si="721">+R310/L310</f>
        <v>#DIV/0!</v>
      </c>
      <c r="T310" s="1805">
        <f t="shared" si="719"/>
        <v>0</v>
      </c>
      <c r="U310" s="1759" t="e">
        <f t="shared" ref="U310" si="722">+T310/Q310</f>
        <v>#DIV/0!</v>
      </c>
      <c r="V310" s="1805">
        <f t="shared" si="719"/>
        <v>0</v>
      </c>
      <c r="W310" s="1759" t="e">
        <f t="shared" ref="W310" si="723">+V310/L310</f>
        <v>#DIV/0!</v>
      </c>
      <c r="X310" s="1805">
        <f t="shared" ref="X310:Z310" si="724">SUM(X311:X313)</f>
        <v>0</v>
      </c>
      <c r="Y310" s="1805">
        <f t="shared" si="724"/>
        <v>0</v>
      </c>
      <c r="Z310" s="1805">
        <f t="shared" si="724"/>
        <v>0</v>
      </c>
      <c r="AA310" s="1805">
        <f t="shared" si="596"/>
        <v>0</v>
      </c>
      <c r="AB310" s="1874" t="e">
        <f t="shared" si="597"/>
        <v>#DIV/0!</v>
      </c>
    </row>
    <row r="311" spans="1:28" ht="22.5" hidden="1" customHeight="1" thickTop="1" thickBot="1">
      <c r="A311" s="1772">
        <v>1</v>
      </c>
      <c r="B311" s="1773" t="s">
        <v>127</v>
      </c>
      <c r="C311" s="1773" t="s">
        <v>209</v>
      </c>
      <c r="D311" s="1773" t="s">
        <v>139</v>
      </c>
      <c r="E311" s="1773" t="s">
        <v>145</v>
      </c>
      <c r="F311" s="1773" t="s">
        <v>127</v>
      </c>
      <c r="G311" s="1773"/>
      <c r="H311" s="1773"/>
      <c r="I311" s="1773"/>
      <c r="J311" s="1773"/>
      <c r="K311" s="1776" t="s">
        <v>1860</v>
      </c>
      <c r="L311" s="1774"/>
      <c r="M311" s="1774"/>
      <c r="N311" s="1774"/>
      <c r="O311" s="1774">
        <f t="shared" si="591"/>
        <v>0</v>
      </c>
      <c r="P311" s="1777">
        <f t="shared" ref="P311:P350" si="725">+L311*Q311</f>
        <v>0</v>
      </c>
      <c r="Q311" s="1775"/>
      <c r="R311" s="1777">
        <f t="shared" ref="R311:R350" si="726">+L311*S311</f>
        <v>0</v>
      </c>
      <c r="S311" s="1775"/>
      <c r="T311" s="1777">
        <f t="shared" ref="T311:T350" si="727">+L311*U311</f>
        <v>0</v>
      </c>
      <c r="U311" s="1775"/>
      <c r="V311" s="1777">
        <f t="shared" ref="V311:V346" si="728">+L311*W311</f>
        <v>0</v>
      </c>
      <c r="W311" s="1775"/>
      <c r="X311" s="1777"/>
      <c r="Y311" s="1777"/>
      <c r="Z311" s="1777"/>
      <c r="AA311" s="1777">
        <f t="shared" si="596"/>
        <v>0</v>
      </c>
      <c r="AB311" s="1877" t="e">
        <f t="shared" si="597"/>
        <v>#DIV/0!</v>
      </c>
    </row>
    <row r="312" spans="1:28" ht="22.5" hidden="1" customHeight="1" thickTop="1" thickBot="1">
      <c r="A312" s="1772">
        <v>1</v>
      </c>
      <c r="B312" s="1773" t="s">
        <v>127</v>
      </c>
      <c r="C312" s="1773" t="s">
        <v>209</v>
      </c>
      <c r="D312" s="1773" t="s">
        <v>139</v>
      </c>
      <c r="E312" s="1773" t="s">
        <v>145</v>
      </c>
      <c r="F312" s="1773" t="s">
        <v>209</v>
      </c>
      <c r="G312" s="1773"/>
      <c r="H312" s="1773"/>
      <c r="I312" s="1773"/>
      <c r="J312" s="1773"/>
      <c r="K312" s="1776" t="s">
        <v>1861</v>
      </c>
      <c r="L312" s="1774"/>
      <c r="M312" s="1774"/>
      <c r="N312" s="1774"/>
      <c r="O312" s="1774">
        <f t="shared" si="591"/>
        <v>0</v>
      </c>
      <c r="P312" s="1777">
        <f t="shared" si="725"/>
        <v>0</v>
      </c>
      <c r="Q312" s="1775"/>
      <c r="R312" s="1777">
        <f t="shared" si="726"/>
        <v>0</v>
      </c>
      <c r="S312" s="1775"/>
      <c r="T312" s="1777">
        <f t="shared" si="727"/>
        <v>0</v>
      </c>
      <c r="U312" s="1775"/>
      <c r="V312" s="1777">
        <f t="shared" si="728"/>
        <v>0</v>
      </c>
      <c r="W312" s="1775"/>
      <c r="X312" s="1777"/>
      <c r="Y312" s="1777"/>
      <c r="Z312" s="1777"/>
      <c r="AA312" s="1777">
        <f t="shared" si="596"/>
        <v>0</v>
      </c>
      <c r="AB312" s="1877" t="e">
        <f t="shared" si="597"/>
        <v>#DIV/0!</v>
      </c>
    </row>
    <row r="313" spans="1:28" ht="22.5" hidden="1" customHeight="1" thickTop="1" thickBot="1">
      <c r="A313" s="1772">
        <v>1</v>
      </c>
      <c r="B313" s="1773" t="s">
        <v>127</v>
      </c>
      <c r="C313" s="1773" t="s">
        <v>209</v>
      </c>
      <c r="D313" s="1773" t="s">
        <v>139</v>
      </c>
      <c r="E313" s="1773" t="s">
        <v>145</v>
      </c>
      <c r="F313" s="1773" t="s">
        <v>1622</v>
      </c>
      <c r="G313" s="1773"/>
      <c r="H313" s="1773"/>
      <c r="I313" s="1773"/>
      <c r="J313" s="1773"/>
      <c r="K313" s="1776" t="s">
        <v>1862</v>
      </c>
      <c r="L313" s="1774"/>
      <c r="M313" s="1774"/>
      <c r="N313" s="1774"/>
      <c r="O313" s="1774">
        <f t="shared" si="591"/>
        <v>0</v>
      </c>
      <c r="P313" s="1777">
        <f t="shared" si="725"/>
        <v>0</v>
      </c>
      <c r="Q313" s="1775"/>
      <c r="R313" s="1777">
        <f t="shared" si="726"/>
        <v>0</v>
      </c>
      <c r="S313" s="1775"/>
      <c r="T313" s="1777">
        <f t="shared" si="727"/>
        <v>0</v>
      </c>
      <c r="U313" s="1775"/>
      <c r="V313" s="1777">
        <f t="shared" si="728"/>
        <v>0</v>
      </c>
      <c r="W313" s="1775"/>
      <c r="X313" s="1777"/>
      <c r="Y313" s="1777"/>
      <c r="Z313" s="1777"/>
      <c r="AA313" s="1777">
        <f t="shared" si="596"/>
        <v>0</v>
      </c>
      <c r="AB313" s="1877" t="e">
        <f t="shared" si="597"/>
        <v>#DIV/0!</v>
      </c>
    </row>
    <row r="314" spans="1:28" s="1754" customFormat="1" ht="22.5" customHeight="1" thickTop="1" thickBot="1">
      <c r="A314" s="1749">
        <v>1</v>
      </c>
      <c r="B314" s="1750" t="s">
        <v>127</v>
      </c>
      <c r="C314" s="1750" t="s">
        <v>209</v>
      </c>
      <c r="D314" s="1750" t="s">
        <v>144</v>
      </c>
      <c r="E314" s="1750"/>
      <c r="F314" s="1750"/>
      <c r="G314" s="1750"/>
      <c r="H314" s="1750"/>
      <c r="I314" s="1750"/>
      <c r="J314" s="1750"/>
      <c r="K314" s="1751" t="s">
        <v>179</v>
      </c>
      <c r="L314" s="1752">
        <f>+L315+L316+L347+L348+L349+L350</f>
        <v>331242317.45999998</v>
      </c>
      <c r="M314" s="1752">
        <f t="shared" ref="M314:N314" si="729">+M315+M316+M347+M348+M349+M350</f>
        <v>0</v>
      </c>
      <c r="N314" s="1752">
        <f t="shared" si="729"/>
        <v>0</v>
      </c>
      <c r="O314" s="1752">
        <f t="shared" si="591"/>
        <v>331242317.45999998</v>
      </c>
      <c r="P314" s="1752">
        <f t="shared" ref="P314:V314" si="730">+P315+P316+P347+P348+P349+P350</f>
        <v>0</v>
      </c>
      <c r="Q314" s="1753">
        <f t="shared" ref="Q314:Q377" si="731">+P314/L314</f>
        <v>0</v>
      </c>
      <c r="R314" s="1752">
        <f t="shared" si="730"/>
        <v>331242317.45999998</v>
      </c>
      <c r="S314" s="1753">
        <f t="shared" ref="S314:S316" si="732">+R314/L314</f>
        <v>1</v>
      </c>
      <c r="T314" s="1752">
        <f t="shared" si="730"/>
        <v>0</v>
      </c>
      <c r="U314" s="1753" t="e">
        <f t="shared" ref="U314:U316" si="733">+T314/Q314</f>
        <v>#DIV/0!</v>
      </c>
      <c r="V314" s="1804">
        <f t="shared" si="730"/>
        <v>0</v>
      </c>
      <c r="W314" s="1753">
        <f t="shared" ref="W314:W316" si="734">+V314/L314</f>
        <v>0</v>
      </c>
      <c r="X314" s="1804">
        <f t="shared" ref="X314:Z314" si="735">+X315+X316+X347+X348+X349+X350</f>
        <v>236078655.81999999</v>
      </c>
      <c r="Y314" s="1804">
        <f t="shared" si="735"/>
        <v>104438257</v>
      </c>
      <c r="Z314" s="1804">
        <f t="shared" si="735"/>
        <v>131640398.82000001</v>
      </c>
      <c r="AA314" s="1804">
        <f t="shared" si="596"/>
        <v>236078655.81999999</v>
      </c>
      <c r="AB314" s="1873">
        <f t="shared" si="597"/>
        <v>1</v>
      </c>
    </row>
    <row r="315" spans="1:28" s="1760" customFormat="1" ht="22.5" hidden="1" customHeight="1" thickTop="1" thickBot="1">
      <c r="A315" s="1755">
        <v>1</v>
      </c>
      <c r="B315" s="1756" t="s">
        <v>127</v>
      </c>
      <c r="C315" s="1756" t="s">
        <v>209</v>
      </c>
      <c r="D315" s="1756" t="s">
        <v>144</v>
      </c>
      <c r="E315" s="1756" t="s">
        <v>129</v>
      </c>
      <c r="F315" s="1756"/>
      <c r="G315" s="1756"/>
      <c r="H315" s="1756"/>
      <c r="I315" s="1756"/>
      <c r="J315" s="1756"/>
      <c r="K315" s="1806" t="s">
        <v>1123</v>
      </c>
      <c r="L315" s="1758"/>
      <c r="M315" s="1758"/>
      <c r="N315" s="1758"/>
      <c r="O315" s="1758">
        <f t="shared" si="591"/>
        <v>0</v>
      </c>
      <c r="P315" s="1805">
        <f t="shared" si="725"/>
        <v>0</v>
      </c>
      <c r="Q315" s="1759"/>
      <c r="R315" s="1805">
        <f t="shared" si="726"/>
        <v>0</v>
      </c>
      <c r="S315" s="1759"/>
      <c r="T315" s="1805">
        <f t="shared" si="727"/>
        <v>0</v>
      </c>
      <c r="U315" s="1759"/>
      <c r="V315" s="1805">
        <f t="shared" si="728"/>
        <v>0</v>
      </c>
      <c r="W315" s="1759"/>
      <c r="X315" s="1805">
        <f t="shared" ref="X315" si="736">+R315*Y315</f>
        <v>0</v>
      </c>
      <c r="Y315" s="1805"/>
      <c r="Z315" s="1805"/>
      <c r="AA315" s="1805"/>
      <c r="AB315" s="1874" t="e">
        <f t="shared" si="597"/>
        <v>#DIV/0!</v>
      </c>
    </row>
    <row r="316" spans="1:28" s="1760" customFormat="1" ht="22.5" customHeight="1" thickTop="1" thickBot="1">
      <c r="A316" s="1755">
        <v>1</v>
      </c>
      <c r="B316" s="1756" t="s">
        <v>127</v>
      </c>
      <c r="C316" s="1756" t="s">
        <v>209</v>
      </c>
      <c r="D316" s="1756" t="s">
        <v>144</v>
      </c>
      <c r="E316" s="1756" t="s">
        <v>134</v>
      </c>
      <c r="F316" s="1756"/>
      <c r="G316" s="1756"/>
      <c r="H316" s="1756"/>
      <c r="I316" s="1756"/>
      <c r="J316" s="1756"/>
      <c r="K316" s="1806" t="s">
        <v>1125</v>
      </c>
      <c r="L316" s="1758">
        <f t="shared" ref="L316:V316" si="737">SUM(L317:L346)</f>
        <v>331242317.45999998</v>
      </c>
      <c r="M316" s="1758">
        <f t="shared" ref="M316:N316" si="738">SUM(M317:M346)</f>
        <v>0</v>
      </c>
      <c r="N316" s="1758">
        <f t="shared" si="738"/>
        <v>0</v>
      </c>
      <c r="O316" s="1758">
        <f t="shared" si="591"/>
        <v>331242317.45999998</v>
      </c>
      <c r="P316" s="1758">
        <f t="shared" si="737"/>
        <v>0</v>
      </c>
      <c r="Q316" s="1759">
        <f t="shared" si="731"/>
        <v>0</v>
      </c>
      <c r="R316" s="1758">
        <f t="shared" si="737"/>
        <v>331242317.45999998</v>
      </c>
      <c r="S316" s="1759">
        <f t="shared" si="732"/>
        <v>1</v>
      </c>
      <c r="T316" s="1758">
        <f t="shared" si="737"/>
        <v>0</v>
      </c>
      <c r="U316" s="1759" t="e">
        <f t="shared" si="733"/>
        <v>#DIV/0!</v>
      </c>
      <c r="V316" s="1805">
        <f t="shared" si="737"/>
        <v>0</v>
      </c>
      <c r="W316" s="1759">
        <f t="shared" si="734"/>
        <v>0</v>
      </c>
      <c r="X316" s="1805">
        <f t="shared" ref="X316:Z316" si="739">SUM(X317:X346)</f>
        <v>236078655.81999999</v>
      </c>
      <c r="Y316" s="1805">
        <f t="shared" si="739"/>
        <v>104438257</v>
      </c>
      <c r="Z316" s="1805">
        <f t="shared" si="739"/>
        <v>131640398.82000001</v>
      </c>
      <c r="AA316" s="1805">
        <f t="shared" si="596"/>
        <v>236078655.81999999</v>
      </c>
      <c r="AB316" s="1874">
        <f t="shared" si="597"/>
        <v>1</v>
      </c>
    </row>
    <row r="317" spans="1:28" ht="22.5" customHeight="1" thickTop="1" thickBot="1">
      <c r="A317" s="1772">
        <v>1</v>
      </c>
      <c r="B317" s="1773" t="s">
        <v>127</v>
      </c>
      <c r="C317" s="1773" t="s">
        <v>209</v>
      </c>
      <c r="D317" s="1773" t="s">
        <v>144</v>
      </c>
      <c r="E317" s="1773" t="s">
        <v>134</v>
      </c>
      <c r="F317" s="1773" t="s">
        <v>129</v>
      </c>
      <c r="G317" s="1773"/>
      <c r="H317" s="1773"/>
      <c r="I317" s="1773"/>
      <c r="J317" s="1773"/>
      <c r="K317" s="1917" t="s">
        <v>1863</v>
      </c>
      <c r="L317" s="1918">
        <v>331242317.45999998</v>
      </c>
      <c r="M317" s="1918"/>
      <c r="N317" s="1918"/>
      <c r="O317" s="1918">
        <f t="shared" si="591"/>
        <v>331242317.45999998</v>
      </c>
      <c r="P317" s="1774">
        <f t="shared" si="725"/>
        <v>0</v>
      </c>
      <c r="Q317" s="1775">
        <v>0</v>
      </c>
      <c r="R317" s="1918">
        <f t="shared" si="726"/>
        <v>331242317.45999998</v>
      </c>
      <c r="S317" s="1775">
        <v>1</v>
      </c>
      <c r="T317" s="1774">
        <f t="shared" si="727"/>
        <v>0</v>
      </c>
      <c r="U317" s="1775"/>
      <c r="V317" s="1777">
        <f t="shared" si="728"/>
        <v>0</v>
      </c>
      <c r="W317" s="1775"/>
      <c r="X317" s="1777">
        <f>+AA317</f>
        <v>236078655.81999999</v>
      </c>
      <c r="Y317" s="1777">
        <f>+'[8]INGRESOS CRA OCT2022'!P57</f>
        <v>104438257</v>
      </c>
      <c r="Z317" s="1777">
        <f>+'[8]INGRESOS CRA OCT2022'!Y57</f>
        <v>131640398.82000001</v>
      </c>
      <c r="AA317" s="1919">
        <f t="shared" si="596"/>
        <v>236078655.81999999</v>
      </c>
      <c r="AB317" s="1877">
        <f t="shared" si="597"/>
        <v>1</v>
      </c>
    </row>
    <row r="318" spans="1:28" ht="22.5" hidden="1" customHeight="1" thickTop="1" thickBot="1">
      <c r="A318" s="1772">
        <v>1</v>
      </c>
      <c r="B318" s="1773" t="s">
        <v>127</v>
      </c>
      <c r="C318" s="1773" t="s">
        <v>209</v>
      </c>
      <c r="D318" s="1773" t="s">
        <v>144</v>
      </c>
      <c r="E318" s="1773" t="s">
        <v>134</v>
      </c>
      <c r="F318" s="1773" t="s">
        <v>134</v>
      </c>
      <c r="G318" s="1773"/>
      <c r="H318" s="1773"/>
      <c r="I318" s="1773"/>
      <c r="J318" s="1773"/>
      <c r="K318" s="1776" t="s">
        <v>1864</v>
      </c>
      <c r="L318" s="1774"/>
      <c r="M318" s="1774"/>
      <c r="N318" s="1774"/>
      <c r="O318" s="1774">
        <f t="shared" si="591"/>
        <v>0</v>
      </c>
      <c r="P318" s="1777">
        <f t="shared" si="725"/>
        <v>0</v>
      </c>
      <c r="Q318" s="1777"/>
      <c r="R318" s="1777">
        <f t="shared" si="726"/>
        <v>0</v>
      </c>
      <c r="S318" s="1775"/>
      <c r="T318" s="1777">
        <f t="shared" si="727"/>
        <v>0</v>
      </c>
      <c r="U318" s="1775"/>
      <c r="V318" s="1777">
        <f t="shared" si="728"/>
        <v>0</v>
      </c>
      <c r="W318" s="1775"/>
      <c r="X318" s="1777"/>
      <c r="Y318" s="1777"/>
      <c r="Z318" s="1777"/>
      <c r="AA318" s="1777">
        <f t="shared" si="596"/>
        <v>0</v>
      </c>
      <c r="AB318" s="1877" t="e">
        <f t="shared" si="597"/>
        <v>#DIV/0!</v>
      </c>
    </row>
    <row r="319" spans="1:28" ht="22.5" hidden="1" customHeight="1" thickTop="1" thickBot="1">
      <c r="A319" s="1772">
        <v>1</v>
      </c>
      <c r="B319" s="1773" t="s">
        <v>127</v>
      </c>
      <c r="C319" s="1773" t="s">
        <v>209</v>
      </c>
      <c r="D319" s="1773" t="s">
        <v>144</v>
      </c>
      <c r="E319" s="1773" t="s">
        <v>134</v>
      </c>
      <c r="F319" s="1773" t="s">
        <v>139</v>
      </c>
      <c r="G319" s="1773"/>
      <c r="H319" s="1773"/>
      <c r="I319" s="1773"/>
      <c r="J319" s="1773"/>
      <c r="K319" s="1776" t="s">
        <v>1865</v>
      </c>
      <c r="L319" s="1774"/>
      <c r="M319" s="1774"/>
      <c r="N319" s="1774"/>
      <c r="O319" s="1774">
        <f t="shared" si="591"/>
        <v>0</v>
      </c>
      <c r="P319" s="1777">
        <f t="shared" si="725"/>
        <v>0</v>
      </c>
      <c r="Q319" s="1775"/>
      <c r="R319" s="1777">
        <f t="shared" si="726"/>
        <v>0</v>
      </c>
      <c r="S319" s="1775"/>
      <c r="T319" s="1777">
        <f t="shared" si="727"/>
        <v>0</v>
      </c>
      <c r="U319" s="1775"/>
      <c r="V319" s="1777">
        <f t="shared" si="728"/>
        <v>0</v>
      </c>
      <c r="W319" s="1775"/>
      <c r="X319" s="1777"/>
      <c r="Y319" s="1777"/>
      <c r="Z319" s="1777"/>
      <c r="AA319" s="1777">
        <f t="shared" si="596"/>
        <v>0</v>
      </c>
      <c r="AB319" s="1877" t="e">
        <f t="shared" si="597"/>
        <v>#DIV/0!</v>
      </c>
    </row>
    <row r="320" spans="1:28" ht="22.5" hidden="1" customHeight="1" thickTop="1" thickBot="1">
      <c r="A320" s="1772">
        <v>1</v>
      </c>
      <c r="B320" s="1773" t="s">
        <v>127</v>
      </c>
      <c r="C320" s="1773" t="s">
        <v>209</v>
      </c>
      <c r="D320" s="1773" t="s">
        <v>144</v>
      </c>
      <c r="E320" s="1773" t="s">
        <v>134</v>
      </c>
      <c r="F320" s="1773" t="s">
        <v>140</v>
      </c>
      <c r="G320" s="1773"/>
      <c r="H320" s="1773"/>
      <c r="I320" s="1773"/>
      <c r="J320" s="1773"/>
      <c r="K320" s="1776" t="s">
        <v>1866</v>
      </c>
      <c r="L320" s="1774"/>
      <c r="M320" s="1774"/>
      <c r="N320" s="1774"/>
      <c r="O320" s="1774">
        <f t="shared" si="591"/>
        <v>0</v>
      </c>
      <c r="P320" s="1777">
        <f t="shared" si="725"/>
        <v>0</v>
      </c>
      <c r="Q320" s="1775"/>
      <c r="R320" s="1777">
        <f t="shared" si="726"/>
        <v>0</v>
      </c>
      <c r="S320" s="1775"/>
      <c r="T320" s="1777">
        <f t="shared" si="727"/>
        <v>0</v>
      </c>
      <c r="U320" s="1775"/>
      <c r="V320" s="1777">
        <f t="shared" si="728"/>
        <v>0</v>
      </c>
      <c r="W320" s="1775"/>
      <c r="X320" s="1777"/>
      <c r="Y320" s="1777"/>
      <c r="Z320" s="1777"/>
      <c r="AA320" s="1777">
        <f t="shared" si="596"/>
        <v>0</v>
      </c>
      <c r="AB320" s="1877" t="e">
        <f t="shared" si="597"/>
        <v>#DIV/0!</v>
      </c>
    </row>
    <row r="321" spans="1:28" ht="22.5" hidden="1" customHeight="1" thickTop="1" thickBot="1">
      <c r="A321" s="1772">
        <v>1</v>
      </c>
      <c r="B321" s="1773" t="s">
        <v>127</v>
      </c>
      <c r="C321" s="1773" t="s">
        <v>209</v>
      </c>
      <c r="D321" s="1773" t="s">
        <v>144</v>
      </c>
      <c r="E321" s="1773" t="s">
        <v>134</v>
      </c>
      <c r="F321" s="1773" t="s">
        <v>144</v>
      </c>
      <c r="G321" s="1773"/>
      <c r="H321" s="1773"/>
      <c r="I321" s="1773"/>
      <c r="J321" s="1773"/>
      <c r="K321" s="1776" t="s">
        <v>1867</v>
      </c>
      <c r="L321" s="1774"/>
      <c r="M321" s="1774"/>
      <c r="N321" s="1774"/>
      <c r="O321" s="1774">
        <f t="shared" si="591"/>
        <v>0</v>
      </c>
      <c r="P321" s="1777">
        <f t="shared" si="725"/>
        <v>0</v>
      </c>
      <c r="Q321" s="1775"/>
      <c r="R321" s="1777">
        <f t="shared" si="726"/>
        <v>0</v>
      </c>
      <c r="S321" s="1775"/>
      <c r="T321" s="1777">
        <f t="shared" si="727"/>
        <v>0</v>
      </c>
      <c r="U321" s="1775"/>
      <c r="V321" s="1777">
        <f t="shared" si="728"/>
        <v>0</v>
      </c>
      <c r="W321" s="1775"/>
      <c r="X321" s="1777"/>
      <c r="Y321" s="1777"/>
      <c r="Z321" s="1777"/>
      <c r="AA321" s="1777">
        <f t="shared" si="596"/>
        <v>0</v>
      </c>
      <c r="AB321" s="1877" t="e">
        <f t="shared" si="597"/>
        <v>#DIV/0!</v>
      </c>
    </row>
    <row r="322" spans="1:28" ht="22.5" hidden="1" customHeight="1" thickTop="1" thickBot="1">
      <c r="A322" s="1772">
        <v>1</v>
      </c>
      <c r="B322" s="1773" t="s">
        <v>127</v>
      </c>
      <c r="C322" s="1773" t="s">
        <v>209</v>
      </c>
      <c r="D322" s="1773" t="s">
        <v>144</v>
      </c>
      <c r="E322" s="1773" t="s">
        <v>134</v>
      </c>
      <c r="F322" s="1773" t="s">
        <v>145</v>
      </c>
      <c r="G322" s="1773"/>
      <c r="H322" s="1773"/>
      <c r="I322" s="1773"/>
      <c r="J322" s="1773"/>
      <c r="K322" s="1776" t="s">
        <v>1868</v>
      </c>
      <c r="L322" s="1774"/>
      <c r="M322" s="1774"/>
      <c r="N322" s="1774"/>
      <c r="O322" s="1774">
        <f t="shared" si="591"/>
        <v>0</v>
      </c>
      <c r="P322" s="1777">
        <f t="shared" si="725"/>
        <v>0</v>
      </c>
      <c r="Q322" s="1775"/>
      <c r="R322" s="1777">
        <f t="shared" si="726"/>
        <v>0</v>
      </c>
      <c r="S322" s="1775"/>
      <c r="T322" s="1777">
        <f t="shared" si="727"/>
        <v>0</v>
      </c>
      <c r="U322" s="1775"/>
      <c r="V322" s="1777">
        <f t="shared" si="728"/>
        <v>0</v>
      </c>
      <c r="W322" s="1775"/>
      <c r="X322" s="1777"/>
      <c r="Y322" s="1777"/>
      <c r="Z322" s="1777"/>
      <c r="AA322" s="1777">
        <f t="shared" si="596"/>
        <v>0</v>
      </c>
      <c r="AB322" s="1877" t="e">
        <f t="shared" si="597"/>
        <v>#DIV/0!</v>
      </c>
    </row>
    <row r="323" spans="1:28" ht="22.5" hidden="1" customHeight="1" thickTop="1" thickBot="1">
      <c r="A323" s="1772">
        <v>1</v>
      </c>
      <c r="B323" s="1773" t="s">
        <v>127</v>
      </c>
      <c r="C323" s="1773" t="s">
        <v>209</v>
      </c>
      <c r="D323" s="1773" t="s">
        <v>144</v>
      </c>
      <c r="E323" s="1773" t="s">
        <v>134</v>
      </c>
      <c r="F323" s="1773" t="s">
        <v>146</v>
      </c>
      <c r="G323" s="1773"/>
      <c r="H323" s="1773"/>
      <c r="I323" s="1773"/>
      <c r="J323" s="1773"/>
      <c r="K323" s="1776" t="s">
        <v>1869</v>
      </c>
      <c r="L323" s="1774"/>
      <c r="M323" s="1774"/>
      <c r="N323" s="1774"/>
      <c r="O323" s="1774">
        <f t="shared" si="591"/>
        <v>0</v>
      </c>
      <c r="P323" s="1777">
        <f t="shared" si="725"/>
        <v>0</v>
      </c>
      <c r="Q323" s="1775"/>
      <c r="R323" s="1777">
        <f t="shared" si="726"/>
        <v>0</v>
      </c>
      <c r="S323" s="1775"/>
      <c r="T323" s="1777">
        <f t="shared" si="727"/>
        <v>0</v>
      </c>
      <c r="U323" s="1775"/>
      <c r="V323" s="1777">
        <f t="shared" si="728"/>
        <v>0</v>
      </c>
      <c r="W323" s="1775"/>
      <c r="X323" s="1777"/>
      <c r="Y323" s="1777"/>
      <c r="Z323" s="1777"/>
      <c r="AA323" s="1777">
        <f t="shared" si="596"/>
        <v>0</v>
      </c>
      <c r="AB323" s="1877" t="e">
        <f t="shared" si="597"/>
        <v>#DIV/0!</v>
      </c>
    </row>
    <row r="324" spans="1:28" ht="22.5" hidden="1" customHeight="1" thickTop="1" thickBot="1">
      <c r="A324" s="1772">
        <v>1</v>
      </c>
      <c r="B324" s="1773" t="s">
        <v>127</v>
      </c>
      <c r="C324" s="1773" t="s">
        <v>209</v>
      </c>
      <c r="D324" s="1773" t="s">
        <v>144</v>
      </c>
      <c r="E324" s="1773" t="s">
        <v>134</v>
      </c>
      <c r="F324" s="1773" t="s">
        <v>147</v>
      </c>
      <c r="G324" s="1773"/>
      <c r="H324" s="1773"/>
      <c r="I324" s="1773"/>
      <c r="J324" s="1773"/>
      <c r="K324" s="1776" t="s">
        <v>1870</v>
      </c>
      <c r="L324" s="1774"/>
      <c r="M324" s="1774"/>
      <c r="N324" s="1774"/>
      <c r="O324" s="1774">
        <f t="shared" si="591"/>
        <v>0</v>
      </c>
      <c r="P324" s="1777">
        <f t="shared" si="725"/>
        <v>0</v>
      </c>
      <c r="Q324" s="1775"/>
      <c r="R324" s="1777">
        <f t="shared" si="726"/>
        <v>0</v>
      </c>
      <c r="S324" s="1775"/>
      <c r="T324" s="1777">
        <f t="shared" si="727"/>
        <v>0</v>
      </c>
      <c r="U324" s="1775"/>
      <c r="V324" s="1777">
        <f t="shared" si="728"/>
        <v>0</v>
      </c>
      <c r="W324" s="1775"/>
      <c r="X324" s="1777"/>
      <c r="Y324" s="1777"/>
      <c r="Z324" s="1777"/>
      <c r="AA324" s="1777">
        <f t="shared" si="596"/>
        <v>0</v>
      </c>
      <c r="AB324" s="1877" t="e">
        <f t="shared" si="597"/>
        <v>#DIV/0!</v>
      </c>
    </row>
    <row r="325" spans="1:28" ht="22.5" hidden="1" customHeight="1" thickTop="1" thickBot="1">
      <c r="A325" s="1772">
        <v>1</v>
      </c>
      <c r="B325" s="1773" t="s">
        <v>127</v>
      </c>
      <c r="C325" s="1773" t="s">
        <v>209</v>
      </c>
      <c r="D325" s="1773" t="s">
        <v>144</v>
      </c>
      <c r="E325" s="1773" t="s">
        <v>134</v>
      </c>
      <c r="F325" s="1773" t="s">
        <v>180</v>
      </c>
      <c r="G325" s="1773"/>
      <c r="H325" s="1773"/>
      <c r="I325" s="1773"/>
      <c r="J325" s="1773"/>
      <c r="K325" s="1776" t="s">
        <v>1871</v>
      </c>
      <c r="L325" s="1774"/>
      <c r="M325" s="1774"/>
      <c r="N325" s="1774"/>
      <c r="O325" s="1774">
        <f t="shared" si="591"/>
        <v>0</v>
      </c>
      <c r="P325" s="1777">
        <f t="shared" si="725"/>
        <v>0</v>
      </c>
      <c r="Q325" s="1775"/>
      <c r="R325" s="1777">
        <f t="shared" si="726"/>
        <v>0</v>
      </c>
      <c r="S325" s="1775"/>
      <c r="T325" s="1777">
        <f t="shared" si="727"/>
        <v>0</v>
      </c>
      <c r="U325" s="1775"/>
      <c r="V325" s="1777">
        <f t="shared" si="728"/>
        <v>0</v>
      </c>
      <c r="W325" s="1775"/>
      <c r="X325" s="1777"/>
      <c r="Y325" s="1777"/>
      <c r="Z325" s="1777"/>
      <c r="AA325" s="1777">
        <f t="shared" si="596"/>
        <v>0</v>
      </c>
      <c r="AB325" s="1877" t="e">
        <f t="shared" si="597"/>
        <v>#DIV/0!</v>
      </c>
    </row>
    <row r="326" spans="1:28" ht="22.5" hidden="1" customHeight="1" thickTop="1" thickBot="1">
      <c r="A326" s="1772">
        <v>1</v>
      </c>
      <c r="B326" s="1773" t="s">
        <v>127</v>
      </c>
      <c r="C326" s="1773" t="s">
        <v>209</v>
      </c>
      <c r="D326" s="1773" t="s">
        <v>144</v>
      </c>
      <c r="E326" s="1773" t="s">
        <v>134</v>
      </c>
      <c r="F326" s="1773" t="s">
        <v>181</v>
      </c>
      <c r="G326" s="1773"/>
      <c r="H326" s="1773"/>
      <c r="I326" s="1773"/>
      <c r="J326" s="1773"/>
      <c r="K326" s="1776" t="s">
        <v>1872</v>
      </c>
      <c r="L326" s="1774"/>
      <c r="M326" s="1774"/>
      <c r="N326" s="1774"/>
      <c r="O326" s="1774">
        <f t="shared" si="591"/>
        <v>0</v>
      </c>
      <c r="P326" s="1777">
        <f t="shared" si="725"/>
        <v>0</v>
      </c>
      <c r="Q326" s="1775"/>
      <c r="R326" s="1777">
        <f t="shared" si="726"/>
        <v>0</v>
      </c>
      <c r="S326" s="1775"/>
      <c r="T326" s="1777">
        <f t="shared" si="727"/>
        <v>0</v>
      </c>
      <c r="U326" s="1775"/>
      <c r="V326" s="1777">
        <f t="shared" si="728"/>
        <v>0</v>
      </c>
      <c r="W326" s="1775"/>
      <c r="X326" s="1777"/>
      <c r="Y326" s="1777"/>
      <c r="Z326" s="1777"/>
      <c r="AA326" s="1777">
        <f t="shared" si="596"/>
        <v>0</v>
      </c>
      <c r="AB326" s="1877" t="e">
        <f t="shared" si="597"/>
        <v>#DIV/0!</v>
      </c>
    </row>
    <row r="327" spans="1:28" ht="22.5" hidden="1" customHeight="1" thickTop="1" thickBot="1">
      <c r="A327" s="1772">
        <v>1</v>
      </c>
      <c r="B327" s="1773" t="s">
        <v>127</v>
      </c>
      <c r="C327" s="1773" t="s">
        <v>209</v>
      </c>
      <c r="D327" s="1773" t="s">
        <v>144</v>
      </c>
      <c r="E327" s="1773" t="s">
        <v>134</v>
      </c>
      <c r="F327" s="1773" t="s">
        <v>182</v>
      </c>
      <c r="G327" s="1773"/>
      <c r="H327" s="1773"/>
      <c r="I327" s="1773"/>
      <c r="J327" s="1773"/>
      <c r="K327" s="1776" t="s">
        <v>1873</v>
      </c>
      <c r="L327" s="1774"/>
      <c r="M327" s="1774"/>
      <c r="N327" s="1774"/>
      <c r="O327" s="1774">
        <f t="shared" si="591"/>
        <v>0</v>
      </c>
      <c r="P327" s="1777">
        <f t="shared" si="725"/>
        <v>0</v>
      </c>
      <c r="Q327" s="1775"/>
      <c r="R327" s="1777">
        <f t="shared" si="726"/>
        <v>0</v>
      </c>
      <c r="S327" s="1775"/>
      <c r="T327" s="1777">
        <f t="shared" si="727"/>
        <v>0</v>
      </c>
      <c r="U327" s="1775"/>
      <c r="V327" s="1777">
        <f t="shared" si="728"/>
        <v>0</v>
      </c>
      <c r="W327" s="1775"/>
      <c r="X327" s="1777"/>
      <c r="Y327" s="1777"/>
      <c r="Z327" s="1777"/>
      <c r="AA327" s="1777">
        <f t="shared" si="596"/>
        <v>0</v>
      </c>
      <c r="AB327" s="1877" t="e">
        <f t="shared" si="597"/>
        <v>#DIV/0!</v>
      </c>
    </row>
    <row r="328" spans="1:28" ht="22.5" hidden="1" customHeight="1" thickTop="1" thickBot="1">
      <c r="A328" s="1772">
        <v>1</v>
      </c>
      <c r="B328" s="1773" t="s">
        <v>127</v>
      </c>
      <c r="C328" s="1773" t="s">
        <v>209</v>
      </c>
      <c r="D328" s="1773" t="s">
        <v>144</v>
      </c>
      <c r="E328" s="1773" t="s">
        <v>134</v>
      </c>
      <c r="F328" s="1773" t="s">
        <v>183</v>
      </c>
      <c r="G328" s="1773"/>
      <c r="H328" s="1773"/>
      <c r="I328" s="1773"/>
      <c r="J328" s="1773"/>
      <c r="K328" s="1776" t="s">
        <v>1874</v>
      </c>
      <c r="L328" s="1774"/>
      <c r="M328" s="1774"/>
      <c r="N328" s="1774"/>
      <c r="O328" s="1774">
        <f t="shared" ref="O328:O391" si="740">+L328+M328-N328</f>
        <v>0</v>
      </c>
      <c r="P328" s="1777">
        <f t="shared" si="725"/>
        <v>0</v>
      </c>
      <c r="Q328" s="1775"/>
      <c r="R328" s="1777">
        <f t="shared" si="726"/>
        <v>0</v>
      </c>
      <c r="S328" s="1775"/>
      <c r="T328" s="1777">
        <f t="shared" si="727"/>
        <v>0</v>
      </c>
      <c r="U328" s="1775"/>
      <c r="V328" s="1777">
        <f t="shared" si="728"/>
        <v>0</v>
      </c>
      <c r="W328" s="1775"/>
      <c r="X328" s="1777"/>
      <c r="Y328" s="1777"/>
      <c r="Z328" s="1777"/>
      <c r="AA328" s="1777">
        <f t="shared" ref="AA328:AA391" si="741">+Y328+Z328</f>
        <v>0</v>
      </c>
      <c r="AB328" s="1877" t="e">
        <f t="shared" ref="AB328:AB391" si="742">+AA328/X328</f>
        <v>#DIV/0!</v>
      </c>
    </row>
    <row r="329" spans="1:28" ht="22.5" hidden="1" customHeight="1" thickTop="1" thickBot="1">
      <c r="A329" s="1772">
        <v>1</v>
      </c>
      <c r="B329" s="1773" t="s">
        <v>127</v>
      </c>
      <c r="C329" s="1773" t="s">
        <v>209</v>
      </c>
      <c r="D329" s="1773" t="s">
        <v>144</v>
      </c>
      <c r="E329" s="1773" t="s">
        <v>134</v>
      </c>
      <c r="F329" s="1773" t="s">
        <v>193</v>
      </c>
      <c r="G329" s="1773"/>
      <c r="H329" s="1773"/>
      <c r="I329" s="1773"/>
      <c r="J329" s="1773"/>
      <c r="K329" s="1776" t="s">
        <v>1875</v>
      </c>
      <c r="L329" s="1774"/>
      <c r="M329" s="1774"/>
      <c r="N329" s="1774"/>
      <c r="O329" s="1774">
        <f t="shared" si="740"/>
        <v>0</v>
      </c>
      <c r="P329" s="1777">
        <f t="shared" si="725"/>
        <v>0</v>
      </c>
      <c r="Q329" s="1775"/>
      <c r="R329" s="1777">
        <f t="shared" si="726"/>
        <v>0</v>
      </c>
      <c r="S329" s="1775"/>
      <c r="T329" s="1777">
        <f t="shared" si="727"/>
        <v>0</v>
      </c>
      <c r="U329" s="1775"/>
      <c r="V329" s="1777">
        <f t="shared" si="728"/>
        <v>0</v>
      </c>
      <c r="W329" s="1775"/>
      <c r="X329" s="1777"/>
      <c r="Y329" s="1777"/>
      <c r="Z329" s="1777"/>
      <c r="AA329" s="1777">
        <f t="shared" si="741"/>
        <v>0</v>
      </c>
      <c r="AB329" s="1877" t="e">
        <f t="shared" si="742"/>
        <v>#DIV/0!</v>
      </c>
    </row>
    <row r="330" spans="1:28" ht="22.5" hidden="1" customHeight="1" thickTop="1" thickBot="1">
      <c r="A330" s="1772">
        <v>1</v>
      </c>
      <c r="B330" s="1773" t="s">
        <v>127</v>
      </c>
      <c r="C330" s="1773" t="s">
        <v>209</v>
      </c>
      <c r="D330" s="1773" t="s">
        <v>144</v>
      </c>
      <c r="E330" s="1773" t="s">
        <v>134</v>
      </c>
      <c r="F330" s="1773" t="s">
        <v>194</v>
      </c>
      <c r="G330" s="1773"/>
      <c r="H330" s="1773"/>
      <c r="I330" s="1773"/>
      <c r="J330" s="1773"/>
      <c r="K330" s="1776" t="s">
        <v>1876</v>
      </c>
      <c r="L330" s="1774"/>
      <c r="M330" s="1774"/>
      <c r="N330" s="1774"/>
      <c r="O330" s="1774">
        <f t="shared" si="740"/>
        <v>0</v>
      </c>
      <c r="P330" s="1777">
        <f t="shared" si="725"/>
        <v>0</v>
      </c>
      <c r="Q330" s="1775"/>
      <c r="R330" s="1777">
        <f t="shared" si="726"/>
        <v>0</v>
      </c>
      <c r="S330" s="1775"/>
      <c r="T330" s="1777">
        <f t="shared" si="727"/>
        <v>0</v>
      </c>
      <c r="U330" s="1775"/>
      <c r="V330" s="1777">
        <f t="shared" si="728"/>
        <v>0</v>
      </c>
      <c r="W330" s="1775"/>
      <c r="X330" s="1777"/>
      <c r="Y330" s="1777"/>
      <c r="Z330" s="1777"/>
      <c r="AA330" s="1777">
        <f t="shared" si="741"/>
        <v>0</v>
      </c>
      <c r="AB330" s="1877" t="e">
        <f t="shared" si="742"/>
        <v>#DIV/0!</v>
      </c>
    </row>
    <row r="331" spans="1:28" ht="22.5" hidden="1" customHeight="1" thickTop="1" thickBot="1">
      <c r="A331" s="1772">
        <v>1</v>
      </c>
      <c r="B331" s="1773" t="s">
        <v>127</v>
      </c>
      <c r="C331" s="1773" t="s">
        <v>209</v>
      </c>
      <c r="D331" s="1773" t="s">
        <v>144</v>
      </c>
      <c r="E331" s="1773" t="s">
        <v>134</v>
      </c>
      <c r="F331" s="1773" t="s">
        <v>1877</v>
      </c>
      <c r="G331" s="1773"/>
      <c r="H331" s="1773"/>
      <c r="I331" s="1773"/>
      <c r="J331" s="1773"/>
      <c r="K331" s="1776" t="s">
        <v>1878</v>
      </c>
      <c r="L331" s="1774"/>
      <c r="M331" s="1774"/>
      <c r="N331" s="1774"/>
      <c r="O331" s="1774">
        <f t="shared" si="740"/>
        <v>0</v>
      </c>
      <c r="P331" s="1777">
        <f t="shared" si="725"/>
        <v>0</v>
      </c>
      <c r="Q331" s="1775"/>
      <c r="R331" s="1777">
        <f t="shared" si="726"/>
        <v>0</v>
      </c>
      <c r="S331" s="1775"/>
      <c r="T331" s="1777">
        <f t="shared" si="727"/>
        <v>0</v>
      </c>
      <c r="U331" s="1775"/>
      <c r="V331" s="1777">
        <f t="shared" si="728"/>
        <v>0</v>
      </c>
      <c r="W331" s="1775"/>
      <c r="X331" s="1777"/>
      <c r="Y331" s="1777"/>
      <c r="Z331" s="1777"/>
      <c r="AA331" s="1777">
        <f t="shared" si="741"/>
        <v>0</v>
      </c>
      <c r="AB331" s="1877" t="e">
        <f t="shared" si="742"/>
        <v>#DIV/0!</v>
      </c>
    </row>
    <row r="332" spans="1:28" ht="22.5" hidden="1" customHeight="1" thickTop="1" thickBot="1">
      <c r="A332" s="1772">
        <v>1</v>
      </c>
      <c r="B332" s="1773" t="s">
        <v>127</v>
      </c>
      <c r="C332" s="1773" t="s">
        <v>209</v>
      </c>
      <c r="D332" s="1773" t="s">
        <v>144</v>
      </c>
      <c r="E332" s="1773" t="s">
        <v>134</v>
      </c>
      <c r="F332" s="1773" t="s">
        <v>1879</v>
      </c>
      <c r="G332" s="1773"/>
      <c r="H332" s="1773"/>
      <c r="I332" s="1773"/>
      <c r="J332" s="1773"/>
      <c r="K332" s="1776" t="s">
        <v>1880</v>
      </c>
      <c r="L332" s="1774"/>
      <c r="M332" s="1774"/>
      <c r="N332" s="1774"/>
      <c r="O332" s="1774">
        <f t="shared" si="740"/>
        <v>0</v>
      </c>
      <c r="P332" s="1777">
        <f t="shared" si="725"/>
        <v>0</v>
      </c>
      <c r="Q332" s="1775"/>
      <c r="R332" s="1777">
        <f t="shared" si="726"/>
        <v>0</v>
      </c>
      <c r="S332" s="1775"/>
      <c r="T332" s="1777">
        <f t="shared" si="727"/>
        <v>0</v>
      </c>
      <c r="U332" s="1775"/>
      <c r="V332" s="1777">
        <f t="shared" si="728"/>
        <v>0</v>
      </c>
      <c r="W332" s="1775"/>
      <c r="X332" s="1777"/>
      <c r="Y332" s="1777"/>
      <c r="Z332" s="1777"/>
      <c r="AA332" s="1777">
        <f t="shared" si="741"/>
        <v>0</v>
      </c>
      <c r="AB332" s="1877" t="e">
        <f t="shared" si="742"/>
        <v>#DIV/0!</v>
      </c>
    </row>
    <row r="333" spans="1:28" ht="22.5" hidden="1" customHeight="1" thickTop="1" thickBot="1">
      <c r="A333" s="1772">
        <v>1</v>
      </c>
      <c r="B333" s="1773" t="s">
        <v>127</v>
      </c>
      <c r="C333" s="1773" t="s">
        <v>209</v>
      </c>
      <c r="D333" s="1773" t="s">
        <v>144</v>
      </c>
      <c r="E333" s="1773" t="s">
        <v>134</v>
      </c>
      <c r="F333" s="1773" t="s">
        <v>1881</v>
      </c>
      <c r="G333" s="1773"/>
      <c r="H333" s="1773"/>
      <c r="I333" s="1773"/>
      <c r="J333" s="1773"/>
      <c r="K333" s="1776" t="s">
        <v>1882</v>
      </c>
      <c r="L333" s="1774"/>
      <c r="M333" s="1774"/>
      <c r="N333" s="1774"/>
      <c r="O333" s="1774">
        <f t="shared" si="740"/>
        <v>0</v>
      </c>
      <c r="P333" s="1777">
        <f t="shared" si="725"/>
        <v>0</v>
      </c>
      <c r="Q333" s="1775"/>
      <c r="R333" s="1777">
        <f t="shared" si="726"/>
        <v>0</v>
      </c>
      <c r="S333" s="1775"/>
      <c r="T333" s="1777">
        <f t="shared" si="727"/>
        <v>0</v>
      </c>
      <c r="U333" s="1775"/>
      <c r="V333" s="1777">
        <f t="shared" si="728"/>
        <v>0</v>
      </c>
      <c r="W333" s="1775"/>
      <c r="X333" s="1777"/>
      <c r="Y333" s="1777"/>
      <c r="Z333" s="1777"/>
      <c r="AA333" s="1777">
        <f t="shared" si="741"/>
        <v>0</v>
      </c>
      <c r="AB333" s="1877" t="e">
        <f t="shared" si="742"/>
        <v>#DIV/0!</v>
      </c>
    </row>
    <row r="334" spans="1:28" ht="22.5" hidden="1" customHeight="1" thickTop="1" thickBot="1">
      <c r="A334" s="1772">
        <v>1</v>
      </c>
      <c r="B334" s="1773" t="s">
        <v>127</v>
      </c>
      <c r="C334" s="1773" t="s">
        <v>209</v>
      </c>
      <c r="D334" s="1773" t="s">
        <v>144</v>
      </c>
      <c r="E334" s="1773" t="s">
        <v>134</v>
      </c>
      <c r="F334" s="1773" t="s">
        <v>1883</v>
      </c>
      <c r="G334" s="1773"/>
      <c r="H334" s="1773"/>
      <c r="I334" s="1773"/>
      <c r="J334" s="1773"/>
      <c r="K334" s="1776" t="s">
        <v>1884</v>
      </c>
      <c r="L334" s="1774"/>
      <c r="M334" s="1774"/>
      <c r="N334" s="1774"/>
      <c r="O334" s="1774">
        <f t="shared" si="740"/>
        <v>0</v>
      </c>
      <c r="P334" s="1777">
        <f t="shared" si="725"/>
        <v>0</v>
      </c>
      <c r="Q334" s="1775"/>
      <c r="R334" s="1777">
        <f t="shared" si="726"/>
        <v>0</v>
      </c>
      <c r="S334" s="1775"/>
      <c r="T334" s="1777">
        <f t="shared" si="727"/>
        <v>0</v>
      </c>
      <c r="U334" s="1775"/>
      <c r="V334" s="1777">
        <f t="shared" si="728"/>
        <v>0</v>
      </c>
      <c r="W334" s="1775"/>
      <c r="X334" s="1777"/>
      <c r="Y334" s="1777"/>
      <c r="Z334" s="1777"/>
      <c r="AA334" s="1777">
        <f t="shared" si="741"/>
        <v>0</v>
      </c>
      <c r="AB334" s="1877" t="e">
        <f t="shared" si="742"/>
        <v>#DIV/0!</v>
      </c>
    </row>
    <row r="335" spans="1:28" ht="22.5" hidden="1" customHeight="1" thickTop="1" thickBot="1">
      <c r="A335" s="1772">
        <v>1</v>
      </c>
      <c r="B335" s="1773" t="s">
        <v>127</v>
      </c>
      <c r="C335" s="1773" t="s">
        <v>209</v>
      </c>
      <c r="D335" s="1773" t="s">
        <v>144</v>
      </c>
      <c r="E335" s="1773" t="s">
        <v>134</v>
      </c>
      <c r="F335" s="1773" t="s">
        <v>1885</v>
      </c>
      <c r="G335" s="1773"/>
      <c r="H335" s="1773"/>
      <c r="I335" s="1773"/>
      <c r="J335" s="1773"/>
      <c r="K335" s="1776" t="s">
        <v>1886</v>
      </c>
      <c r="L335" s="1774"/>
      <c r="M335" s="1774"/>
      <c r="N335" s="1774"/>
      <c r="O335" s="1774">
        <f t="shared" si="740"/>
        <v>0</v>
      </c>
      <c r="P335" s="1777">
        <f t="shared" si="725"/>
        <v>0</v>
      </c>
      <c r="Q335" s="1775"/>
      <c r="R335" s="1777">
        <f t="shared" si="726"/>
        <v>0</v>
      </c>
      <c r="S335" s="1775"/>
      <c r="T335" s="1777">
        <f t="shared" si="727"/>
        <v>0</v>
      </c>
      <c r="U335" s="1775"/>
      <c r="V335" s="1777">
        <f t="shared" si="728"/>
        <v>0</v>
      </c>
      <c r="W335" s="1775"/>
      <c r="X335" s="1777"/>
      <c r="Y335" s="1777"/>
      <c r="Z335" s="1777"/>
      <c r="AA335" s="1777">
        <f t="shared" si="741"/>
        <v>0</v>
      </c>
      <c r="AB335" s="1877" t="e">
        <f t="shared" si="742"/>
        <v>#DIV/0!</v>
      </c>
    </row>
    <row r="336" spans="1:28" ht="22.5" hidden="1" customHeight="1" thickTop="1" thickBot="1">
      <c r="A336" s="1772">
        <v>1</v>
      </c>
      <c r="B336" s="1773" t="s">
        <v>127</v>
      </c>
      <c r="C336" s="1773" t="s">
        <v>209</v>
      </c>
      <c r="D336" s="1773" t="s">
        <v>144</v>
      </c>
      <c r="E336" s="1773" t="s">
        <v>134</v>
      </c>
      <c r="F336" s="1773" t="s">
        <v>1887</v>
      </c>
      <c r="G336" s="1773"/>
      <c r="H336" s="1773"/>
      <c r="I336" s="1773"/>
      <c r="J336" s="1773"/>
      <c r="K336" s="1776" t="s">
        <v>1888</v>
      </c>
      <c r="L336" s="1774"/>
      <c r="M336" s="1774"/>
      <c r="N336" s="1774"/>
      <c r="O336" s="1774">
        <f t="shared" si="740"/>
        <v>0</v>
      </c>
      <c r="P336" s="1777">
        <f t="shared" si="725"/>
        <v>0</v>
      </c>
      <c r="Q336" s="1775"/>
      <c r="R336" s="1777">
        <f t="shared" si="726"/>
        <v>0</v>
      </c>
      <c r="S336" s="1775"/>
      <c r="T336" s="1777">
        <f t="shared" si="727"/>
        <v>0</v>
      </c>
      <c r="U336" s="1775"/>
      <c r="V336" s="1777">
        <f t="shared" si="728"/>
        <v>0</v>
      </c>
      <c r="W336" s="1775"/>
      <c r="X336" s="1777"/>
      <c r="Y336" s="1777"/>
      <c r="Z336" s="1777"/>
      <c r="AA336" s="1777">
        <f t="shared" si="741"/>
        <v>0</v>
      </c>
      <c r="AB336" s="1877" t="e">
        <f t="shared" si="742"/>
        <v>#DIV/0!</v>
      </c>
    </row>
    <row r="337" spans="1:28" ht="22.5" hidden="1" customHeight="1" thickTop="1" thickBot="1">
      <c r="A337" s="1772">
        <v>1</v>
      </c>
      <c r="B337" s="1773" t="s">
        <v>127</v>
      </c>
      <c r="C337" s="1773" t="s">
        <v>209</v>
      </c>
      <c r="D337" s="1773" t="s">
        <v>144</v>
      </c>
      <c r="E337" s="1773" t="s">
        <v>134</v>
      </c>
      <c r="F337" s="1773" t="s">
        <v>1889</v>
      </c>
      <c r="G337" s="1773"/>
      <c r="H337" s="1773"/>
      <c r="I337" s="1773"/>
      <c r="J337" s="1773"/>
      <c r="K337" s="1776" t="s">
        <v>1890</v>
      </c>
      <c r="L337" s="1774"/>
      <c r="M337" s="1774"/>
      <c r="N337" s="1774"/>
      <c r="O337" s="1774">
        <f t="shared" si="740"/>
        <v>0</v>
      </c>
      <c r="P337" s="1777">
        <f t="shared" si="725"/>
        <v>0</v>
      </c>
      <c r="Q337" s="1775"/>
      <c r="R337" s="1777">
        <f t="shared" si="726"/>
        <v>0</v>
      </c>
      <c r="S337" s="1775"/>
      <c r="T337" s="1777">
        <f t="shared" si="727"/>
        <v>0</v>
      </c>
      <c r="U337" s="1775"/>
      <c r="V337" s="1777">
        <f t="shared" si="728"/>
        <v>0</v>
      </c>
      <c r="W337" s="1775"/>
      <c r="X337" s="1777"/>
      <c r="Y337" s="1777"/>
      <c r="Z337" s="1777"/>
      <c r="AA337" s="1777">
        <f t="shared" si="741"/>
        <v>0</v>
      </c>
      <c r="AB337" s="1877" t="e">
        <f t="shared" si="742"/>
        <v>#DIV/0!</v>
      </c>
    </row>
    <row r="338" spans="1:28" ht="22.5" hidden="1" customHeight="1" thickTop="1" thickBot="1">
      <c r="A338" s="1772">
        <v>1</v>
      </c>
      <c r="B338" s="1773" t="s">
        <v>127</v>
      </c>
      <c r="C338" s="1773" t="s">
        <v>209</v>
      </c>
      <c r="D338" s="1773" t="s">
        <v>144</v>
      </c>
      <c r="E338" s="1773" t="s">
        <v>134</v>
      </c>
      <c r="F338" s="1773" t="s">
        <v>1701</v>
      </c>
      <c r="G338" s="1773"/>
      <c r="H338" s="1773"/>
      <c r="I338" s="1773"/>
      <c r="J338" s="1773"/>
      <c r="K338" s="1776" t="s">
        <v>1891</v>
      </c>
      <c r="L338" s="1774"/>
      <c r="M338" s="1774"/>
      <c r="N338" s="1774"/>
      <c r="O338" s="1774">
        <f t="shared" si="740"/>
        <v>0</v>
      </c>
      <c r="P338" s="1777">
        <f t="shared" si="725"/>
        <v>0</v>
      </c>
      <c r="Q338" s="1775"/>
      <c r="R338" s="1777">
        <f t="shared" si="726"/>
        <v>0</v>
      </c>
      <c r="S338" s="1775"/>
      <c r="T338" s="1777">
        <f t="shared" si="727"/>
        <v>0</v>
      </c>
      <c r="U338" s="1775"/>
      <c r="V338" s="1777">
        <f t="shared" si="728"/>
        <v>0</v>
      </c>
      <c r="W338" s="1775"/>
      <c r="X338" s="1777"/>
      <c r="Y338" s="1777"/>
      <c r="Z338" s="1777"/>
      <c r="AA338" s="1777">
        <f t="shared" si="741"/>
        <v>0</v>
      </c>
      <c r="AB338" s="1877" t="e">
        <f t="shared" si="742"/>
        <v>#DIV/0!</v>
      </c>
    </row>
    <row r="339" spans="1:28" ht="22.5" hidden="1" customHeight="1" thickTop="1" thickBot="1">
      <c r="A339" s="1772">
        <v>1</v>
      </c>
      <c r="B339" s="1773" t="s">
        <v>127</v>
      </c>
      <c r="C339" s="1773" t="s">
        <v>209</v>
      </c>
      <c r="D339" s="1773" t="s">
        <v>144</v>
      </c>
      <c r="E339" s="1773" t="s">
        <v>134</v>
      </c>
      <c r="F339" s="1773" t="s">
        <v>1892</v>
      </c>
      <c r="G339" s="1773"/>
      <c r="H339" s="1773"/>
      <c r="I339" s="1773"/>
      <c r="J339" s="1773"/>
      <c r="K339" s="1776" t="s">
        <v>1893</v>
      </c>
      <c r="L339" s="1774"/>
      <c r="M339" s="1774"/>
      <c r="N339" s="1774"/>
      <c r="O339" s="1774">
        <f t="shared" si="740"/>
        <v>0</v>
      </c>
      <c r="P339" s="1777">
        <f t="shared" si="725"/>
        <v>0</v>
      </c>
      <c r="Q339" s="1775"/>
      <c r="R339" s="1777">
        <f t="shared" si="726"/>
        <v>0</v>
      </c>
      <c r="S339" s="1775"/>
      <c r="T339" s="1777">
        <f t="shared" si="727"/>
        <v>0</v>
      </c>
      <c r="U339" s="1775"/>
      <c r="V339" s="1777">
        <f t="shared" si="728"/>
        <v>0</v>
      </c>
      <c r="W339" s="1775"/>
      <c r="X339" s="1777"/>
      <c r="Y339" s="1777"/>
      <c r="Z339" s="1777"/>
      <c r="AA339" s="1777">
        <f t="shared" si="741"/>
        <v>0</v>
      </c>
      <c r="AB339" s="1877" t="e">
        <f t="shared" si="742"/>
        <v>#DIV/0!</v>
      </c>
    </row>
    <row r="340" spans="1:28" ht="22.5" hidden="1" customHeight="1" thickTop="1" thickBot="1">
      <c r="A340" s="1772">
        <v>1</v>
      </c>
      <c r="B340" s="1773" t="s">
        <v>127</v>
      </c>
      <c r="C340" s="1773" t="s">
        <v>209</v>
      </c>
      <c r="D340" s="1773" t="s">
        <v>144</v>
      </c>
      <c r="E340" s="1773" t="s">
        <v>134</v>
      </c>
      <c r="F340" s="1773" t="s">
        <v>1894</v>
      </c>
      <c r="G340" s="1773"/>
      <c r="H340" s="1773"/>
      <c r="I340" s="1773"/>
      <c r="J340" s="1773"/>
      <c r="K340" s="1776" t="s">
        <v>1895</v>
      </c>
      <c r="L340" s="1774"/>
      <c r="M340" s="1774"/>
      <c r="N340" s="1774"/>
      <c r="O340" s="1774">
        <f t="shared" si="740"/>
        <v>0</v>
      </c>
      <c r="P340" s="1777">
        <f t="shared" si="725"/>
        <v>0</v>
      </c>
      <c r="Q340" s="1775"/>
      <c r="R340" s="1777">
        <f t="shared" si="726"/>
        <v>0</v>
      </c>
      <c r="S340" s="1775"/>
      <c r="T340" s="1777">
        <f t="shared" si="727"/>
        <v>0</v>
      </c>
      <c r="U340" s="1775"/>
      <c r="V340" s="1777">
        <f t="shared" si="728"/>
        <v>0</v>
      </c>
      <c r="W340" s="1775"/>
      <c r="X340" s="1777"/>
      <c r="Y340" s="1777"/>
      <c r="Z340" s="1777"/>
      <c r="AA340" s="1777">
        <f t="shared" si="741"/>
        <v>0</v>
      </c>
      <c r="AB340" s="1877" t="e">
        <f t="shared" si="742"/>
        <v>#DIV/0!</v>
      </c>
    </row>
    <row r="341" spans="1:28" ht="22.5" hidden="1" customHeight="1" thickTop="1" thickBot="1">
      <c r="A341" s="1772">
        <v>1</v>
      </c>
      <c r="B341" s="1773" t="s">
        <v>127</v>
      </c>
      <c r="C341" s="1773" t="s">
        <v>209</v>
      </c>
      <c r="D341" s="1773" t="s">
        <v>144</v>
      </c>
      <c r="E341" s="1773" t="s">
        <v>134</v>
      </c>
      <c r="F341" s="1773" t="s">
        <v>1896</v>
      </c>
      <c r="G341" s="1773"/>
      <c r="H341" s="1773"/>
      <c r="I341" s="1773"/>
      <c r="J341" s="1773"/>
      <c r="K341" s="1776" t="s">
        <v>1897</v>
      </c>
      <c r="L341" s="1774"/>
      <c r="M341" s="1774"/>
      <c r="N341" s="1774"/>
      <c r="O341" s="1774">
        <f t="shared" si="740"/>
        <v>0</v>
      </c>
      <c r="P341" s="1777">
        <f t="shared" si="725"/>
        <v>0</v>
      </c>
      <c r="Q341" s="1775"/>
      <c r="R341" s="1777">
        <f t="shared" si="726"/>
        <v>0</v>
      </c>
      <c r="S341" s="1775"/>
      <c r="T341" s="1777">
        <f t="shared" si="727"/>
        <v>0</v>
      </c>
      <c r="U341" s="1775"/>
      <c r="V341" s="1777">
        <f t="shared" si="728"/>
        <v>0</v>
      </c>
      <c r="W341" s="1775"/>
      <c r="X341" s="1777"/>
      <c r="Y341" s="1777"/>
      <c r="Z341" s="1777"/>
      <c r="AA341" s="1777">
        <f t="shared" si="741"/>
        <v>0</v>
      </c>
      <c r="AB341" s="1877" t="e">
        <f t="shared" si="742"/>
        <v>#DIV/0!</v>
      </c>
    </row>
    <row r="342" spans="1:28" ht="22.5" hidden="1" customHeight="1" thickTop="1" thickBot="1">
      <c r="A342" s="1772">
        <v>1</v>
      </c>
      <c r="B342" s="1773" t="s">
        <v>127</v>
      </c>
      <c r="C342" s="1773" t="s">
        <v>209</v>
      </c>
      <c r="D342" s="1773" t="s">
        <v>144</v>
      </c>
      <c r="E342" s="1773" t="s">
        <v>134</v>
      </c>
      <c r="F342" s="1773" t="s">
        <v>1898</v>
      </c>
      <c r="G342" s="1773"/>
      <c r="H342" s="1773"/>
      <c r="I342" s="1773"/>
      <c r="J342" s="1773"/>
      <c r="K342" s="1776" t="s">
        <v>1899</v>
      </c>
      <c r="L342" s="1774"/>
      <c r="M342" s="1774"/>
      <c r="N342" s="1774"/>
      <c r="O342" s="1774">
        <f t="shared" si="740"/>
        <v>0</v>
      </c>
      <c r="P342" s="1777">
        <f t="shared" si="725"/>
        <v>0</v>
      </c>
      <c r="Q342" s="1775"/>
      <c r="R342" s="1777">
        <f t="shared" si="726"/>
        <v>0</v>
      </c>
      <c r="S342" s="1775"/>
      <c r="T342" s="1777">
        <f t="shared" si="727"/>
        <v>0</v>
      </c>
      <c r="U342" s="1775"/>
      <c r="V342" s="1777">
        <f t="shared" si="728"/>
        <v>0</v>
      </c>
      <c r="W342" s="1775"/>
      <c r="X342" s="1777"/>
      <c r="Y342" s="1777"/>
      <c r="Z342" s="1777"/>
      <c r="AA342" s="1777">
        <f t="shared" si="741"/>
        <v>0</v>
      </c>
      <c r="AB342" s="1877" t="e">
        <f t="shared" si="742"/>
        <v>#DIV/0!</v>
      </c>
    </row>
    <row r="343" spans="1:28" ht="22.5" hidden="1" customHeight="1" thickTop="1" thickBot="1">
      <c r="A343" s="1772">
        <v>1</v>
      </c>
      <c r="B343" s="1773" t="s">
        <v>127</v>
      </c>
      <c r="C343" s="1773" t="s">
        <v>209</v>
      </c>
      <c r="D343" s="1773" t="s">
        <v>144</v>
      </c>
      <c r="E343" s="1773" t="s">
        <v>134</v>
      </c>
      <c r="F343" s="1773" t="s">
        <v>1900</v>
      </c>
      <c r="G343" s="1773"/>
      <c r="H343" s="1773"/>
      <c r="I343" s="1773"/>
      <c r="J343" s="1773"/>
      <c r="K343" s="1776" t="s">
        <v>1901</v>
      </c>
      <c r="L343" s="1774"/>
      <c r="M343" s="1774"/>
      <c r="N343" s="1774"/>
      <c r="O343" s="1774">
        <f t="shared" si="740"/>
        <v>0</v>
      </c>
      <c r="P343" s="1777">
        <f t="shared" si="725"/>
        <v>0</v>
      </c>
      <c r="Q343" s="1775"/>
      <c r="R343" s="1777">
        <f t="shared" si="726"/>
        <v>0</v>
      </c>
      <c r="S343" s="1775"/>
      <c r="T343" s="1777">
        <f t="shared" si="727"/>
        <v>0</v>
      </c>
      <c r="U343" s="1775"/>
      <c r="V343" s="1777">
        <f t="shared" si="728"/>
        <v>0</v>
      </c>
      <c r="W343" s="1775"/>
      <c r="X343" s="1777"/>
      <c r="Y343" s="1777"/>
      <c r="Z343" s="1777"/>
      <c r="AA343" s="1777">
        <f t="shared" si="741"/>
        <v>0</v>
      </c>
      <c r="AB343" s="1877" t="e">
        <f t="shared" si="742"/>
        <v>#DIV/0!</v>
      </c>
    </row>
    <row r="344" spans="1:28" ht="22.5" hidden="1" customHeight="1" thickTop="1" thickBot="1">
      <c r="A344" s="1772">
        <v>1</v>
      </c>
      <c r="B344" s="1773" t="s">
        <v>127</v>
      </c>
      <c r="C344" s="1773" t="s">
        <v>209</v>
      </c>
      <c r="D344" s="1773" t="s">
        <v>144</v>
      </c>
      <c r="E344" s="1773" t="s">
        <v>134</v>
      </c>
      <c r="F344" s="1773" t="s">
        <v>1902</v>
      </c>
      <c r="G344" s="1773"/>
      <c r="H344" s="1773"/>
      <c r="I344" s="1773"/>
      <c r="J344" s="1773"/>
      <c r="K344" s="1776" t="s">
        <v>1903</v>
      </c>
      <c r="L344" s="1774"/>
      <c r="M344" s="1774"/>
      <c r="N344" s="1774"/>
      <c r="O344" s="1774">
        <f t="shared" si="740"/>
        <v>0</v>
      </c>
      <c r="P344" s="1777">
        <f t="shared" si="725"/>
        <v>0</v>
      </c>
      <c r="Q344" s="1775"/>
      <c r="R344" s="1777">
        <f t="shared" si="726"/>
        <v>0</v>
      </c>
      <c r="S344" s="1775"/>
      <c r="T344" s="1777">
        <f t="shared" si="727"/>
        <v>0</v>
      </c>
      <c r="U344" s="1775"/>
      <c r="V344" s="1777">
        <f t="shared" si="728"/>
        <v>0</v>
      </c>
      <c r="W344" s="1775"/>
      <c r="X344" s="1777"/>
      <c r="Y344" s="1777"/>
      <c r="Z344" s="1777"/>
      <c r="AA344" s="1777">
        <f t="shared" si="741"/>
        <v>0</v>
      </c>
      <c r="AB344" s="1877" t="e">
        <f t="shared" si="742"/>
        <v>#DIV/0!</v>
      </c>
    </row>
    <row r="345" spans="1:28" ht="22.5" hidden="1" customHeight="1" thickTop="1" thickBot="1">
      <c r="A345" s="1772">
        <v>1</v>
      </c>
      <c r="B345" s="1773" t="s">
        <v>127</v>
      </c>
      <c r="C345" s="1773" t="s">
        <v>209</v>
      </c>
      <c r="D345" s="1773" t="s">
        <v>144</v>
      </c>
      <c r="E345" s="1773" t="s">
        <v>134</v>
      </c>
      <c r="F345" s="1773" t="s">
        <v>1904</v>
      </c>
      <c r="G345" s="1773"/>
      <c r="H345" s="1773"/>
      <c r="I345" s="1773"/>
      <c r="J345" s="1773"/>
      <c r="K345" s="1776" t="s">
        <v>1905</v>
      </c>
      <c r="L345" s="1774"/>
      <c r="M345" s="1774"/>
      <c r="N345" s="1774"/>
      <c r="O345" s="1774">
        <f t="shared" si="740"/>
        <v>0</v>
      </c>
      <c r="P345" s="1777">
        <f t="shared" si="725"/>
        <v>0</v>
      </c>
      <c r="Q345" s="1775"/>
      <c r="R345" s="1777">
        <f t="shared" si="726"/>
        <v>0</v>
      </c>
      <c r="S345" s="1775"/>
      <c r="T345" s="1777">
        <f t="shared" si="727"/>
        <v>0</v>
      </c>
      <c r="U345" s="1775"/>
      <c r="V345" s="1777">
        <f t="shared" si="728"/>
        <v>0</v>
      </c>
      <c r="W345" s="1775"/>
      <c r="X345" s="1777"/>
      <c r="Y345" s="1777"/>
      <c r="Z345" s="1777"/>
      <c r="AA345" s="1777">
        <f t="shared" si="741"/>
        <v>0</v>
      </c>
      <c r="AB345" s="1877" t="e">
        <f t="shared" si="742"/>
        <v>#DIV/0!</v>
      </c>
    </row>
    <row r="346" spans="1:28" ht="22.5" hidden="1" customHeight="1" thickTop="1" thickBot="1">
      <c r="A346" s="1772">
        <v>1</v>
      </c>
      <c r="B346" s="1773" t="s">
        <v>127</v>
      </c>
      <c r="C346" s="1773" t="s">
        <v>209</v>
      </c>
      <c r="D346" s="1773" t="s">
        <v>144</v>
      </c>
      <c r="E346" s="1773" t="s">
        <v>134</v>
      </c>
      <c r="F346" s="1773" t="s">
        <v>1906</v>
      </c>
      <c r="G346" s="1773"/>
      <c r="H346" s="1773"/>
      <c r="I346" s="1773"/>
      <c r="J346" s="1773"/>
      <c r="K346" s="1776" t="s">
        <v>1907</v>
      </c>
      <c r="L346" s="1774"/>
      <c r="M346" s="1774"/>
      <c r="N346" s="1774"/>
      <c r="O346" s="1774">
        <f t="shared" si="740"/>
        <v>0</v>
      </c>
      <c r="P346" s="1777">
        <f t="shared" si="725"/>
        <v>0</v>
      </c>
      <c r="Q346" s="1775"/>
      <c r="R346" s="1777">
        <f t="shared" si="726"/>
        <v>0</v>
      </c>
      <c r="S346" s="1775"/>
      <c r="T346" s="1777">
        <f t="shared" si="727"/>
        <v>0</v>
      </c>
      <c r="U346" s="1775"/>
      <c r="V346" s="1777">
        <f t="shared" si="728"/>
        <v>0</v>
      </c>
      <c r="W346" s="1775"/>
      <c r="X346" s="1777"/>
      <c r="Y346" s="1777"/>
      <c r="Z346" s="1777"/>
      <c r="AA346" s="1777">
        <f t="shared" si="741"/>
        <v>0</v>
      </c>
      <c r="AB346" s="1877" t="e">
        <f t="shared" si="742"/>
        <v>#DIV/0!</v>
      </c>
    </row>
    <row r="347" spans="1:28" s="1760" customFormat="1" ht="22.5" hidden="1" customHeight="1" thickTop="1" thickBot="1">
      <c r="A347" s="1755">
        <v>1</v>
      </c>
      <c r="B347" s="1756" t="s">
        <v>127</v>
      </c>
      <c r="C347" s="1756" t="s">
        <v>209</v>
      </c>
      <c r="D347" s="1756" t="s">
        <v>144</v>
      </c>
      <c r="E347" s="1756" t="s">
        <v>139</v>
      </c>
      <c r="F347" s="1756"/>
      <c r="G347" s="1756"/>
      <c r="H347" s="1756"/>
      <c r="I347" s="1756"/>
      <c r="J347" s="1756"/>
      <c r="K347" s="1757" t="s">
        <v>1908</v>
      </c>
      <c r="L347" s="1758"/>
      <c r="M347" s="1758"/>
      <c r="N347" s="1758"/>
      <c r="O347" s="1758">
        <f t="shared" si="740"/>
        <v>0</v>
      </c>
      <c r="P347" s="1805">
        <f t="shared" si="725"/>
        <v>0</v>
      </c>
      <c r="Q347" s="1759"/>
      <c r="R347" s="1805">
        <f t="shared" si="726"/>
        <v>0</v>
      </c>
      <c r="S347" s="1759"/>
      <c r="T347" s="1805">
        <f t="shared" si="727"/>
        <v>0</v>
      </c>
      <c r="U347" s="1759"/>
      <c r="V347" s="1805">
        <f>+O347*W347</f>
        <v>0</v>
      </c>
      <c r="W347" s="1759"/>
      <c r="X347" s="1805"/>
      <c r="Y347" s="1805"/>
      <c r="Z347" s="1805"/>
      <c r="AA347" s="1805">
        <f t="shared" si="741"/>
        <v>0</v>
      </c>
      <c r="AB347" s="1874" t="e">
        <f t="shared" si="742"/>
        <v>#DIV/0!</v>
      </c>
    </row>
    <row r="348" spans="1:28" s="1760" customFormat="1" ht="22.5" hidden="1" customHeight="1" thickTop="1" thickBot="1">
      <c r="A348" s="1755">
        <v>1</v>
      </c>
      <c r="B348" s="1756" t="s">
        <v>127</v>
      </c>
      <c r="C348" s="1756" t="s">
        <v>209</v>
      </c>
      <c r="D348" s="1756" t="s">
        <v>144</v>
      </c>
      <c r="E348" s="1756" t="s">
        <v>140</v>
      </c>
      <c r="F348" s="1756"/>
      <c r="G348" s="1756"/>
      <c r="H348" s="1756"/>
      <c r="I348" s="1756"/>
      <c r="J348" s="1756"/>
      <c r="K348" s="1757" t="s">
        <v>1909</v>
      </c>
      <c r="L348" s="1758"/>
      <c r="M348" s="1758"/>
      <c r="N348" s="1758"/>
      <c r="O348" s="1758">
        <f t="shared" si="740"/>
        <v>0</v>
      </c>
      <c r="P348" s="1805">
        <f t="shared" si="725"/>
        <v>0</v>
      </c>
      <c r="Q348" s="1759"/>
      <c r="R348" s="1805">
        <f t="shared" si="726"/>
        <v>0</v>
      </c>
      <c r="S348" s="1759"/>
      <c r="T348" s="1805">
        <f t="shared" si="727"/>
        <v>0</v>
      </c>
      <c r="U348" s="1759"/>
      <c r="V348" s="1805">
        <f t="shared" ref="V348:V350" si="743">+O348*W348</f>
        <v>0</v>
      </c>
      <c r="W348" s="1759"/>
      <c r="X348" s="1805"/>
      <c r="Y348" s="1805"/>
      <c r="Z348" s="1805"/>
      <c r="AA348" s="1805">
        <f t="shared" si="741"/>
        <v>0</v>
      </c>
      <c r="AB348" s="1874" t="e">
        <f t="shared" si="742"/>
        <v>#DIV/0!</v>
      </c>
    </row>
    <row r="349" spans="1:28" s="1760" customFormat="1" ht="22.5" hidden="1" customHeight="1" thickTop="1" thickBot="1">
      <c r="A349" s="1755">
        <v>1</v>
      </c>
      <c r="B349" s="1756" t="s">
        <v>127</v>
      </c>
      <c r="C349" s="1756" t="s">
        <v>209</v>
      </c>
      <c r="D349" s="1756" t="s">
        <v>144</v>
      </c>
      <c r="E349" s="1756" t="s">
        <v>144</v>
      </c>
      <c r="F349" s="1756"/>
      <c r="G349" s="1756"/>
      <c r="H349" s="1756"/>
      <c r="I349" s="1756"/>
      <c r="J349" s="1756"/>
      <c r="K349" s="1757" t="s">
        <v>1910</v>
      </c>
      <c r="L349" s="1758"/>
      <c r="M349" s="1758"/>
      <c r="N349" s="1758"/>
      <c r="O349" s="1758">
        <f t="shared" si="740"/>
        <v>0</v>
      </c>
      <c r="P349" s="1805">
        <f t="shared" si="725"/>
        <v>0</v>
      </c>
      <c r="Q349" s="1759"/>
      <c r="R349" s="1805">
        <f t="shared" si="726"/>
        <v>0</v>
      </c>
      <c r="S349" s="1759"/>
      <c r="T349" s="1805">
        <f t="shared" si="727"/>
        <v>0</v>
      </c>
      <c r="U349" s="1759"/>
      <c r="V349" s="1805">
        <f t="shared" si="743"/>
        <v>0</v>
      </c>
      <c r="W349" s="1759"/>
      <c r="X349" s="1805"/>
      <c r="Y349" s="1805"/>
      <c r="Z349" s="1805"/>
      <c r="AA349" s="1805">
        <f t="shared" si="741"/>
        <v>0</v>
      </c>
      <c r="AB349" s="1874" t="e">
        <f t="shared" si="742"/>
        <v>#DIV/0!</v>
      </c>
    </row>
    <row r="350" spans="1:28" s="1760" customFormat="1" ht="22.5" hidden="1" customHeight="1" thickTop="1" thickBot="1">
      <c r="A350" s="1755">
        <v>1</v>
      </c>
      <c r="B350" s="1756" t="s">
        <v>127</v>
      </c>
      <c r="C350" s="1756" t="s">
        <v>209</v>
      </c>
      <c r="D350" s="1756" t="s">
        <v>144</v>
      </c>
      <c r="E350" s="1756" t="s">
        <v>145</v>
      </c>
      <c r="F350" s="1756"/>
      <c r="G350" s="1756"/>
      <c r="H350" s="1756"/>
      <c r="I350" s="1756"/>
      <c r="J350" s="1756"/>
      <c r="K350" s="1757" t="s">
        <v>1911</v>
      </c>
      <c r="L350" s="1758"/>
      <c r="M350" s="1758"/>
      <c r="N350" s="1758"/>
      <c r="O350" s="1758">
        <f t="shared" si="740"/>
        <v>0</v>
      </c>
      <c r="P350" s="1805">
        <f t="shared" si="725"/>
        <v>0</v>
      </c>
      <c r="Q350" s="1759"/>
      <c r="R350" s="1805">
        <f t="shared" si="726"/>
        <v>0</v>
      </c>
      <c r="S350" s="1759"/>
      <c r="T350" s="1805">
        <f t="shared" si="727"/>
        <v>0</v>
      </c>
      <c r="U350" s="1759"/>
      <c r="V350" s="1805">
        <f t="shared" si="743"/>
        <v>0</v>
      </c>
      <c r="W350" s="1759"/>
      <c r="X350" s="1805"/>
      <c r="Y350" s="1805"/>
      <c r="Z350" s="1805"/>
      <c r="AA350" s="1805">
        <f t="shared" si="741"/>
        <v>0</v>
      </c>
      <c r="AB350" s="1874" t="e">
        <f t="shared" si="742"/>
        <v>#DIV/0!</v>
      </c>
    </row>
    <row r="351" spans="1:28" s="1754" customFormat="1" ht="22.5" hidden="1" customHeight="1" thickTop="1" thickBot="1">
      <c r="A351" s="1749">
        <v>1</v>
      </c>
      <c r="B351" s="1750" t="s">
        <v>127</v>
      </c>
      <c r="C351" s="1750" t="s">
        <v>209</v>
      </c>
      <c r="D351" s="1750" t="s">
        <v>145</v>
      </c>
      <c r="E351" s="1750"/>
      <c r="F351" s="1750"/>
      <c r="G351" s="1750"/>
      <c r="H351" s="1750"/>
      <c r="I351" s="1750"/>
      <c r="J351" s="1750"/>
      <c r="K351" s="1751" t="s">
        <v>184</v>
      </c>
      <c r="L351" s="1752">
        <f>+L352+L366+L368</f>
        <v>0</v>
      </c>
      <c r="M351" s="1752">
        <f t="shared" ref="M351:N351" si="744">+M352+M366+M368</f>
        <v>0</v>
      </c>
      <c r="N351" s="1752">
        <f t="shared" si="744"/>
        <v>0</v>
      </c>
      <c r="O351" s="1752">
        <f t="shared" si="740"/>
        <v>0</v>
      </c>
      <c r="P351" s="1804">
        <f t="shared" ref="P351:V351" si="745">+P352+P366+P368</f>
        <v>0</v>
      </c>
      <c r="Q351" s="1753" t="e">
        <f t="shared" si="731"/>
        <v>#DIV/0!</v>
      </c>
      <c r="R351" s="1804">
        <f t="shared" si="745"/>
        <v>0</v>
      </c>
      <c r="S351" s="1807" t="e">
        <f>+R351/L351</f>
        <v>#DIV/0!</v>
      </c>
      <c r="T351" s="1804">
        <f t="shared" si="745"/>
        <v>0</v>
      </c>
      <c r="U351" s="1807" t="e">
        <f>+T351/L351</f>
        <v>#DIV/0!</v>
      </c>
      <c r="V351" s="1804">
        <f t="shared" si="745"/>
        <v>0</v>
      </c>
      <c r="W351" s="1807" t="e">
        <f>+V351/L351</f>
        <v>#DIV/0!</v>
      </c>
      <c r="X351" s="1804">
        <f t="shared" ref="X351:Z351" si="746">+X352+X366+X368</f>
        <v>0</v>
      </c>
      <c r="Y351" s="1804">
        <f t="shared" si="746"/>
        <v>0</v>
      </c>
      <c r="Z351" s="1804">
        <f t="shared" si="746"/>
        <v>0</v>
      </c>
      <c r="AA351" s="1804">
        <f t="shared" si="741"/>
        <v>0</v>
      </c>
      <c r="AB351" s="1873" t="e">
        <f t="shared" si="742"/>
        <v>#DIV/0!</v>
      </c>
    </row>
    <row r="352" spans="1:28" s="1760" customFormat="1" ht="22.5" hidden="1" customHeight="1" thickTop="1" thickBot="1">
      <c r="A352" s="1755">
        <v>1</v>
      </c>
      <c r="B352" s="1756" t="s">
        <v>127</v>
      </c>
      <c r="C352" s="1756" t="s">
        <v>209</v>
      </c>
      <c r="D352" s="1756" t="s">
        <v>145</v>
      </c>
      <c r="E352" s="1756" t="s">
        <v>129</v>
      </c>
      <c r="F352" s="1756"/>
      <c r="G352" s="1756"/>
      <c r="H352" s="1756"/>
      <c r="I352" s="1756"/>
      <c r="J352" s="1756"/>
      <c r="K352" s="1757" t="s">
        <v>185</v>
      </c>
      <c r="L352" s="1758">
        <f>+L353+L354+L355+L358+L362</f>
        <v>0</v>
      </c>
      <c r="M352" s="1758">
        <f t="shared" ref="M352:N352" si="747">+M353+M354+M355+M358+M362</f>
        <v>0</v>
      </c>
      <c r="N352" s="1758">
        <f t="shared" si="747"/>
        <v>0</v>
      </c>
      <c r="O352" s="1758">
        <f t="shared" si="740"/>
        <v>0</v>
      </c>
      <c r="P352" s="1805">
        <f t="shared" ref="P352:V352" si="748">+P353+P354+P355+P358+P362</f>
        <v>0</v>
      </c>
      <c r="Q352" s="1759" t="e">
        <f t="shared" si="731"/>
        <v>#DIV/0!</v>
      </c>
      <c r="R352" s="1805">
        <f t="shared" si="748"/>
        <v>0</v>
      </c>
      <c r="S352" s="1759" t="e">
        <f>+R352/L352</f>
        <v>#DIV/0!</v>
      </c>
      <c r="T352" s="1805">
        <f t="shared" si="748"/>
        <v>0</v>
      </c>
      <c r="U352" s="1759" t="e">
        <f>+T352/L352</f>
        <v>#DIV/0!</v>
      </c>
      <c r="V352" s="1805">
        <f t="shared" si="748"/>
        <v>0</v>
      </c>
      <c r="W352" s="1759" t="e">
        <f>+V352/L352</f>
        <v>#DIV/0!</v>
      </c>
      <c r="X352" s="1805">
        <f t="shared" ref="X352:Z352" si="749">+X353+X354+X355+X358+X362</f>
        <v>0</v>
      </c>
      <c r="Y352" s="1805">
        <f t="shared" si="749"/>
        <v>0</v>
      </c>
      <c r="Z352" s="1805">
        <f t="shared" si="749"/>
        <v>0</v>
      </c>
      <c r="AA352" s="1805">
        <f t="shared" si="741"/>
        <v>0</v>
      </c>
      <c r="AB352" s="1874" t="e">
        <f t="shared" si="742"/>
        <v>#DIV/0!</v>
      </c>
    </row>
    <row r="353" spans="1:28" s="1729" customFormat="1" ht="22.5" hidden="1" customHeight="1" thickTop="1" thickBot="1">
      <c r="A353" s="1767">
        <v>1</v>
      </c>
      <c r="B353" s="1768" t="s">
        <v>127</v>
      </c>
      <c r="C353" s="1768" t="s">
        <v>209</v>
      </c>
      <c r="D353" s="1768" t="s">
        <v>145</v>
      </c>
      <c r="E353" s="1768" t="s">
        <v>129</v>
      </c>
      <c r="F353" s="1768" t="s">
        <v>1684</v>
      </c>
      <c r="G353" s="1768"/>
      <c r="H353" s="1768"/>
      <c r="I353" s="1768"/>
      <c r="J353" s="1768"/>
      <c r="K353" s="1769" t="s">
        <v>186</v>
      </c>
      <c r="L353" s="1770"/>
      <c r="M353" s="1770"/>
      <c r="N353" s="1770"/>
      <c r="O353" s="1770">
        <f t="shared" si="740"/>
        <v>0</v>
      </c>
      <c r="P353" s="1778">
        <f t="shared" ref="P353:P354" si="750">+L353*Q353</f>
        <v>0</v>
      </c>
      <c r="Q353" s="1771"/>
      <c r="R353" s="1778">
        <f t="shared" ref="R353:R354" si="751">+L353*S353</f>
        <v>0</v>
      </c>
      <c r="S353" s="1771"/>
      <c r="T353" s="1778">
        <f t="shared" ref="T353:T354" si="752">+L353*U353</f>
        <v>0</v>
      </c>
      <c r="U353" s="1771"/>
      <c r="V353" s="1778">
        <f>+O353*W353</f>
        <v>0</v>
      </c>
      <c r="W353" s="1771"/>
      <c r="X353" s="1778"/>
      <c r="Y353" s="1778"/>
      <c r="Z353" s="1778"/>
      <c r="AA353" s="1778">
        <f t="shared" si="741"/>
        <v>0</v>
      </c>
      <c r="AB353" s="1876" t="e">
        <f t="shared" si="742"/>
        <v>#DIV/0!</v>
      </c>
    </row>
    <row r="354" spans="1:28" s="1729" customFormat="1" ht="22.5" hidden="1" customHeight="1" thickTop="1" thickBot="1">
      <c r="A354" s="1767">
        <v>1</v>
      </c>
      <c r="B354" s="1768" t="s">
        <v>127</v>
      </c>
      <c r="C354" s="1768" t="s">
        <v>209</v>
      </c>
      <c r="D354" s="1768" t="s">
        <v>145</v>
      </c>
      <c r="E354" s="1768" t="s">
        <v>129</v>
      </c>
      <c r="F354" s="1768" t="s">
        <v>1703</v>
      </c>
      <c r="G354" s="1768"/>
      <c r="H354" s="1768"/>
      <c r="I354" s="1768"/>
      <c r="J354" s="1768"/>
      <c r="K354" s="1769" t="s">
        <v>187</v>
      </c>
      <c r="L354" s="1770"/>
      <c r="M354" s="1770"/>
      <c r="N354" s="1770"/>
      <c r="O354" s="1770">
        <f t="shared" si="740"/>
        <v>0</v>
      </c>
      <c r="P354" s="1778">
        <f t="shared" si="750"/>
        <v>0</v>
      </c>
      <c r="Q354" s="1771"/>
      <c r="R354" s="1778">
        <f t="shared" si="751"/>
        <v>0</v>
      </c>
      <c r="S354" s="1771"/>
      <c r="T354" s="1778">
        <f t="shared" si="752"/>
        <v>0</v>
      </c>
      <c r="U354" s="1771"/>
      <c r="V354" s="1778">
        <f>+O354*W354</f>
        <v>0</v>
      </c>
      <c r="W354" s="1771"/>
      <c r="X354" s="1778"/>
      <c r="Y354" s="1778"/>
      <c r="Z354" s="1778"/>
      <c r="AA354" s="1778">
        <f t="shared" si="741"/>
        <v>0</v>
      </c>
      <c r="AB354" s="1876" t="e">
        <f t="shared" si="742"/>
        <v>#DIV/0!</v>
      </c>
    </row>
    <row r="355" spans="1:28" s="1729" customFormat="1" ht="22.5" hidden="1" customHeight="1" thickTop="1" thickBot="1">
      <c r="A355" s="1767">
        <v>1</v>
      </c>
      <c r="B355" s="1768" t="s">
        <v>127</v>
      </c>
      <c r="C355" s="1768" t="s">
        <v>209</v>
      </c>
      <c r="D355" s="1768" t="s">
        <v>145</v>
      </c>
      <c r="E355" s="1768" t="s">
        <v>129</v>
      </c>
      <c r="F355" s="1768" t="s">
        <v>1751</v>
      </c>
      <c r="G355" s="1768"/>
      <c r="H355" s="1768"/>
      <c r="I355" s="1768"/>
      <c r="J355" s="1768"/>
      <c r="K355" s="1769" t="s">
        <v>1912</v>
      </c>
      <c r="L355" s="1770">
        <f>+L356+L357</f>
        <v>0</v>
      </c>
      <c r="M355" s="1770">
        <f t="shared" ref="M355:N355" si="753">+M356+M357</f>
        <v>0</v>
      </c>
      <c r="N355" s="1770">
        <f t="shared" si="753"/>
        <v>0</v>
      </c>
      <c r="O355" s="1770">
        <f t="shared" si="740"/>
        <v>0</v>
      </c>
      <c r="P355" s="1770">
        <f>+P356+P357</f>
        <v>0</v>
      </c>
      <c r="Q355" s="1771" t="e">
        <f t="shared" si="731"/>
        <v>#DIV/0!</v>
      </c>
      <c r="R355" s="1770">
        <f>+R356+R357</f>
        <v>0</v>
      </c>
      <c r="S355" s="1771" t="e">
        <f>+R355/L355</f>
        <v>#DIV/0!</v>
      </c>
      <c r="T355" s="1770">
        <f>+T356+T357</f>
        <v>0</v>
      </c>
      <c r="U355" s="1771" t="e">
        <f>+T355/L355</f>
        <v>#DIV/0!</v>
      </c>
      <c r="V355" s="1770">
        <f>+V356+V357</f>
        <v>0</v>
      </c>
      <c r="W355" s="1771" t="e">
        <f>+V355/L355</f>
        <v>#DIV/0!</v>
      </c>
      <c r="X355" s="1770">
        <f>+X356+X357</f>
        <v>0</v>
      </c>
      <c r="Y355" s="1770">
        <f>+Y356+Y357</f>
        <v>0</v>
      </c>
      <c r="Z355" s="1770">
        <f>+Z356+Z357</f>
        <v>0</v>
      </c>
      <c r="AA355" s="1770">
        <f t="shared" si="741"/>
        <v>0</v>
      </c>
      <c r="AB355" s="1876" t="e">
        <f t="shared" si="742"/>
        <v>#DIV/0!</v>
      </c>
    </row>
    <row r="356" spans="1:28" ht="22.5" hidden="1" customHeight="1" thickTop="1" thickBot="1">
      <c r="A356" s="1772">
        <v>1</v>
      </c>
      <c r="B356" s="1773" t="s">
        <v>127</v>
      </c>
      <c r="C356" s="1773" t="s">
        <v>209</v>
      </c>
      <c r="D356" s="1773" t="s">
        <v>145</v>
      </c>
      <c r="E356" s="1773" t="s">
        <v>129</v>
      </c>
      <c r="F356" s="1773" t="s">
        <v>1751</v>
      </c>
      <c r="G356" s="1773" t="s">
        <v>129</v>
      </c>
      <c r="H356" s="1773"/>
      <c r="I356" s="1773"/>
      <c r="J356" s="1773"/>
      <c r="K356" s="1776" t="s">
        <v>1913</v>
      </c>
      <c r="L356" s="1774"/>
      <c r="M356" s="1774"/>
      <c r="N356" s="1774"/>
      <c r="O356" s="1774">
        <f t="shared" si="740"/>
        <v>0</v>
      </c>
      <c r="P356" s="1777">
        <f t="shared" ref="P356:P357" si="754">+L356*Q356</f>
        <v>0</v>
      </c>
      <c r="Q356" s="1775"/>
      <c r="R356" s="1777">
        <f t="shared" ref="R356:R357" si="755">+L356*S356</f>
        <v>0</v>
      </c>
      <c r="S356" s="1775"/>
      <c r="T356" s="1777">
        <f t="shared" ref="T356:T357" si="756">+L356*U356</f>
        <v>0</v>
      </c>
      <c r="U356" s="1775"/>
      <c r="V356" s="1777">
        <f>+O356*W356</f>
        <v>0</v>
      </c>
      <c r="W356" s="1775"/>
      <c r="X356" s="1777"/>
      <c r="Y356" s="1777"/>
      <c r="Z356" s="1777"/>
      <c r="AA356" s="1777">
        <f t="shared" si="741"/>
        <v>0</v>
      </c>
      <c r="AB356" s="1877" t="e">
        <f t="shared" si="742"/>
        <v>#DIV/0!</v>
      </c>
    </row>
    <row r="357" spans="1:28" ht="22.5" hidden="1" customHeight="1" thickTop="1" thickBot="1">
      <c r="A357" s="1772">
        <v>1</v>
      </c>
      <c r="B357" s="1773" t="s">
        <v>127</v>
      </c>
      <c r="C357" s="1773" t="s">
        <v>209</v>
      </c>
      <c r="D357" s="1773" t="s">
        <v>145</v>
      </c>
      <c r="E357" s="1773" t="s">
        <v>129</v>
      </c>
      <c r="F357" s="1773" t="s">
        <v>1751</v>
      </c>
      <c r="G357" s="1773" t="s">
        <v>134</v>
      </c>
      <c r="H357" s="1773"/>
      <c r="I357" s="1773"/>
      <c r="J357" s="1773"/>
      <c r="K357" s="1776" t="s">
        <v>1912</v>
      </c>
      <c r="L357" s="1774"/>
      <c r="M357" s="1774"/>
      <c r="N357" s="1774"/>
      <c r="O357" s="1774">
        <f t="shared" si="740"/>
        <v>0</v>
      </c>
      <c r="P357" s="1777">
        <f t="shared" si="754"/>
        <v>0</v>
      </c>
      <c r="Q357" s="1775"/>
      <c r="R357" s="1777">
        <f t="shared" si="755"/>
        <v>0</v>
      </c>
      <c r="S357" s="1775"/>
      <c r="T357" s="1777">
        <f t="shared" si="756"/>
        <v>0</v>
      </c>
      <c r="U357" s="1775"/>
      <c r="V357" s="1777">
        <f>+O357*W357</f>
        <v>0</v>
      </c>
      <c r="W357" s="1775"/>
      <c r="X357" s="1777"/>
      <c r="Y357" s="1777"/>
      <c r="Z357" s="1777"/>
      <c r="AA357" s="1777">
        <f t="shared" si="741"/>
        <v>0</v>
      </c>
      <c r="AB357" s="1877" t="e">
        <f t="shared" si="742"/>
        <v>#DIV/0!</v>
      </c>
    </row>
    <row r="358" spans="1:28" s="1729" customFormat="1" ht="22.5" hidden="1" customHeight="1" thickTop="1" thickBot="1">
      <c r="A358" s="1767">
        <v>1</v>
      </c>
      <c r="B358" s="1768" t="s">
        <v>127</v>
      </c>
      <c r="C358" s="1768" t="s">
        <v>209</v>
      </c>
      <c r="D358" s="1768" t="s">
        <v>145</v>
      </c>
      <c r="E358" s="1768" t="s">
        <v>129</v>
      </c>
      <c r="F358" s="1768" t="s">
        <v>1804</v>
      </c>
      <c r="G358" s="1768"/>
      <c r="H358" s="1768"/>
      <c r="I358" s="1768"/>
      <c r="J358" s="1768"/>
      <c r="K358" s="1769" t="s">
        <v>1914</v>
      </c>
      <c r="L358" s="1770">
        <f>+L359+L360+L361</f>
        <v>0</v>
      </c>
      <c r="M358" s="1770">
        <f t="shared" ref="M358:N358" si="757">+M359+M360+M361</f>
        <v>0</v>
      </c>
      <c r="N358" s="1770">
        <f t="shared" si="757"/>
        <v>0</v>
      </c>
      <c r="O358" s="1770">
        <f t="shared" si="740"/>
        <v>0</v>
      </c>
      <c r="P358" s="1778">
        <f t="shared" ref="P358:V358" si="758">+P359+P360+P361</f>
        <v>0</v>
      </c>
      <c r="Q358" s="1771" t="e">
        <f t="shared" si="731"/>
        <v>#DIV/0!</v>
      </c>
      <c r="R358" s="1778">
        <f t="shared" si="758"/>
        <v>0</v>
      </c>
      <c r="S358" s="1771" t="e">
        <f>+R358/L358</f>
        <v>#DIV/0!</v>
      </c>
      <c r="T358" s="1778">
        <f t="shared" si="758"/>
        <v>0</v>
      </c>
      <c r="U358" s="1771" t="e">
        <f>+T358/L358</f>
        <v>#DIV/0!</v>
      </c>
      <c r="V358" s="1778">
        <f t="shared" si="758"/>
        <v>0</v>
      </c>
      <c r="W358" s="1771" t="e">
        <f>+V358/L358</f>
        <v>#DIV/0!</v>
      </c>
      <c r="X358" s="1778">
        <f t="shared" ref="X358:Z358" si="759">+X359+X360+X361</f>
        <v>0</v>
      </c>
      <c r="Y358" s="1778">
        <f t="shared" si="759"/>
        <v>0</v>
      </c>
      <c r="Z358" s="1778">
        <f t="shared" si="759"/>
        <v>0</v>
      </c>
      <c r="AA358" s="1778">
        <f t="shared" si="741"/>
        <v>0</v>
      </c>
      <c r="AB358" s="1876" t="e">
        <f t="shared" si="742"/>
        <v>#DIV/0!</v>
      </c>
    </row>
    <row r="359" spans="1:28" ht="22.5" hidden="1" customHeight="1" thickTop="1" thickBot="1">
      <c r="A359" s="1772">
        <v>1</v>
      </c>
      <c r="B359" s="1773" t="s">
        <v>127</v>
      </c>
      <c r="C359" s="1773" t="s">
        <v>209</v>
      </c>
      <c r="D359" s="1773" t="s">
        <v>145</v>
      </c>
      <c r="E359" s="1773" t="s">
        <v>129</v>
      </c>
      <c r="F359" s="1773" t="s">
        <v>1804</v>
      </c>
      <c r="G359" s="1773" t="s">
        <v>129</v>
      </c>
      <c r="H359" s="1773"/>
      <c r="I359" s="1773"/>
      <c r="J359" s="1773"/>
      <c r="K359" s="1776" t="s">
        <v>1915</v>
      </c>
      <c r="L359" s="1774"/>
      <c r="M359" s="1774"/>
      <c r="N359" s="1774"/>
      <c r="O359" s="1774">
        <f t="shared" si="740"/>
        <v>0</v>
      </c>
      <c r="P359" s="1777">
        <f t="shared" ref="P359:P361" si="760">+L359*Q359</f>
        <v>0</v>
      </c>
      <c r="Q359" s="1775"/>
      <c r="R359" s="1777">
        <f t="shared" ref="R359:R360" si="761">+L359*S359</f>
        <v>0</v>
      </c>
      <c r="S359" s="1775"/>
      <c r="T359" s="1777">
        <f t="shared" ref="T359:T361" si="762">+L359*U359</f>
        <v>0</v>
      </c>
      <c r="U359" s="1775"/>
      <c r="V359" s="1777">
        <f>+O359*W359</f>
        <v>0</v>
      </c>
      <c r="W359" s="1775"/>
      <c r="X359" s="1777"/>
      <c r="Y359" s="1777"/>
      <c r="Z359" s="1777"/>
      <c r="AA359" s="1777">
        <f t="shared" si="741"/>
        <v>0</v>
      </c>
      <c r="AB359" s="1877" t="e">
        <f t="shared" si="742"/>
        <v>#DIV/0!</v>
      </c>
    </row>
    <row r="360" spans="1:28" ht="22.5" hidden="1" customHeight="1" thickTop="1" thickBot="1">
      <c r="A360" s="1772">
        <v>1</v>
      </c>
      <c r="B360" s="1773" t="s">
        <v>127</v>
      </c>
      <c r="C360" s="1773" t="s">
        <v>209</v>
      </c>
      <c r="D360" s="1773" t="s">
        <v>145</v>
      </c>
      <c r="E360" s="1773" t="s">
        <v>129</v>
      </c>
      <c r="F360" s="1773" t="s">
        <v>1804</v>
      </c>
      <c r="G360" s="1773" t="s">
        <v>134</v>
      </c>
      <c r="H360" s="1773"/>
      <c r="I360" s="1773"/>
      <c r="J360" s="1773"/>
      <c r="K360" s="1776" t="s">
        <v>1916</v>
      </c>
      <c r="L360" s="1774"/>
      <c r="M360" s="1774"/>
      <c r="N360" s="1774"/>
      <c r="O360" s="1774">
        <f t="shared" si="740"/>
        <v>0</v>
      </c>
      <c r="P360" s="1777">
        <f t="shared" si="760"/>
        <v>0</v>
      </c>
      <c r="Q360" s="1775"/>
      <c r="R360" s="1777">
        <f t="shared" si="761"/>
        <v>0</v>
      </c>
      <c r="S360" s="1775"/>
      <c r="T360" s="1777">
        <f t="shared" si="762"/>
        <v>0</v>
      </c>
      <c r="U360" s="1775"/>
      <c r="V360" s="1777">
        <f>+O360*W360</f>
        <v>0</v>
      </c>
      <c r="W360" s="1775"/>
      <c r="X360" s="1777"/>
      <c r="Y360" s="1777"/>
      <c r="Z360" s="1777"/>
      <c r="AA360" s="1777">
        <f t="shared" si="741"/>
        <v>0</v>
      </c>
      <c r="AB360" s="1877" t="e">
        <f t="shared" si="742"/>
        <v>#DIV/0!</v>
      </c>
    </row>
    <row r="361" spans="1:28" ht="22.5" hidden="1" customHeight="1" thickTop="1" thickBot="1">
      <c r="A361" s="1772">
        <v>1</v>
      </c>
      <c r="B361" s="1773" t="s">
        <v>127</v>
      </c>
      <c r="C361" s="1773" t="s">
        <v>209</v>
      </c>
      <c r="D361" s="1773" t="s">
        <v>145</v>
      </c>
      <c r="E361" s="1773" t="s">
        <v>129</v>
      </c>
      <c r="F361" s="1773" t="s">
        <v>1804</v>
      </c>
      <c r="G361" s="1773" t="s">
        <v>139</v>
      </c>
      <c r="H361" s="1773"/>
      <c r="I361" s="1773"/>
      <c r="J361" s="1773"/>
      <c r="K361" s="1776" t="s">
        <v>1917</v>
      </c>
      <c r="L361" s="1774"/>
      <c r="M361" s="1774"/>
      <c r="N361" s="1774"/>
      <c r="O361" s="1774">
        <f t="shared" si="740"/>
        <v>0</v>
      </c>
      <c r="P361" s="1777">
        <f t="shared" si="760"/>
        <v>0</v>
      </c>
      <c r="Q361" s="1775"/>
      <c r="R361" s="1777"/>
      <c r="S361" s="1775"/>
      <c r="T361" s="1777">
        <f t="shared" si="762"/>
        <v>0</v>
      </c>
      <c r="U361" s="1775"/>
      <c r="V361" s="1777">
        <f>+O361*W361</f>
        <v>0</v>
      </c>
      <c r="W361" s="1775"/>
      <c r="X361" s="1777"/>
      <c r="Y361" s="1777"/>
      <c r="Z361" s="1777"/>
      <c r="AA361" s="1777">
        <f t="shared" si="741"/>
        <v>0</v>
      </c>
      <c r="AB361" s="1877" t="e">
        <f t="shared" si="742"/>
        <v>#DIV/0!</v>
      </c>
    </row>
    <row r="362" spans="1:28" s="1729" customFormat="1" ht="22.5" hidden="1" customHeight="1" thickTop="1" thickBot="1">
      <c r="A362" s="1767">
        <v>1</v>
      </c>
      <c r="B362" s="1768" t="s">
        <v>127</v>
      </c>
      <c r="C362" s="1768" t="s">
        <v>209</v>
      </c>
      <c r="D362" s="1768" t="s">
        <v>145</v>
      </c>
      <c r="E362" s="1768" t="s">
        <v>129</v>
      </c>
      <c r="F362" s="1768" t="s">
        <v>1918</v>
      </c>
      <c r="G362" s="1768"/>
      <c r="H362" s="1768"/>
      <c r="I362" s="1768"/>
      <c r="J362" s="1768"/>
      <c r="K362" s="1769" t="s">
        <v>1919</v>
      </c>
      <c r="L362" s="1770">
        <f>+L363+L364+L365</f>
        <v>0</v>
      </c>
      <c r="M362" s="1770">
        <f t="shared" ref="M362:N362" si="763">+M363+M364+M365</f>
        <v>0</v>
      </c>
      <c r="N362" s="1770">
        <f t="shared" si="763"/>
        <v>0</v>
      </c>
      <c r="O362" s="1770">
        <f t="shared" si="740"/>
        <v>0</v>
      </c>
      <c r="P362" s="1778">
        <f t="shared" ref="P362:V362" si="764">+P363+P364+P365</f>
        <v>0</v>
      </c>
      <c r="Q362" s="1771" t="e">
        <f t="shared" si="731"/>
        <v>#DIV/0!</v>
      </c>
      <c r="R362" s="1778">
        <f t="shared" si="764"/>
        <v>0</v>
      </c>
      <c r="S362" s="1771" t="e">
        <f>+R362/L362</f>
        <v>#DIV/0!</v>
      </c>
      <c r="T362" s="1778">
        <f t="shared" si="764"/>
        <v>0</v>
      </c>
      <c r="U362" s="1771" t="e">
        <f>+T362/L362</f>
        <v>#DIV/0!</v>
      </c>
      <c r="V362" s="1778">
        <f t="shared" si="764"/>
        <v>0</v>
      </c>
      <c r="W362" s="1771" t="e">
        <f>+V362/L362</f>
        <v>#DIV/0!</v>
      </c>
      <c r="X362" s="1778">
        <f t="shared" ref="X362:Z362" si="765">+X363+X364+X365</f>
        <v>0</v>
      </c>
      <c r="Y362" s="1778">
        <f t="shared" si="765"/>
        <v>0</v>
      </c>
      <c r="Z362" s="1778">
        <f t="shared" si="765"/>
        <v>0</v>
      </c>
      <c r="AA362" s="1778">
        <f t="shared" si="741"/>
        <v>0</v>
      </c>
      <c r="AB362" s="1876" t="e">
        <f t="shared" si="742"/>
        <v>#DIV/0!</v>
      </c>
    </row>
    <row r="363" spans="1:28" ht="22.5" hidden="1" customHeight="1" thickTop="1" thickBot="1">
      <c r="A363" s="1772">
        <v>1</v>
      </c>
      <c r="B363" s="1773" t="s">
        <v>127</v>
      </c>
      <c r="C363" s="1773" t="s">
        <v>209</v>
      </c>
      <c r="D363" s="1773" t="s">
        <v>145</v>
      </c>
      <c r="E363" s="1773" t="s">
        <v>129</v>
      </c>
      <c r="F363" s="1773" t="s">
        <v>1918</v>
      </c>
      <c r="G363" s="1773" t="s">
        <v>129</v>
      </c>
      <c r="H363" s="1773"/>
      <c r="I363" s="1773"/>
      <c r="J363" s="1773"/>
      <c r="K363" s="1776" t="s">
        <v>1920</v>
      </c>
      <c r="L363" s="1774"/>
      <c r="M363" s="1774"/>
      <c r="N363" s="1774"/>
      <c r="O363" s="1774">
        <f t="shared" si="740"/>
        <v>0</v>
      </c>
      <c r="P363" s="1777">
        <f t="shared" ref="P363:P365" si="766">+L363*Q363</f>
        <v>0</v>
      </c>
      <c r="Q363" s="1775"/>
      <c r="R363" s="1777">
        <f t="shared" ref="R363:R368" si="767">+L363*S363</f>
        <v>0</v>
      </c>
      <c r="S363" s="1775"/>
      <c r="T363" s="1777">
        <f t="shared" ref="T363:T368" si="768">+L363*U363</f>
        <v>0</v>
      </c>
      <c r="U363" s="1775"/>
      <c r="V363" s="1777">
        <f>+O363*W363</f>
        <v>0</v>
      </c>
      <c r="W363" s="1775"/>
      <c r="X363" s="1777"/>
      <c r="Y363" s="1777"/>
      <c r="Z363" s="1777"/>
      <c r="AA363" s="1777">
        <f t="shared" si="741"/>
        <v>0</v>
      </c>
      <c r="AB363" s="1877" t="e">
        <f t="shared" si="742"/>
        <v>#DIV/0!</v>
      </c>
    </row>
    <row r="364" spans="1:28" ht="22.5" hidden="1" customHeight="1" thickTop="1" thickBot="1">
      <c r="A364" s="1772">
        <v>1</v>
      </c>
      <c r="B364" s="1773" t="s">
        <v>127</v>
      </c>
      <c r="C364" s="1773" t="s">
        <v>209</v>
      </c>
      <c r="D364" s="1773" t="s">
        <v>145</v>
      </c>
      <c r="E364" s="1773" t="s">
        <v>129</v>
      </c>
      <c r="F364" s="1773" t="s">
        <v>1918</v>
      </c>
      <c r="G364" s="1773" t="s">
        <v>134</v>
      </c>
      <c r="H364" s="1773"/>
      <c r="I364" s="1773"/>
      <c r="J364" s="1773"/>
      <c r="K364" s="1776" t="s">
        <v>1921</v>
      </c>
      <c r="L364" s="1774"/>
      <c r="M364" s="1774"/>
      <c r="N364" s="1774"/>
      <c r="O364" s="1774">
        <f t="shared" si="740"/>
        <v>0</v>
      </c>
      <c r="P364" s="1777">
        <f t="shared" si="766"/>
        <v>0</v>
      </c>
      <c r="Q364" s="1775"/>
      <c r="R364" s="1777">
        <f t="shared" si="767"/>
        <v>0</v>
      </c>
      <c r="S364" s="1775"/>
      <c r="T364" s="1777">
        <f t="shared" si="768"/>
        <v>0</v>
      </c>
      <c r="U364" s="1775"/>
      <c r="V364" s="1777">
        <f t="shared" ref="V364:V365" si="769">+O364*W364</f>
        <v>0</v>
      </c>
      <c r="W364" s="1775"/>
      <c r="X364" s="1777"/>
      <c r="Y364" s="1777"/>
      <c r="Z364" s="1777"/>
      <c r="AA364" s="1777">
        <f t="shared" si="741"/>
        <v>0</v>
      </c>
      <c r="AB364" s="1877" t="e">
        <f t="shared" si="742"/>
        <v>#DIV/0!</v>
      </c>
    </row>
    <row r="365" spans="1:28" ht="22.5" hidden="1" customHeight="1" thickTop="1" thickBot="1">
      <c r="A365" s="1772">
        <v>1</v>
      </c>
      <c r="B365" s="1773" t="s">
        <v>127</v>
      </c>
      <c r="C365" s="1773" t="s">
        <v>209</v>
      </c>
      <c r="D365" s="1773" t="s">
        <v>145</v>
      </c>
      <c r="E365" s="1773" t="s">
        <v>129</v>
      </c>
      <c r="F365" s="1773" t="s">
        <v>1918</v>
      </c>
      <c r="G365" s="1773" t="s">
        <v>139</v>
      </c>
      <c r="H365" s="1773"/>
      <c r="I365" s="1773"/>
      <c r="J365" s="1773"/>
      <c r="K365" s="1776" t="s">
        <v>1922</v>
      </c>
      <c r="L365" s="1774"/>
      <c r="M365" s="1774"/>
      <c r="N365" s="1774"/>
      <c r="O365" s="1774">
        <f t="shared" si="740"/>
        <v>0</v>
      </c>
      <c r="P365" s="1777">
        <f t="shared" si="766"/>
        <v>0</v>
      </c>
      <c r="Q365" s="1775"/>
      <c r="R365" s="1777">
        <f t="shared" si="767"/>
        <v>0</v>
      </c>
      <c r="S365" s="1775"/>
      <c r="T365" s="1777">
        <f t="shared" si="768"/>
        <v>0</v>
      </c>
      <c r="U365" s="1775"/>
      <c r="V365" s="1777">
        <f t="shared" si="769"/>
        <v>0</v>
      </c>
      <c r="W365" s="1775"/>
      <c r="X365" s="1777"/>
      <c r="Y365" s="1777"/>
      <c r="Z365" s="1777"/>
      <c r="AA365" s="1777">
        <f t="shared" si="741"/>
        <v>0</v>
      </c>
      <c r="AB365" s="1877" t="e">
        <f t="shared" si="742"/>
        <v>#DIV/0!</v>
      </c>
    </row>
    <row r="366" spans="1:28" s="1760" customFormat="1" ht="22.5" hidden="1" customHeight="1" thickTop="1" thickBot="1">
      <c r="A366" s="1755">
        <v>1</v>
      </c>
      <c r="B366" s="1756" t="s">
        <v>127</v>
      </c>
      <c r="C366" s="1756" t="s">
        <v>209</v>
      </c>
      <c r="D366" s="1756" t="s">
        <v>145</v>
      </c>
      <c r="E366" s="1756" t="s">
        <v>134</v>
      </c>
      <c r="F366" s="1756"/>
      <c r="G366" s="1756"/>
      <c r="H366" s="1756"/>
      <c r="I366" s="1756"/>
      <c r="J366" s="1756"/>
      <c r="K366" s="1757" t="s">
        <v>1923</v>
      </c>
      <c r="L366" s="1758">
        <f>+L367</f>
        <v>0</v>
      </c>
      <c r="M366" s="1758">
        <f t="shared" ref="M366:N366" si="770">+M367</f>
        <v>0</v>
      </c>
      <c r="N366" s="1758">
        <f t="shared" si="770"/>
        <v>0</v>
      </c>
      <c r="O366" s="1758">
        <f t="shared" si="740"/>
        <v>0</v>
      </c>
      <c r="P366" s="1805">
        <f t="shared" ref="P366:Z366" si="771">+P367</f>
        <v>0</v>
      </c>
      <c r="Q366" s="1759" t="e">
        <f t="shared" si="731"/>
        <v>#DIV/0!</v>
      </c>
      <c r="R366" s="1805">
        <f t="shared" si="771"/>
        <v>0</v>
      </c>
      <c r="S366" s="1759" t="e">
        <f>+R366/L366</f>
        <v>#DIV/0!</v>
      </c>
      <c r="T366" s="1805">
        <f t="shared" si="771"/>
        <v>0</v>
      </c>
      <c r="U366" s="1759" t="e">
        <f>+T366/L366</f>
        <v>#DIV/0!</v>
      </c>
      <c r="V366" s="1805">
        <f t="shared" si="771"/>
        <v>0</v>
      </c>
      <c r="W366" s="1759" t="e">
        <f>+V366/L366</f>
        <v>#DIV/0!</v>
      </c>
      <c r="X366" s="1805">
        <f t="shared" si="771"/>
        <v>0</v>
      </c>
      <c r="Y366" s="1805">
        <f t="shared" si="771"/>
        <v>0</v>
      </c>
      <c r="Z366" s="1805">
        <f t="shared" si="771"/>
        <v>0</v>
      </c>
      <c r="AA366" s="1805">
        <f t="shared" si="741"/>
        <v>0</v>
      </c>
      <c r="AB366" s="1874" t="e">
        <f t="shared" si="742"/>
        <v>#DIV/0!</v>
      </c>
    </row>
    <row r="367" spans="1:28" s="1729" customFormat="1" ht="22.5" hidden="1" customHeight="1" thickTop="1" thickBot="1">
      <c r="A367" s="1767">
        <v>1</v>
      </c>
      <c r="B367" s="1768" t="s">
        <v>127</v>
      </c>
      <c r="C367" s="1768" t="s">
        <v>209</v>
      </c>
      <c r="D367" s="1768" t="s">
        <v>145</v>
      </c>
      <c r="E367" s="1768" t="s">
        <v>134</v>
      </c>
      <c r="F367" s="1768" t="s">
        <v>1684</v>
      </c>
      <c r="G367" s="1768"/>
      <c r="H367" s="1768"/>
      <c r="I367" s="1768"/>
      <c r="J367" s="1768"/>
      <c r="K367" s="1769" t="s">
        <v>1924</v>
      </c>
      <c r="L367" s="1770"/>
      <c r="M367" s="1770"/>
      <c r="N367" s="1770"/>
      <c r="O367" s="1770">
        <f t="shared" si="740"/>
        <v>0</v>
      </c>
      <c r="P367" s="1778">
        <f t="shared" ref="P367:P368" si="772">+L367*Q367</f>
        <v>0</v>
      </c>
      <c r="Q367" s="1771"/>
      <c r="R367" s="1777">
        <f t="shared" si="767"/>
        <v>0</v>
      </c>
      <c r="S367" s="1771"/>
      <c r="T367" s="1777">
        <f t="shared" si="768"/>
        <v>0</v>
      </c>
      <c r="U367" s="1771"/>
      <c r="V367" s="1777">
        <f>+O367*W367</f>
        <v>0</v>
      </c>
      <c r="W367" s="1771"/>
      <c r="X367" s="1777"/>
      <c r="Y367" s="1777"/>
      <c r="Z367" s="1777"/>
      <c r="AA367" s="1777">
        <f t="shared" si="741"/>
        <v>0</v>
      </c>
      <c r="AB367" s="1877" t="e">
        <f t="shared" si="742"/>
        <v>#DIV/0!</v>
      </c>
    </row>
    <row r="368" spans="1:28" s="1760" customFormat="1" ht="22.5" hidden="1" customHeight="1" thickTop="1" thickBot="1">
      <c r="A368" s="1755">
        <v>1</v>
      </c>
      <c r="B368" s="1756" t="s">
        <v>127</v>
      </c>
      <c r="C368" s="1756" t="s">
        <v>209</v>
      </c>
      <c r="D368" s="1756" t="s">
        <v>145</v>
      </c>
      <c r="E368" s="1756" t="s">
        <v>139</v>
      </c>
      <c r="F368" s="1756"/>
      <c r="G368" s="1756"/>
      <c r="H368" s="1756"/>
      <c r="I368" s="1756"/>
      <c r="J368" s="1756"/>
      <c r="K368" s="1757" t="s">
        <v>1925</v>
      </c>
      <c r="L368" s="1758"/>
      <c r="M368" s="1758"/>
      <c r="N368" s="1758"/>
      <c r="O368" s="1758">
        <f t="shared" si="740"/>
        <v>0</v>
      </c>
      <c r="P368" s="1805">
        <f t="shared" si="772"/>
        <v>0</v>
      </c>
      <c r="Q368" s="1759"/>
      <c r="R368" s="1805">
        <f t="shared" si="767"/>
        <v>0</v>
      </c>
      <c r="S368" s="1759"/>
      <c r="T368" s="1805">
        <f t="shared" si="768"/>
        <v>0</v>
      </c>
      <c r="U368" s="1759"/>
      <c r="V368" s="1805">
        <f>+O368*W368</f>
        <v>0</v>
      </c>
      <c r="W368" s="1759"/>
      <c r="X368" s="1805"/>
      <c r="Y368" s="1805"/>
      <c r="Z368" s="1805"/>
      <c r="AA368" s="1805">
        <f t="shared" si="741"/>
        <v>0</v>
      </c>
      <c r="AB368" s="1874" t="e">
        <f t="shared" si="742"/>
        <v>#DIV/0!</v>
      </c>
    </row>
    <row r="369" spans="1:28" s="1754" customFormat="1" ht="22.5" customHeight="1" thickTop="1" thickBot="1">
      <c r="A369" s="1749">
        <v>1</v>
      </c>
      <c r="B369" s="1750" t="s">
        <v>127</v>
      </c>
      <c r="C369" s="1750" t="s">
        <v>209</v>
      </c>
      <c r="D369" s="1750" t="s">
        <v>146</v>
      </c>
      <c r="E369" s="1750"/>
      <c r="F369" s="1750"/>
      <c r="G369" s="1750"/>
      <c r="H369" s="1750"/>
      <c r="I369" s="1750"/>
      <c r="J369" s="1750"/>
      <c r="K369" s="1751" t="s">
        <v>188</v>
      </c>
      <c r="L369" s="1752">
        <f>+L370+L376+L383</f>
        <v>0</v>
      </c>
      <c r="M369" s="1752">
        <f t="shared" ref="M369:N369" si="773">+M370+M376+M383</f>
        <v>8000000000</v>
      </c>
      <c r="N369" s="1752">
        <f t="shared" si="773"/>
        <v>0</v>
      </c>
      <c r="O369" s="1752">
        <f t="shared" si="740"/>
        <v>8000000000</v>
      </c>
      <c r="P369" s="1804">
        <f t="shared" ref="P369:V369" si="774">+P370+P376+P383</f>
        <v>0</v>
      </c>
      <c r="Q369" s="1753" t="e">
        <f t="shared" si="731"/>
        <v>#DIV/0!</v>
      </c>
      <c r="R369" s="1804">
        <f t="shared" si="774"/>
        <v>8000000000</v>
      </c>
      <c r="S369" s="1753" t="e">
        <f t="shared" ref="S369:S370" si="775">+R369/L369</f>
        <v>#DIV/0!</v>
      </c>
      <c r="T369" s="1804">
        <f t="shared" si="774"/>
        <v>0</v>
      </c>
      <c r="U369" s="1753" t="e">
        <f t="shared" ref="U369:U370" si="776">+T369/L369</f>
        <v>#DIV/0!</v>
      </c>
      <c r="V369" s="1804">
        <f t="shared" si="774"/>
        <v>0</v>
      </c>
      <c r="W369" s="1753" t="e">
        <f t="shared" ref="W369:W370" si="777">+V369/L369</f>
        <v>#DIV/0!</v>
      </c>
      <c r="X369" s="1804">
        <f t="shared" ref="X369:Z369" si="778">+X370+X376+X383</f>
        <v>8000000000</v>
      </c>
      <c r="Y369" s="1804">
        <f t="shared" si="778"/>
        <v>0</v>
      </c>
      <c r="Z369" s="1804">
        <f t="shared" si="778"/>
        <v>8000000000</v>
      </c>
      <c r="AA369" s="1804">
        <f t="shared" si="741"/>
        <v>8000000000</v>
      </c>
      <c r="AB369" s="1873">
        <f t="shared" si="742"/>
        <v>1</v>
      </c>
    </row>
    <row r="370" spans="1:28" s="1760" customFormat="1" ht="22.5" customHeight="1" thickTop="1" thickBot="1">
      <c r="A370" s="1755">
        <v>1</v>
      </c>
      <c r="B370" s="1756" t="s">
        <v>127</v>
      </c>
      <c r="C370" s="1756" t="s">
        <v>209</v>
      </c>
      <c r="D370" s="1756" t="s">
        <v>146</v>
      </c>
      <c r="E370" s="1756" t="s">
        <v>129</v>
      </c>
      <c r="F370" s="1756"/>
      <c r="G370" s="1756"/>
      <c r="H370" s="1756"/>
      <c r="I370" s="1756"/>
      <c r="J370" s="1756"/>
      <c r="K370" s="1757" t="s">
        <v>189</v>
      </c>
      <c r="L370" s="1758">
        <f>+L371+L372+L373+L374+L375</f>
        <v>0</v>
      </c>
      <c r="M370" s="1758">
        <f t="shared" ref="M370:N370" si="779">+M371+M372+M373+M374+M375</f>
        <v>8000000000</v>
      </c>
      <c r="N370" s="1758">
        <f t="shared" si="779"/>
        <v>0</v>
      </c>
      <c r="O370" s="1758">
        <f t="shared" si="740"/>
        <v>8000000000</v>
      </c>
      <c r="P370" s="1805">
        <f t="shared" ref="P370:V370" si="780">+P371+P372+P373+P374+P375</f>
        <v>0</v>
      </c>
      <c r="Q370" s="1759" t="e">
        <f t="shared" si="731"/>
        <v>#DIV/0!</v>
      </c>
      <c r="R370" s="1805">
        <f t="shared" si="780"/>
        <v>8000000000</v>
      </c>
      <c r="S370" s="1759" t="e">
        <f t="shared" si="775"/>
        <v>#DIV/0!</v>
      </c>
      <c r="T370" s="1805">
        <f t="shared" si="780"/>
        <v>0</v>
      </c>
      <c r="U370" s="1759" t="e">
        <f t="shared" si="776"/>
        <v>#DIV/0!</v>
      </c>
      <c r="V370" s="1805">
        <f t="shared" si="780"/>
        <v>0</v>
      </c>
      <c r="W370" s="1759" t="e">
        <f t="shared" si="777"/>
        <v>#DIV/0!</v>
      </c>
      <c r="X370" s="1805">
        <f t="shared" ref="X370:Z370" si="781">+X371+X372+X373+X374+X375</f>
        <v>8000000000</v>
      </c>
      <c r="Y370" s="1805">
        <f t="shared" si="781"/>
        <v>0</v>
      </c>
      <c r="Z370" s="1805">
        <f t="shared" si="781"/>
        <v>8000000000</v>
      </c>
      <c r="AA370" s="1805">
        <f t="shared" si="741"/>
        <v>8000000000</v>
      </c>
      <c r="AB370" s="1874">
        <f t="shared" si="742"/>
        <v>1</v>
      </c>
    </row>
    <row r="371" spans="1:28" ht="22.5" customHeight="1" thickTop="1" thickBot="1">
      <c r="A371" s="1772">
        <v>1</v>
      </c>
      <c r="B371" s="1773" t="s">
        <v>127</v>
      </c>
      <c r="C371" s="1773" t="s">
        <v>209</v>
      </c>
      <c r="D371" s="1773" t="s">
        <v>146</v>
      </c>
      <c r="E371" s="1773" t="s">
        <v>129</v>
      </c>
      <c r="F371" s="1773" t="s">
        <v>1684</v>
      </c>
      <c r="G371" s="1773"/>
      <c r="H371" s="1773"/>
      <c r="I371" s="1773"/>
      <c r="J371" s="1773"/>
      <c r="K371" s="1926" t="s">
        <v>1926</v>
      </c>
      <c r="L371" s="1796"/>
      <c r="M371" s="1796">
        <f>1000000000+1500000000+5500000000</f>
        <v>8000000000</v>
      </c>
      <c r="N371" s="1796"/>
      <c r="O371" s="1796">
        <f t="shared" si="740"/>
        <v>8000000000</v>
      </c>
      <c r="P371" s="1777">
        <f t="shared" ref="P371:P375" si="782">+L371*Q371</f>
        <v>0</v>
      </c>
      <c r="Q371" s="1775"/>
      <c r="R371" s="1797">
        <v>8000000000</v>
      </c>
      <c r="S371" s="1775"/>
      <c r="T371" s="1777">
        <f t="shared" ref="T371:T375" si="783">+L371*U371</f>
        <v>0</v>
      </c>
      <c r="U371" s="1775"/>
      <c r="V371" s="1777">
        <f>+O371*W371</f>
        <v>0</v>
      </c>
      <c r="W371" s="1775"/>
      <c r="X371" s="1777">
        <f>+AA371</f>
        <v>8000000000</v>
      </c>
      <c r="Y371" s="1777"/>
      <c r="Z371" s="1777">
        <v>8000000000</v>
      </c>
      <c r="AA371" s="1870">
        <f t="shared" si="741"/>
        <v>8000000000</v>
      </c>
      <c r="AB371" s="1877">
        <f t="shared" si="742"/>
        <v>1</v>
      </c>
    </row>
    <row r="372" spans="1:28" ht="22.5" hidden="1" customHeight="1" thickTop="1" thickBot="1">
      <c r="A372" s="1772">
        <v>1</v>
      </c>
      <c r="B372" s="1773" t="s">
        <v>127</v>
      </c>
      <c r="C372" s="1773" t="s">
        <v>209</v>
      </c>
      <c r="D372" s="1773" t="s">
        <v>146</v>
      </c>
      <c r="E372" s="1773" t="s">
        <v>129</v>
      </c>
      <c r="F372" s="1773" t="s">
        <v>1703</v>
      </c>
      <c r="G372" s="1773"/>
      <c r="H372" s="1773"/>
      <c r="I372" s="1773"/>
      <c r="J372" s="1773"/>
      <c r="K372" s="1776" t="s">
        <v>1927</v>
      </c>
      <c r="L372" s="1774"/>
      <c r="M372" s="1774"/>
      <c r="N372" s="1774"/>
      <c r="O372" s="1774">
        <f t="shared" si="740"/>
        <v>0</v>
      </c>
      <c r="P372" s="1777">
        <f t="shared" si="782"/>
        <v>0</v>
      </c>
      <c r="Q372" s="1775"/>
      <c r="R372" s="1777">
        <f t="shared" ref="R372:R375" si="784">+L372*S372</f>
        <v>0</v>
      </c>
      <c r="S372" s="1775"/>
      <c r="T372" s="1777">
        <f t="shared" si="783"/>
        <v>0</v>
      </c>
      <c r="U372" s="1775"/>
      <c r="V372" s="1777">
        <f t="shared" ref="V372:V375" si="785">+O372*W372</f>
        <v>0</v>
      </c>
      <c r="W372" s="1775"/>
      <c r="X372" s="1777"/>
      <c r="Y372" s="1777"/>
      <c r="Z372" s="1777"/>
      <c r="AA372" s="1777">
        <f t="shared" si="741"/>
        <v>0</v>
      </c>
      <c r="AB372" s="1877" t="e">
        <f t="shared" si="742"/>
        <v>#DIV/0!</v>
      </c>
    </row>
    <row r="373" spans="1:28" ht="22.5" hidden="1" customHeight="1" thickTop="1" thickBot="1">
      <c r="A373" s="1772">
        <v>1</v>
      </c>
      <c r="B373" s="1773" t="s">
        <v>127</v>
      </c>
      <c r="C373" s="1773" t="s">
        <v>209</v>
      </c>
      <c r="D373" s="1773" t="s">
        <v>146</v>
      </c>
      <c r="E373" s="1773" t="s">
        <v>129</v>
      </c>
      <c r="F373" s="1773" t="s">
        <v>1751</v>
      </c>
      <c r="G373" s="1773"/>
      <c r="H373" s="1773"/>
      <c r="I373" s="1773"/>
      <c r="J373" s="1773"/>
      <c r="K373" s="1776" t="s">
        <v>1928</v>
      </c>
      <c r="L373" s="1774"/>
      <c r="M373" s="1774"/>
      <c r="N373" s="1774"/>
      <c r="O373" s="1774">
        <f t="shared" si="740"/>
        <v>0</v>
      </c>
      <c r="P373" s="1777">
        <f t="shared" si="782"/>
        <v>0</v>
      </c>
      <c r="Q373" s="1775"/>
      <c r="R373" s="1777">
        <f t="shared" si="784"/>
        <v>0</v>
      </c>
      <c r="S373" s="1775"/>
      <c r="T373" s="1777">
        <f t="shared" si="783"/>
        <v>0</v>
      </c>
      <c r="U373" s="1775"/>
      <c r="V373" s="1777">
        <f t="shared" si="785"/>
        <v>0</v>
      </c>
      <c r="W373" s="1775"/>
      <c r="X373" s="1777"/>
      <c r="Y373" s="1777"/>
      <c r="Z373" s="1777"/>
      <c r="AA373" s="1777">
        <f t="shared" si="741"/>
        <v>0</v>
      </c>
      <c r="AB373" s="1877" t="e">
        <f t="shared" si="742"/>
        <v>#DIV/0!</v>
      </c>
    </row>
    <row r="374" spans="1:28" ht="22.5" hidden="1" customHeight="1" thickTop="1" thickBot="1">
      <c r="A374" s="1772">
        <v>1</v>
      </c>
      <c r="B374" s="1773" t="s">
        <v>127</v>
      </c>
      <c r="C374" s="1773" t="s">
        <v>209</v>
      </c>
      <c r="D374" s="1773" t="s">
        <v>146</v>
      </c>
      <c r="E374" s="1773" t="s">
        <v>129</v>
      </c>
      <c r="F374" s="1773" t="s">
        <v>1929</v>
      </c>
      <c r="G374" s="1773"/>
      <c r="H374" s="1773"/>
      <c r="I374" s="1773"/>
      <c r="J374" s="1773"/>
      <c r="K374" s="1776" t="s">
        <v>1919</v>
      </c>
      <c r="L374" s="1774"/>
      <c r="M374" s="1774"/>
      <c r="N374" s="1774"/>
      <c r="O374" s="1774">
        <f t="shared" si="740"/>
        <v>0</v>
      </c>
      <c r="P374" s="1777">
        <f t="shared" si="782"/>
        <v>0</v>
      </c>
      <c r="Q374" s="1775"/>
      <c r="R374" s="1777">
        <f t="shared" si="784"/>
        <v>0</v>
      </c>
      <c r="S374" s="1775"/>
      <c r="T374" s="1777">
        <f t="shared" si="783"/>
        <v>0</v>
      </c>
      <c r="U374" s="1775"/>
      <c r="V374" s="1777">
        <f t="shared" si="785"/>
        <v>0</v>
      </c>
      <c r="W374" s="1775"/>
      <c r="X374" s="1777"/>
      <c r="Y374" s="1777"/>
      <c r="Z374" s="1777"/>
      <c r="AA374" s="1777">
        <f t="shared" si="741"/>
        <v>0</v>
      </c>
      <c r="AB374" s="1877" t="e">
        <f t="shared" si="742"/>
        <v>#DIV/0!</v>
      </c>
    </row>
    <row r="375" spans="1:28" ht="22.5" hidden="1" customHeight="1" thickTop="1" thickBot="1">
      <c r="A375" s="1772">
        <v>1</v>
      </c>
      <c r="B375" s="1773" t="s">
        <v>127</v>
      </c>
      <c r="C375" s="1773" t="s">
        <v>209</v>
      </c>
      <c r="D375" s="1773" t="s">
        <v>146</v>
      </c>
      <c r="E375" s="1773" t="s">
        <v>129</v>
      </c>
      <c r="F375" s="1773" t="s">
        <v>1930</v>
      </c>
      <c r="G375" s="1773"/>
      <c r="H375" s="1773"/>
      <c r="I375" s="1773"/>
      <c r="J375" s="1773"/>
      <c r="K375" s="1776" t="s">
        <v>1931</v>
      </c>
      <c r="L375" s="1774"/>
      <c r="M375" s="1774"/>
      <c r="N375" s="1774"/>
      <c r="O375" s="1774">
        <f t="shared" si="740"/>
        <v>0</v>
      </c>
      <c r="P375" s="1777">
        <f t="shared" si="782"/>
        <v>0</v>
      </c>
      <c r="Q375" s="1775"/>
      <c r="R375" s="1777">
        <f t="shared" si="784"/>
        <v>0</v>
      </c>
      <c r="S375" s="1775"/>
      <c r="T375" s="1777">
        <f t="shared" si="783"/>
        <v>0</v>
      </c>
      <c r="U375" s="1775"/>
      <c r="V375" s="1777">
        <f t="shared" si="785"/>
        <v>0</v>
      </c>
      <c r="W375" s="1775"/>
      <c r="X375" s="1777"/>
      <c r="Y375" s="1777"/>
      <c r="Z375" s="1777"/>
      <c r="AA375" s="1777">
        <f t="shared" si="741"/>
        <v>0</v>
      </c>
      <c r="AB375" s="1877" t="e">
        <f t="shared" si="742"/>
        <v>#DIV/0!</v>
      </c>
    </row>
    <row r="376" spans="1:28" s="1760" customFormat="1" ht="22.5" hidden="1" customHeight="1" thickTop="1" thickBot="1">
      <c r="A376" s="1755">
        <v>1</v>
      </c>
      <c r="B376" s="1756" t="s">
        <v>127</v>
      </c>
      <c r="C376" s="1756" t="s">
        <v>209</v>
      </c>
      <c r="D376" s="1756" t="s">
        <v>146</v>
      </c>
      <c r="E376" s="1756" t="s">
        <v>134</v>
      </c>
      <c r="F376" s="1756"/>
      <c r="G376" s="1756"/>
      <c r="H376" s="1756"/>
      <c r="I376" s="1756"/>
      <c r="J376" s="1756"/>
      <c r="K376" s="1757" t="s">
        <v>1923</v>
      </c>
      <c r="L376" s="1758">
        <f>+L377+L382</f>
        <v>0</v>
      </c>
      <c r="M376" s="1758">
        <f t="shared" ref="M376:N376" si="786">+M377+M382</f>
        <v>0</v>
      </c>
      <c r="N376" s="1758">
        <f t="shared" si="786"/>
        <v>0</v>
      </c>
      <c r="O376" s="1758">
        <f t="shared" si="740"/>
        <v>0</v>
      </c>
      <c r="P376" s="1805">
        <f t="shared" ref="P376:V376" si="787">+P377+P382</f>
        <v>0</v>
      </c>
      <c r="Q376" s="1759" t="e">
        <f t="shared" si="731"/>
        <v>#DIV/0!</v>
      </c>
      <c r="R376" s="1805">
        <f t="shared" si="787"/>
        <v>0</v>
      </c>
      <c r="S376" s="1759" t="e">
        <f t="shared" ref="S376:S377" si="788">+R376/L376</f>
        <v>#DIV/0!</v>
      </c>
      <c r="T376" s="1805">
        <f t="shared" si="787"/>
        <v>0</v>
      </c>
      <c r="U376" s="1759" t="e">
        <f t="shared" ref="U376:U377" si="789">+T376/L376</f>
        <v>#DIV/0!</v>
      </c>
      <c r="V376" s="1805">
        <f t="shared" si="787"/>
        <v>0</v>
      </c>
      <c r="W376" s="1759" t="e">
        <f t="shared" ref="W376:W377" si="790">+V376/L376</f>
        <v>#DIV/0!</v>
      </c>
      <c r="X376" s="1805">
        <f t="shared" ref="X376:Z376" si="791">+X377+X382</f>
        <v>0</v>
      </c>
      <c r="Y376" s="1805">
        <f t="shared" si="791"/>
        <v>0</v>
      </c>
      <c r="Z376" s="1805">
        <f t="shared" si="791"/>
        <v>0</v>
      </c>
      <c r="AA376" s="1805">
        <f t="shared" si="741"/>
        <v>0</v>
      </c>
      <c r="AB376" s="1874" t="e">
        <f t="shared" si="742"/>
        <v>#DIV/0!</v>
      </c>
    </row>
    <row r="377" spans="1:28" s="1766" customFormat="1" ht="22.5" hidden="1" customHeight="1" thickTop="1" thickBot="1">
      <c r="A377" s="1761">
        <v>1</v>
      </c>
      <c r="B377" s="1762" t="s">
        <v>127</v>
      </c>
      <c r="C377" s="1762" t="s">
        <v>209</v>
      </c>
      <c r="D377" s="1762" t="s">
        <v>146</v>
      </c>
      <c r="E377" s="1762" t="s">
        <v>134</v>
      </c>
      <c r="F377" s="1762" t="s">
        <v>1684</v>
      </c>
      <c r="G377" s="1762"/>
      <c r="H377" s="1762"/>
      <c r="I377" s="1762"/>
      <c r="J377" s="1762"/>
      <c r="K377" s="1763" t="s">
        <v>1932</v>
      </c>
      <c r="L377" s="1764">
        <f>+L378+L379+L380+L381</f>
        <v>0</v>
      </c>
      <c r="M377" s="1764">
        <f t="shared" ref="M377:N377" si="792">+M378+M379+M380+M381</f>
        <v>0</v>
      </c>
      <c r="N377" s="1764">
        <f t="shared" si="792"/>
        <v>0</v>
      </c>
      <c r="O377" s="1764">
        <f t="shared" si="740"/>
        <v>0</v>
      </c>
      <c r="P377" s="1781">
        <f t="shared" ref="P377:V377" si="793">+P378+P379+P380+P381</f>
        <v>0</v>
      </c>
      <c r="Q377" s="1765" t="e">
        <f t="shared" si="731"/>
        <v>#DIV/0!</v>
      </c>
      <c r="R377" s="1781">
        <f t="shared" si="793"/>
        <v>0</v>
      </c>
      <c r="S377" s="1765" t="e">
        <f t="shared" si="788"/>
        <v>#DIV/0!</v>
      </c>
      <c r="T377" s="1781">
        <f t="shared" si="793"/>
        <v>0</v>
      </c>
      <c r="U377" s="1765" t="e">
        <f t="shared" si="789"/>
        <v>#DIV/0!</v>
      </c>
      <c r="V377" s="1781">
        <f t="shared" si="793"/>
        <v>0</v>
      </c>
      <c r="W377" s="1765" t="e">
        <f t="shared" si="790"/>
        <v>#DIV/0!</v>
      </c>
      <c r="X377" s="1781">
        <f t="shared" ref="X377:Z377" si="794">+X378+X379+X380+X381</f>
        <v>0</v>
      </c>
      <c r="Y377" s="1781">
        <f t="shared" si="794"/>
        <v>0</v>
      </c>
      <c r="Z377" s="1781">
        <f t="shared" si="794"/>
        <v>0</v>
      </c>
      <c r="AA377" s="1781">
        <f t="shared" si="741"/>
        <v>0</v>
      </c>
      <c r="AB377" s="1875" t="e">
        <f t="shared" si="742"/>
        <v>#DIV/0!</v>
      </c>
    </row>
    <row r="378" spans="1:28" ht="22.5" hidden="1" customHeight="1" thickTop="1" thickBot="1">
      <c r="A378" s="1772">
        <v>1</v>
      </c>
      <c r="B378" s="1773" t="s">
        <v>127</v>
      </c>
      <c r="C378" s="1773" t="s">
        <v>209</v>
      </c>
      <c r="D378" s="1773" t="s">
        <v>146</v>
      </c>
      <c r="E378" s="1773" t="s">
        <v>134</v>
      </c>
      <c r="F378" s="1773" t="s">
        <v>1684</v>
      </c>
      <c r="G378" s="1773" t="s">
        <v>129</v>
      </c>
      <c r="H378" s="1773"/>
      <c r="I378" s="1773"/>
      <c r="J378" s="1773"/>
      <c r="K378" s="1776" t="s">
        <v>190</v>
      </c>
      <c r="L378" s="1774"/>
      <c r="M378" s="1774"/>
      <c r="N378" s="1774"/>
      <c r="O378" s="1774">
        <f t="shared" si="740"/>
        <v>0</v>
      </c>
      <c r="P378" s="1777">
        <f t="shared" ref="P378:P383" si="795">+L378*Q378</f>
        <v>0</v>
      </c>
      <c r="Q378" s="1775"/>
      <c r="R378" s="1777">
        <f t="shared" ref="R378:R383" si="796">+L378*S378</f>
        <v>0</v>
      </c>
      <c r="S378" s="1775"/>
      <c r="T378" s="1777">
        <f t="shared" ref="T378:T383" si="797">+L378*U378</f>
        <v>0</v>
      </c>
      <c r="U378" s="1775"/>
      <c r="V378" s="1777">
        <f>+O378*W378</f>
        <v>0</v>
      </c>
      <c r="W378" s="1775"/>
      <c r="X378" s="1777"/>
      <c r="Y378" s="1777"/>
      <c r="Z378" s="1777"/>
      <c r="AA378" s="1777">
        <f t="shared" si="741"/>
        <v>0</v>
      </c>
      <c r="AB378" s="1877" t="e">
        <f t="shared" si="742"/>
        <v>#DIV/0!</v>
      </c>
    </row>
    <row r="379" spans="1:28" ht="22.5" hidden="1" customHeight="1" thickTop="1" thickBot="1">
      <c r="A379" s="1772">
        <v>1</v>
      </c>
      <c r="B379" s="1773" t="s">
        <v>127</v>
      </c>
      <c r="C379" s="1773" t="s">
        <v>209</v>
      </c>
      <c r="D379" s="1773" t="s">
        <v>146</v>
      </c>
      <c r="E379" s="1773" t="s">
        <v>134</v>
      </c>
      <c r="F379" s="1773" t="s">
        <v>1684</v>
      </c>
      <c r="G379" s="1773" t="s">
        <v>134</v>
      </c>
      <c r="H379" s="1773"/>
      <c r="I379" s="1773"/>
      <c r="J379" s="1773"/>
      <c r="K379" s="1776" t="s">
        <v>191</v>
      </c>
      <c r="L379" s="1774"/>
      <c r="M379" s="1774"/>
      <c r="N379" s="1774"/>
      <c r="O379" s="1774">
        <f t="shared" si="740"/>
        <v>0</v>
      </c>
      <c r="P379" s="1777">
        <f t="shared" si="795"/>
        <v>0</v>
      </c>
      <c r="Q379" s="1775"/>
      <c r="R379" s="1777">
        <f t="shared" si="796"/>
        <v>0</v>
      </c>
      <c r="S379" s="1775"/>
      <c r="T379" s="1777">
        <f t="shared" si="797"/>
        <v>0</v>
      </c>
      <c r="U379" s="1775"/>
      <c r="V379" s="1777">
        <f t="shared" ref="V379:V381" si="798">+O379*W379</f>
        <v>0</v>
      </c>
      <c r="W379" s="1775"/>
      <c r="X379" s="1777"/>
      <c r="Y379" s="1777"/>
      <c r="Z379" s="1777"/>
      <c r="AA379" s="1777">
        <f t="shared" si="741"/>
        <v>0</v>
      </c>
      <c r="AB379" s="1877" t="e">
        <f t="shared" si="742"/>
        <v>#DIV/0!</v>
      </c>
    </row>
    <row r="380" spans="1:28" ht="22.5" hidden="1" customHeight="1" thickTop="1" thickBot="1">
      <c r="A380" s="1772">
        <v>1</v>
      </c>
      <c r="B380" s="1773" t="s">
        <v>127</v>
      </c>
      <c r="C380" s="1773" t="s">
        <v>209</v>
      </c>
      <c r="D380" s="1773" t="s">
        <v>146</v>
      </c>
      <c r="E380" s="1773" t="s">
        <v>134</v>
      </c>
      <c r="F380" s="1773" t="s">
        <v>1684</v>
      </c>
      <c r="G380" s="1773" t="s">
        <v>139</v>
      </c>
      <c r="H380" s="1773"/>
      <c r="I380" s="1773"/>
      <c r="J380" s="1773"/>
      <c r="K380" s="1776" t="s">
        <v>1933</v>
      </c>
      <c r="L380" s="1774"/>
      <c r="M380" s="1774"/>
      <c r="N380" s="1774"/>
      <c r="O380" s="1774">
        <f t="shared" si="740"/>
        <v>0</v>
      </c>
      <c r="P380" s="1777">
        <f t="shared" si="795"/>
        <v>0</v>
      </c>
      <c r="Q380" s="1775"/>
      <c r="R380" s="1777">
        <f t="shared" si="796"/>
        <v>0</v>
      </c>
      <c r="S380" s="1775"/>
      <c r="T380" s="1777">
        <f t="shared" si="797"/>
        <v>0</v>
      </c>
      <c r="U380" s="1775"/>
      <c r="V380" s="1777">
        <f t="shared" si="798"/>
        <v>0</v>
      </c>
      <c r="W380" s="1775"/>
      <c r="X380" s="1777"/>
      <c r="Y380" s="1777"/>
      <c r="Z380" s="1777"/>
      <c r="AA380" s="1777">
        <f t="shared" si="741"/>
        <v>0</v>
      </c>
      <c r="AB380" s="1877" t="e">
        <f t="shared" si="742"/>
        <v>#DIV/0!</v>
      </c>
    </row>
    <row r="381" spans="1:28" ht="22.5" hidden="1" customHeight="1" thickTop="1" thickBot="1">
      <c r="A381" s="1772">
        <v>1</v>
      </c>
      <c r="B381" s="1773" t="s">
        <v>127</v>
      </c>
      <c r="C381" s="1773" t="s">
        <v>209</v>
      </c>
      <c r="D381" s="1773" t="s">
        <v>146</v>
      </c>
      <c r="E381" s="1773" t="s">
        <v>134</v>
      </c>
      <c r="F381" s="1773" t="s">
        <v>1684</v>
      </c>
      <c r="G381" s="1773" t="s">
        <v>140</v>
      </c>
      <c r="H381" s="1773"/>
      <c r="I381" s="1773"/>
      <c r="J381" s="1773"/>
      <c r="K381" s="1776" t="s">
        <v>1934</v>
      </c>
      <c r="L381" s="1774"/>
      <c r="M381" s="1774"/>
      <c r="N381" s="1774"/>
      <c r="O381" s="1774">
        <f t="shared" si="740"/>
        <v>0</v>
      </c>
      <c r="P381" s="1777">
        <f t="shared" si="795"/>
        <v>0</v>
      </c>
      <c r="Q381" s="1775"/>
      <c r="R381" s="1777">
        <f t="shared" si="796"/>
        <v>0</v>
      </c>
      <c r="S381" s="1775"/>
      <c r="T381" s="1777">
        <f t="shared" si="797"/>
        <v>0</v>
      </c>
      <c r="U381" s="1775"/>
      <c r="V381" s="1777">
        <f t="shared" si="798"/>
        <v>0</v>
      </c>
      <c r="W381" s="1775"/>
      <c r="X381" s="1777"/>
      <c r="Y381" s="1777"/>
      <c r="Z381" s="1777"/>
      <c r="AA381" s="1777">
        <f t="shared" si="741"/>
        <v>0</v>
      </c>
      <c r="AB381" s="1877" t="e">
        <f t="shared" si="742"/>
        <v>#DIV/0!</v>
      </c>
    </row>
    <row r="382" spans="1:28" s="1766" customFormat="1" ht="22.5" hidden="1" customHeight="1" thickTop="1" thickBot="1">
      <c r="A382" s="1761">
        <v>1</v>
      </c>
      <c r="B382" s="1762" t="s">
        <v>127</v>
      </c>
      <c r="C382" s="1762" t="s">
        <v>209</v>
      </c>
      <c r="D382" s="1762" t="s">
        <v>146</v>
      </c>
      <c r="E382" s="1762" t="s">
        <v>134</v>
      </c>
      <c r="F382" s="1762" t="s">
        <v>1703</v>
      </c>
      <c r="G382" s="1762"/>
      <c r="H382" s="1762"/>
      <c r="I382" s="1762"/>
      <c r="J382" s="1762"/>
      <c r="K382" s="1763" t="s">
        <v>1935</v>
      </c>
      <c r="L382" s="1764"/>
      <c r="M382" s="1764"/>
      <c r="N382" s="1764"/>
      <c r="O382" s="1764">
        <f t="shared" si="740"/>
        <v>0</v>
      </c>
      <c r="P382" s="1781">
        <f t="shared" si="795"/>
        <v>0</v>
      </c>
      <c r="Q382" s="1765"/>
      <c r="R382" s="1781">
        <f t="shared" si="796"/>
        <v>0</v>
      </c>
      <c r="S382" s="1765"/>
      <c r="T382" s="1781">
        <f t="shared" si="797"/>
        <v>0</v>
      </c>
      <c r="U382" s="1765"/>
      <c r="V382" s="1781">
        <f>+O382*W382</f>
        <v>0</v>
      </c>
      <c r="W382" s="1765"/>
      <c r="X382" s="1781"/>
      <c r="Y382" s="1781"/>
      <c r="Z382" s="1781"/>
      <c r="AA382" s="1781">
        <f t="shared" si="741"/>
        <v>0</v>
      </c>
      <c r="AB382" s="1875" t="e">
        <f t="shared" si="742"/>
        <v>#DIV/0!</v>
      </c>
    </row>
    <row r="383" spans="1:28" s="1760" customFormat="1" ht="22.5" hidden="1" customHeight="1" thickTop="1" thickBot="1">
      <c r="A383" s="1755">
        <v>1</v>
      </c>
      <c r="B383" s="1756" t="s">
        <v>127</v>
      </c>
      <c r="C383" s="1756" t="s">
        <v>209</v>
      </c>
      <c r="D383" s="1756" t="s">
        <v>146</v>
      </c>
      <c r="E383" s="1756" t="s">
        <v>139</v>
      </c>
      <c r="F383" s="1756"/>
      <c r="G383" s="1756"/>
      <c r="H383" s="1756"/>
      <c r="I383" s="1756"/>
      <c r="J383" s="1756"/>
      <c r="K383" s="1757" t="s">
        <v>1925</v>
      </c>
      <c r="L383" s="1758"/>
      <c r="M383" s="1758"/>
      <c r="N383" s="1758"/>
      <c r="O383" s="1758">
        <f t="shared" si="740"/>
        <v>0</v>
      </c>
      <c r="P383" s="1805">
        <f t="shared" si="795"/>
        <v>0</v>
      </c>
      <c r="Q383" s="1759"/>
      <c r="R383" s="1805">
        <f t="shared" si="796"/>
        <v>0</v>
      </c>
      <c r="S383" s="1759"/>
      <c r="T383" s="1805">
        <f t="shared" si="797"/>
        <v>0</v>
      </c>
      <c r="U383" s="1759"/>
      <c r="V383" s="1805">
        <f>+O383*W383</f>
        <v>0</v>
      </c>
      <c r="W383" s="1759"/>
      <c r="X383" s="1805"/>
      <c r="Y383" s="1805"/>
      <c r="Z383" s="1805"/>
      <c r="AA383" s="1805">
        <f t="shared" si="741"/>
        <v>0</v>
      </c>
      <c r="AB383" s="1874" t="e">
        <f t="shared" si="742"/>
        <v>#DIV/0!</v>
      </c>
    </row>
    <row r="384" spans="1:28" s="1754" customFormat="1" ht="22.5" customHeight="1" thickTop="1" thickBot="1">
      <c r="A384" s="1749">
        <v>1</v>
      </c>
      <c r="B384" s="1750" t="s">
        <v>127</v>
      </c>
      <c r="C384" s="1750" t="s">
        <v>209</v>
      </c>
      <c r="D384" s="1750" t="s">
        <v>147</v>
      </c>
      <c r="E384" s="1750"/>
      <c r="F384" s="1750"/>
      <c r="G384" s="1750"/>
      <c r="H384" s="1750"/>
      <c r="I384" s="1750"/>
      <c r="J384" s="1750"/>
      <c r="K384" s="1751" t="s">
        <v>1936</v>
      </c>
      <c r="L384" s="1752">
        <f>+L385+L395+L396+L399</f>
        <v>14416666667</v>
      </c>
      <c r="M384" s="1752">
        <f t="shared" ref="M384:N384" si="799">+M385+M395+M396+M399</f>
        <v>3912277256</v>
      </c>
      <c r="N384" s="1752">
        <f t="shared" si="799"/>
        <v>0</v>
      </c>
      <c r="O384" s="1752">
        <f t="shared" si="740"/>
        <v>18328943923</v>
      </c>
      <c r="P384" s="1752">
        <f t="shared" ref="P384:V384" si="800">+P385+P395+P396+P399</f>
        <v>0</v>
      </c>
      <c r="Q384" s="1753">
        <f t="shared" ref="Q384:Q448" si="801">+P384/L384</f>
        <v>0</v>
      </c>
      <c r="R384" s="1752">
        <f t="shared" si="800"/>
        <v>18328943923</v>
      </c>
      <c r="S384" s="1753">
        <f>+R384/L384</f>
        <v>1.2713718327798527</v>
      </c>
      <c r="T384" s="1752">
        <f t="shared" si="800"/>
        <v>0</v>
      </c>
      <c r="U384" s="1753">
        <f>+T384/L384</f>
        <v>0</v>
      </c>
      <c r="V384" s="1804">
        <f t="shared" si="800"/>
        <v>0</v>
      </c>
      <c r="W384" s="1753">
        <f>+V384/L384</f>
        <v>0</v>
      </c>
      <c r="X384" s="1804">
        <f t="shared" ref="X384:Z384" si="802">+X385+X395+X396+X399</f>
        <v>18853277255</v>
      </c>
      <c r="Y384" s="1804">
        <f t="shared" si="802"/>
        <v>14416666667</v>
      </c>
      <c r="Z384" s="1804">
        <f t="shared" si="802"/>
        <v>552333332</v>
      </c>
      <c r="AA384" s="1804">
        <f t="shared" si="741"/>
        <v>14968999999</v>
      </c>
      <c r="AB384" s="1873">
        <f t="shared" si="742"/>
        <v>0.79397336582583455</v>
      </c>
    </row>
    <row r="385" spans="1:28" s="1760" customFormat="1" ht="22.5" hidden="1" customHeight="1" thickTop="1" thickBot="1">
      <c r="A385" s="1755">
        <v>1</v>
      </c>
      <c r="B385" s="1756" t="s">
        <v>127</v>
      </c>
      <c r="C385" s="1756" t="s">
        <v>209</v>
      </c>
      <c r="D385" s="1756" t="s">
        <v>147</v>
      </c>
      <c r="E385" s="1756" t="s">
        <v>129</v>
      </c>
      <c r="F385" s="1756"/>
      <c r="G385" s="1756"/>
      <c r="H385" s="1756"/>
      <c r="I385" s="1756"/>
      <c r="J385" s="1756"/>
      <c r="K385" s="1757" t="s">
        <v>52</v>
      </c>
      <c r="L385" s="1758">
        <f>+L386+L389+L392</f>
        <v>0</v>
      </c>
      <c r="M385" s="1758">
        <f t="shared" ref="M385:N385" si="803">+M386+M389+M392</f>
        <v>0</v>
      </c>
      <c r="N385" s="1758">
        <f t="shared" si="803"/>
        <v>0</v>
      </c>
      <c r="O385" s="1758">
        <f t="shared" si="740"/>
        <v>0</v>
      </c>
      <c r="P385" s="1805">
        <f t="shared" ref="P385:V385" si="804">+P386+P389+P392</f>
        <v>0</v>
      </c>
      <c r="Q385" s="1759" t="e">
        <f t="shared" si="801"/>
        <v>#DIV/0!</v>
      </c>
      <c r="R385" s="1805">
        <f t="shared" si="804"/>
        <v>0</v>
      </c>
      <c r="S385" s="1759" t="e">
        <f t="shared" ref="S385:S386" si="805">+R385/L385</f>
        <v>#DIV/0!</v>
      </c>
      <c r="T385" s="1805">
        <f t="shared" si="804"/>
        <v>0</v>
      </c>
      <c r="U385" s="1759" t="e">
        <f t="shared" ref="U385:U386" si="806">+T385/L385</f>
        <v>#DIV/0!</v>
      </c>
      <c r="V385" s="1805">
        <f t="shared" si="804"/>
        <v>0</v>
      </c>
      <c r="W385" s="1759" t="e">
        <f t="shared" ref="W385:W386" si="807">+V385/L385</f>
        <v>#DIV/0!</v>
      </c>
      <c r="X385" s="1805">
        <f t="shared" ref="X385:Z385" si="808">+X386+X389+X392</f>
        <v>0</v>
      </c>
      <c r="Y385" s="1805">
        <f t="shared" si="808"/>
        <v>0</v>
      </c>
      <c r="Z385" s="1805">
        <f t="shared" si="808"/>
        <v>0</v>
      </c>
      <c r="AA385" s="1805">
        <f t="shared" si="741"/>
        <v>0</v>
      </c>
      <c r="AB385" s="1874" t="e">
        <f t="shared" si="742"/>
        <v>#DIV/0!</v>
      </c>
    </row>
    <row r="386" spans="1:28" s="1766" customFormat="1" ht="22.5" hidden="1" customHeight="1" thickTop="1" thickBot="1">
      <c r="A386" s="1761">
        <v>1</v>
      </c>
      <c r="B386" s="1762" t="s">
        <v>127</v>
      </c>
      <c r="C386" s="1762" t="s">
        <v>209</v>
      </c>
      <c r="D386" s="1762" t="s">
        <v>147</v>
      </c>
      <c r="E386" s="1762" t="s">
        <v>129</v>
      </c>
      <c r="F386" s="1762" t="s">
        <v>1684</v>
      </c>
      <c r="G386" s="1762"/>
      <c r="H386" s="1762"/>
      <c r="I386" s="1762"/>
      <c r="J386" s="1762"/>
      <c r="K386" s="1763" t="s">
        <v>1937</v>
      </c>
      <c r="L386" s="1764">
        <f>+L387+L388</f>
        <v>0</v>
      </c>
      <c r="M386" s="1764">
        <f t="shared" ref="M386:N386" si="809">+M387+M388</f>
        <v>0</v>
      </c>
      <c r="N386" s="1764">
        <f t="shared" si="809"/>
        <v>0</v>
      </c>
      <c r="O386" s="1764">
        <f t="shared" si="740"/>
        <v>0</v>
      </c>
      <c r="P386" s="1781">
        <f t="shared" ref="P386:V386" si="810">+P387+P388</f>
        <v>0</v>
      </c>
      <c r="Q386" s="1765" t="e">
        <f t="shared" si="801"/>
        <v>#DIV/0!</v>
      </c>
      <c r="R386" s="1781">
        <f t="shared" si="810"/>
        <v>0</v>
      </c>
      <c r="S386" s="1765" t="e">
        <f t="shared" si="805"/>
        <v>#DIV/0!</v>
      </c>
      <c r="T386" s="1781">
        <f t="shared" si="810"/>
        <v>0</v>
      </c>
      <c r="U386" s="1765" t="e">
        <f t="shared" si="806"/>
        <v>#DIV/0!</v>
      </c>
      <c r="V386" s="1781">
        <f t="shared" si="810"/>
        <v>0</v>
      </c>
      <c r="W386" s="1765" t="e">
        <f t="shared" si="807"/>
        <v>#DIV/0!</v>
      </c>
      <c r="X386" s="1781">
        <f t="shared" ref="X386:Z386" si="811">+X387+X388</f>
        <v>0</v>
      </c>
      <c r="Y386" s="1781">
        <f t="shared" si="811"/>
        <v>0</v>
      </c>
      <c r="Z386" s="1781">
        <f t="shared" si="811"/>
        <v>0</v>
      </c>
      <c r="AA386" s="1781">
        <f t="shared" si="741"/>
        <v>0</v>
      </c>
      <c r="AB386" s="1875" t="e">
        <f t="shared" si="742"/>
        <v>#DIV/0!</v>
      </c>
    </row>
    <row r="387" spans="1:28" ht="22.5" hidden="1" customHeight="1" thickTop="1" thickBot="1">
      <c r="A387" s="1772">
        <v>1</v>
      </c>
      <c r="B387" s="1773" t="s">
        <v>127</v>
      </c>
      <c r="C387" s="1773" t="s">
        <v>209</v>
      </c>
      <c r="D387" s="1773" t="s">
        <v>147</v>
      </c>
      <c r="E387" s="1773" t="s">
        <v>129</v>
      </c>
      <c r="F387" s="1773" t="s">
        <v>1684</v>
      </c>
      <c r="G387" s="1773" t="s">
        <v>129</v>
      </c>
      <c r="H387" s="1773"/>
      <c r="I387" s="1773"/>
      <c r="J387" s="1773"/>
      <c r="K387" s="1776" t="s">
        <v>1938</v>
      </c>
      <c r="L387" s="1774"/>
      <c r="M387" s="1774"/>
      <c r="N387" s="1774"/>
      <c r="O387" s="1774">
        <f t="shared" si="740"/>
        <v>0</v>
      </c>
      <c r="P387" s="1777">
        <f t="shared" ref="P387:P388" si="812">+L387*Q387</f>
        <v>0</v>
      </c>
      <c r="Q387" s="1775"/>
      <c r="R387" s="1777">
        <f t="shared" ref="R387:R388" si="813">+L387*S387</f>
        <v>0</v>
      </c>
      <c r="S387" s="1775"/>
      <c r="T387" s="1777">
        <f t="shared" ref="T387:T388" si="814">+L387*U387</f>
        <v>0</v>
      </c>
      <c r="U387" s="1775"/>
      <c r="V387" s="1777">
        <f>+O387*W387</f>
        <v>0</v>
      </c>
      <c r="W387" s="1775"/>
      <c r="X387" s="1777"/>
      <c r="Y387" s="1777"/>
      <c r="Z387" s="1777"/>
      <c r="AA387" s="1777">
        <f t="shared" si="741"/>
        <v>0</v>
      </c>
      <c r="AB387" s="1877" t="e">
        <f t="shared" si="742"/>
        <v>#DIV/0!</v>
      </c>
    </row>
    <row r="388" spans="1:28" ht="22.5" hidden="1" customHeight="1" thickTop="1" thickBot="1">
      <c r="A388" s="1772">
        <v>1</v>
      </c>
      <c r="B388" s="1773" t="s">
        <v>127</v>
      </c>
      <c r="C388" s="1773" t="s">
        <v>209</v>
      </c>
      <c r="D388" s="1773" t="s">
        <v>147</v>
      </c>
      <c r="E388" s="1773" t="s">
        <v>129</v>
      </c>
      <c r="F388" s="1773" t="s">
        <v>1684</v>
      </c>
      <c r="G388" s="1773" t="s">
        <v>134</v>
      </c>
      <c r="H388" s="1773"/>
      <c r="I388" s="1773"/>
      <c r="J388" s="1773"/>
      <c r="K388" s="1776" t="s">
        <v>1939</v>
      </c>
      <c r="L388" s="1774"/>
      <c r="M388" s="1774"/>
      <c r="N388" s="1774"/>
      <c r="O388" s="1774">
        <f t="shared" si="740"/>
        <v>0</v>
      </c>
      <c r="P388" s="1777">
        <f t="shared" si="812"/>
        <v>0</v>
      </c>
      <c r="Q388" s="1775"/>
      <c r="R388" s="1777">
        <f t="shared" si="813"/>
        <v>0</v>
      </c>
      <c r="S388" s="1775"/>
      <c r="T388" s="1777">
        <f t="shared" si="814"/>
        <v>0</v>
      </c>
      <c r="U388" s="1775"/>
      <c r="V388" s="1777">
        <f>+O388*W388</f>
        <v>0</v>
      </c>
      <c r="W388" s="1775"/>
      <c r="X388" s="1777"/>
      <c r="Y388" s="1777"/>
      <c r="Z388" s="1777"/>
      <c r="AA388" s="1777">
        <f t="shared" si="741"/>
        <v>0</v>
      </c>
      <c r="AB388" s="1877" t="e">
        <f t="shared" si="742"/>
        <v>#DIV/0!</v>
      </c>
    </row>
    <row r="389" spans="1:28" s="1766" customFormat="1" ht="22.5" hidden="1" customHeight="1" thickTop="1" thickBot="1">
      <c r="A389" s="1761">
        <v>1</v>
      </c>
      <c r="B389" s="1762" t="s">
        <v>127</v>
      </c>
      <c r="C389" s="1762" t="s">
        <v>209</v>
      </c>
      <c r="D389" s="1762" t="s">
        <v>147</v>
      </c>
      <c r="E389" s="1762" t="s">
        <v>129</v>
      </c>
      <c r="F389" s="1762" t="s">
        <v>1703</v>
      </c>
      <c r="G389" s="1762"/>
      <c r="H389" s="1762"/>
      <c r="I389" s="1762"/>
      <c r="J389" s="1762"/>
      <c r="K389" s="1763" t="s">
        <v>1940</v>
      </c>
      <c r="L389" s="1764">
        <f>+L390+L391</f>
        <v>0</v>
      </c>
      <c r="M389" s="1764">
        <f t="shared" ref="M389:N389" si="815">+M390+M391</f>
        <v>0</v>
      </c>
      <c r="N389" s="1764">
        <f t="shared" si="815"/>
        <v>0</v>
      </c>
      <c r="O389" s="1764">
        <f t="shared" si="740"/>
        <v>0</v>
      </c>
      <c r="P389" s="1781">
        <f t="shared" ref="P389:V389" si="816">+P390+P391</f>
        <v>0</v>
      </c>
      <c r="Q389" s="1765" t="e">
        <f t="shared" si="801"/>
        <v>#DIV/0!</v>
      </c>
      <c r="R389" s="1781">
        <f t="shared" si="816"/>
        <v>0</v>
      </c>
      <c r="S389" s="1765" t="e">
        <f>+R389/L389</f>
        <v>#DIV/0!</v>
      </c>
      <c r="T389" s="1781">
        <f t="shared" si="816"/>
        <v>0</v>
      </c>
      <c r="U389" s="1765" t="e">
        <f>+T389/L389</f>
        <v>#DIV/0!</v>
      </c>
      <c r="V389" s="1781">
        <f t="shared" si="816"/>
        <v>0</v>
      </c>
      <c r="W389" s="1765" t="e">
        <f>+V389/L389</f>
        <v>#DIV/0!</v>
      </c>
      <c r="X389" s="1781">
        <f t="shared" ref="X389:Z389" si="817">+X390+X391</f>
        <v>0</v>
      </c>
      <c r="Y389" s="1781">
        <f t="shared" si="817"/>
        <v>0</v>
      </c>
      <c r="Z389" s="1781">
        <f t="shared" si="817"/>
        <v>0</v>
      </c>
      <c r="AA389" s="1781">
        <f t="shared" si="741"/>
        <v>0</v>
      </c>
      <c r="AB389" s="1875" t="e">
        <f t="shared" si="742"/>
        <v>#DIV/0!</v>
      </c>
    </row>
    <row r="390" spans="1:28" ht="22.5" hidden="1" customHeight="1" thickTop="1" thickBot="1">
      <c r="A390" s="1772">
        <v>1</v>
      </c>
      <c r="B390" s="1773" t="s">
        <v>127</v>
      </c>
      <c r="C390" s="1773" t="s">
        <v>209</v>
      </c>
      <c r="D390" s="1773" t="s">
        <v>147</v>
      </c>
      <c r="E390" s="1773" t="s">
        <v>129</v>
      </c>
      <c r="F390" s="1773" t="s">
        <v>1703</v>
      </c>
      <c r="G390" s="1773" t="s">
        <v>129</v>
      </c>
      <c r="H390" s="1773"/>
      <c r="I390" s="1773"/>
      <c r="J390" s="1773"/>
      <c r="K390" s="1776" t="s">
        <v>1938</v>
      </c>
      <c r="L390" s="1774"/>
      <c r="M390" s="1774"/>
      <c r="N390" s="1774"/>
      <c r="O390" s="1774">
        <f t="shared" si="740"/>
        <v>0</v>
      </c>
      <c r="P390" s="1777">
        <f t="shared" ref="P390:P391" si="818">+L390*Q390</f>
        <v>0</v>
      </c>
      <c r="Q390" s="1775"/>
      <c r="R390" s="1777">
        <f t="shared" ref="R390:R391" si="819">+L390*S390</f>
        <v>0</v>
      </c>
      <c r="S390" s="1775"/>
      <c r="T390" s="1777">
        <f t="shared" ref="T390:T391" si="820">+L390*U390</f>
        <v>0</v>
      </c>
      <c r="U390" s="1775"/>
      <c r="V390" s="1777">
        <f>+O390*W390</f>
        <v>0</v>
      </c>
      <c r="W390" s="1775"/>
      <c r="X390" s="1777"/>
      <c r="Y390" s="1777"/>
      <c r="Z390" s="1777"/>
      <c r="AA390" s="1777">
        <f t="shared" si="741"/>
        <v>0</v>
      </c>
      <c r="AB390" s="1877" t="e">
        <f t="shared" si="742"/>
        <v>#DIV/0!</v>
      </c>
    </row>
    <row r="391" spans="1:28" ht="22.5" hidden="1" customHeight="1" thickTop="1" thickBot="1">
      <c r="A391" s="1772">
        <v>1</v>
      </c>
      <c r="B391" s="1773" t="s">
        <v>127</v>
      </c>
      <c r="C391" s="1773" t="s">
        <v>209</v>
      </c>
      <c r="D391" s="1773" t="s">
        <v>147</v>
      </c>
      <c r="E391" s="1773" t="s">
        <v>129</v>
      </c>
      <c r="F391" s="1773" t="s">
        <v>1703</v>
      </c>
      <c r="G391" s="1773" t="s">
        <v>134</v>
      </c>
      <c r="H391" s="1773"/>
      <c r="I391" s="1773"/>
      <c r="J391" s="1773"/>
      <c r="K391" s="1776" t="s">
        <v>1939</v>
      </c>
      <c r="L391" s="1774"/>
      <c r="M391" s="1774"/>
      <c r="N391" s="1774"/>
      <c r="O391" s="1774">
        <f t="shared" si="740"/>
        <v>0</v>
      </c>
      <c r="P391" s="1777">
        <f t="shared" si="818"/>
        <v>0</v>
      </c>
      <c r="Q391" s="1775"/>
      <c r="R391" s="1777">
        <f t="shared" si="819"/>
        <v>0</v>
      </c>
      <c r="S391" s="1775"/>
      <c r="T391" s="1777">
        <f t="shared" si="820"/>
        <v>0</v>
      </c>
      <c r="U391" s="1775"/>
      <c r="V391" s="1777">
        <f>+O391*W391</f>
        <v>0</v>
      </c>
      <c r="W391" s="1775"/>
      <c r="X391" s="1777"/>
      <c r="Y391" s="1777"/>
      <c r="Z391" s="1777"/>
      <c r="AA391" s="1777">
        <f t="shared" si="741"/>
        <v>0</v>
      </c>
      <c r="AB391" s="1877" t="e">
        <f t="shared" si="742"/>
        <v>#DIV/0!</v>
      </c>
    </row>
    <row r="392" spans="1:28" s="1766" customFormat="1" ht="22.5" hidden="1" customHeight="1" thickTop="1" thickBot="1">
      <c r="A392" s="1761">
        <v>1</v>
      </c>
      <c r="B392" s="1762" t="s">
        <v>127</v>
      </c>
      <c r="C392" s="1762" t="s">
        <v>209</v>
      </c>
      <c r="D392" s="1762" t="s">
        <v>147</v>
      </c>
      <c r="E392" s="1762" t="s">
        <v>129</v>
      </c>
      <c r="F392" s="1762" t="s">
        <v>1751</v>
      </c>
      <c r="G392" s="1762"/>
      <c r="H392" s="1762"/>
      <c r="I392" s="1762"/>
      <c r="J392" s="1762"/>
      <c r="K392" s="1763" t="s">
        <v>1941</v>
      </c>
      <c r="L392" s="1764">
        <f>+L393+L394</f>
        <v>0</v>
      </c>
      <c r="M392" s="1764">
        <f t="shared" ref="M392:N392" si="821">+M393+M394</f>
        <v>0</v>
      </c>
      <c r="N392" s="1764">
        <f t="shared" si="821"/>
        <v>0</v>
      </c>
      <c r="O392" s="1764">
        <f t="shared" ref="O392:O456" si="822">+L392+M392-N392</f>
        <v>0</v>
      </c>
      <c r="P392" s="1781">
        <f t="shared" ref="P392:V392" si="823">+P393+P394</f>
        <v>0</v>
      </c>
      <c r="Q392" s="1765" t="e">
        <f t="shared" si="801"/>
        <v>#DIV/0!</v>
      </c>
      <c r="R392" s="1781">
        <f t="shared" si="823"/>
        <v>0</v>
      </c>
      <c r="S392" s="1765" t="e">
        <f>+R392/L392</f>
        <v>#DIV/0!</v>
      </c>
      <c r="T392" s="1781">
        <f t="shared" si="823"/>
        <v>0</v>
      </c>
      <c r="U392" s="1765" t="e">
        <f>+T392/L392</f>
        <v>#DIV/0!</v>
      </c>
      <c r="V392" s="1781">
        <f t="shared" si="823"/>
        <v>0</v>
      </c>
      <c r="W392" s="1765" t="e">
        <f>+V392/L392</f>
        <v>#DIV/0!</v>
      </c>
      <c r="X392" s="1781">
        <f t="shared" ref="X392:Z392" si="824">+X393+X394</f>
        <v>0</v>
      </c>
      <c r="Y392" s="1781">
        <f t="shared" si="824"/>
        <v>0</v>
      </c>
      <c r="Z392" s="1781">
        <f t="shared" si="824"/>
        <v>0</v>
      </c>
      <c r="AA392" s="1781">
        <f t="shared" ref="AA392:AA456" si="825">+Y392+Z392</f>
        <v>0</v>
      </c>
      <c r="AB392" s="1875" t="e">
        <f t="shared" ref="AB392:AB455" si="826">+AA392/X392</f>
        <v>#DIV/0!</v>
      </c>
    </row>
    <row r="393" spans="1:28" ht="22.5" hidden="1" customHeight="1" thickTop="1" thickBot="1">
      <c r="A393" s="1772">
        <v>1</v>
      </c>
      <c r="B393" s="1773" t="s">
        <v>127</v>
      </c>
      <c r="C393" s="1773" t="s">
        <v>209</v>
      </c>
      <c r="D393" s="1773" t="s">
        <v>147</v>
      </c>
      <c r="E393" s="1773" t="s">
        <v>129</v>
      </c>
      <c r="F393" s="1773" t="s">
        <v>1751</v>
      </c>
      <c r="G393" s="1773" t="s">
        <v>129</v>
      </c>
      <c r="H393" s="1773"/>
      <c r="I393" s="1773"/>
      <c r="J393" s="1773"/>
      <c r="K393" s="1776" t="s">
        <v>1938</v>
      </c>
      <c r="L393" s="1774"/>
      <c r="M393" s="1774"/>
      <c r="N393" s="1774"/>
      <c r="O393" s="1774">
        <f t="shared" si="822"/>
        <v>0</v>
      </c>
      <c r="P393" s="1777">
        <f t="shared" ref="P393:P398" si="827">+L393*Q393</f>
        <v>0</v>
      </c>
      <c r="Q393" s="1775"/>
      <c r="R393" s="1777">
        <f t="shared" ref="R393:R398" si="828">+L393*S393</f>
        <v>0</v>
      </c>
      <c r="S393" s="1775"/>
      <c r="T393" s="1777">
        <f t="shared" ref="T393:T398" si="829">+L393*U393</f>
        <v>0</v>
      </c>
      <c r="U393" s="1775"/>
      <c r="V393" s="1777">
        <f>+O393*W393</f>
        <v>0</v>
      </c>
      <c r="W393" s="1775"/>
      <c r="X393" s="1777"/>
      <c r="Y393" s="1777"/>
      <c r="Z393" s="1777"/>
      <c r="AA393" s="1777">
        <f t="shared" si="825"/>
        <v>0</v>
      </c>
      <c r="AB393" s="1877" t="e">
        <f t="shared" si="826"/>
        <v>#DIV/0!</v>
      </c>
    </row>
    <row r="394" spans="1:28" ht="22.5" hidden="1" customHeight="1" thickTop="1" thickBot="1">
      <c r="A394" s="1772">
        <v>1</v>
      </c>
      <c r="B394" s="1773" t="s">
        <v>127</v>
      </c>
      <c r="C394" s="1773" t="s">
        <v>209</v>
      </c>
      <c r="D394" s="1773" t="s">
        <v>147</v>
      </c>
      <c r="E394" s="1773" t="s">
        <v>129</v>
      </c>
      <c r="F394" s="1773" t="s">
        <v>1751</v>
      </c>
      <c r="G394" s="1773" t="s">
        <v>134</v>
      </c>
      <c r="H394" s="1773"/>
      <c r="I394" s="1773"/>
      <c r="J394" s="1773"/>
      <c r="K394" s="1776" t="s">
        <v>1939</v>
      </c>
      <c r="L394" s="1774"/>
      <c r="M394" s="1774"/>
      <c r="N394" s="1774"/>
      <c r="O394" s="1774">
        <f t="shared" si="822"/>
        <v>0</v>
      </c>
      <c r="P394" s="1777">
        <f t="shared" si="827"/>
        <v>0</v>
      </c>
      <c r="Q394" s="1775"/>
      <c r="R394" s="1777">
        <f t="shared" si="828"/>
        <v>0</v>
      </c>
      <c r="S394" s="1775"/>
      <c r="T394" s="1777">
        <f t="shared" si="829"/>
        <v>0</v>
      </c>
      <c r="U394" s="1775"/>
      <c r="V394" s="1777">
        <f>+O394*W394</f>
        <v>0</v>
      </c>
      <c r="W394" s="1775"/>
      <c r="X394" s="1777"/>
      <c r="Y394" s="1777"/>
      <c r="Z394" s="1777"/>
      <c r="AA394" s="1777">
        <f t="shared" si="825"/>
        <v>0</v>
      </c>
      <c r="AB394" s="1877" t="e">
        <f t="shared" si="826"/>
        <v>#DIV/0!</v>
      </c>
    </row>
    <row r="395" spans="1:28" s="1760" customFormat="1" ht="22.5" hidden="1" customHeight="1" thickTop="1" thickBot="1">
      <c r="A395" s="1755">
        <v>1</v>
      </c>
      <c r="B395" s="1756" t="s">
        <v>127</v>
      </c>
      <c r="C395" s="1756" t="s">
        <v>209</v>
      </c>
      <c r="D395" s="1756" t="s">
        <v>147</v>
      </c>
      <c r="E395" s="1756" t="s">
        <v>134</v>
      </c>
      <c r="F395" s="1756"/>
      <c r="G395" s="1756"/>
      <c r="H395" s="1756"/>
      <c r="I395" s="1756"/>
      <c r="J395" s="1756"/>
      <c r="K395" s="1757" t="s">
        <v>192</v>
      </c>
      <c r="L395" s="1758"/>
      <c r="M395" s="1758"/>
      <c r="N395" s="1758"/>
      <c r="O395" s="1758">
        <f t="shared" si="822"/>
        <v>0</v>
      </c>
      <c r="P395" s="1805">
        <f t="shared" si="827"/>
        <v>0</v>
      </c>
      <c r="Q395" s="1759"/>
      <c r="R395" s="1805">
        <f t="shared" si="828"/>
        <v>0</v>
      </c>
      <c r="S395" s="1759"/>
      <c r="T395" s="1805">
        <f t="shared" si="829"/>
        <v>0</v>
      </c>
      <c r="U395" s="1759"/>
      <c r="V395" s="1805">
        <f>+O395*W395</f>
        <v>0</v>
      </c>
      <c r="W395" s="1759"/>
      <c r="X395" s="1805"/>
      <c r="Y395" s="1805"/>
      <c r="Z395" s="1805"/>
      <c r="AA395" s="1805">
        <f t="shared" si="825"/>
        <v>0</v>
      </c>
      <c r="AB395" s="1874" t="e">
        <f t="shared" si="826"/>
        <v>#DIV/0!</v>
      </c>
    </row>
    <row r="396" spans="1:28" s="1760" customFormat="1" ht="22.5" hidden="1" customHeight="1" thickTop="1" thickBot="1">
      <c r="A396" s="1755">
        <v>1</v>
      </c>
      <c r="B396" s="1756" t="s">
        <v>127</v>
      </c>
      <c r="C396" s="1756" t="s">
        <v>209</v>
      </c>
      <c r="D396" s="1756" t="s">
        <v>147</v>
      </c>
      <c r="E396" s="1756" t="s">
        <v>139</v>
      </c>
      <c r="F396" s="1756"/>
      <c r="G396" s="1756"/>
      <c r="H396" s="1756"/>
      <c r="I396" s="1756"/>
      <c r="J396" s="1756"/>
      <c r="K396" s="1757" t="s">
        <v>1942</v>
      </c>
      <c r="L396" s="1758">
        <f>+L397+L398</f>
        <v>0</v>
      </c>
      <c r="M396" s="1758">
        <f t="shared" ref="M396:N396" si="830">+M397+M398</f>
        <v>0</v>
      </c>
      <c r="N396" s="1758">
        <f t="shared" si="830"/>
        <v>0</v>
      </c>
      <c r="O396" s="1758">
        <f t="shared" si="822"/>
        <v>0</v>
      </c>
      <c r="P396" s="1805">
        <f t="shared" ref="P396:V396" si="831">+P397+P398</f>
        <v>0</v>
      </c>
      <c r="Q396" s="1759" t="e">
        <f t="shared" si="801"/>
        <v>#DIV/0!</v>
      </c>
      <c r="R396" s="1805">
        <f t="shared" si="831"/>
        <v>0</v>
      </c>
      <c r="S396" s="1759" t="e">
        <f>+R396/L396</f>
        <v>#DIV/0!</v>
      </c>
      <c r="T396" s="1805">
        <f t="shared" si="831"/>
        <v>0</v>
      </c>
      <c r="U396" s="1759" t="e">
        <f t="shared" ref="U396" si="832">+T396/L396</f>
        <v>#DIV/0!</v>
      </c>
      <c r="V396" s="1805">
        <f t="shared" si="831"/>
        <v>0</v>
      </c>
      <c r="W396" s="1759" t="e">
        <f t="shared" ref="W396" si="833">+V396/L396</f>
        <v>#DIV/0!</v>
      </c>
      <c r="X396" s="1805">
        <f t="shared" ref="X396:Y396" si="834">+X397+X398</f>
        <v>0</v>
      </c>
      <c r="Y396" s="1805">
        <f t="shared" si="834"/>
        <v>0</v>
      </c>
      <c r="Z396" s="1805"/>
      <c r="AA396" s="1805">
        <f t="shared" si="825"/>
        <v>0</v>
      </c>
      <c r="AB396" s="1874" t="e">
        <f t="shared" si="826"/>
        <v>#DIV/0!</v>
      </c>
    </row>
    <row r="397" spans="1:28" ht="22.5" hidden="1" customHeight="1" thickTop="1" thickBot="1">
      <c r="A397" s="1772">
        <v>1</v>
      </c>
      <c r="B397" s="1773" t="s">
        <v>127</v>
      </c>
      <c r="C397" s="1773" t="s">
        <v>209</v>
      </c>
      <c r="D397" s="1773" t="s">
        <v>147</v>
      </c>
      <c r="E397" s="1773" t="s">
        <v>139</v>
      </c>
      <c r="F397" s="1773" t="s">
        <v>1684</v>
      </c>
      <c r="G397" s="1773"/>
      <c r="H397" s="1773"/>
      <c r="I397" s="1773"/>
      <c r="J397" s="1773"/>
      <c r="K397" s="1776" t="s">
        <v>1943</v>
      </c>
      <c r="L397" s="1774"/>
      <c r="M397" s="1774"/>
      <c r="N397" s="1774"/>
      <c r="O397" s="1774">
        <f t="shared" si="822"/>
        <v>0</v>
      </c>
      <c r="P397" s="1777">
        <f t="shared" si="827"/>
        <v>0</v>
      </c>
      <c r="Q397" s="1775"/>
      <c r="R397" s="1777">
        <f t="shared" si="828"/>
        <v>0</v>
      </c>
      <c r="S397" s="1775"/>
      <c r="T397" s="1777">
        <f t="shared" si="829"/>
        <v>0</v>
      </c>
      <c r="U397" s="1775"/>
      <c r="V397" s="1777">
        <f>+O397*W397</f>
        <v>0</v>
      </c>
      <c r="W397" s="1775"/>
      <c r="X397" s="1777"/>
      <c r="Y397" s="1777"/>
      <c r="Z397" s="1777"/>
      <c r="AA397" s="1777">
        <f t="shared" si="825"/>
        <v>0</v>
      </c>
      <c r="AB397" s="1877" t="e">
        <f t="shared" si="826"/>
        <v>#DIV/0!</v>
      </c>
    </row>
    <row r="398" spans="1:28" ht="22.5" hidden="1" customHeight="1" thickTop="1" thickBot="1">
      <c r="A398" s="1772">
        <v>1</v>
      </c>
      <c r="B398" s="1773" t="s">
        <v>127</v>
      </c>
      <c r="C398" s="1773" t="s">
        <v>209</v>
      </c>
      <c r="D398" s="1773" t="s">
        <v>147</v>
      </c>
      <c r="E398" s="1773" t="s">
        <v>139</v>
      </c>
      <c r="F398" s="1773" t="s">
        <v>1703</v>
      </c>
      <c r="G398" s="1773"/>
      <c r="H398" s="1773"/>
      <c r="I398" s="1773"/>
      <c r="J398" s="1773"/>
      <c r="K398" s="1776" t="s">
        <v>1944</v>
      </c>
      <c r="L398" s="1774"/>
      <c r="M398" s="1774"/>
      <c r="N398" s="1774"/>
      <c r="O398" s="1774">
        <f t="shared" si="822"/>
        <v>0</v>
      </c>
      <c r="P398" s="1777">
        <f t="shared" si="827"/>
        <v>0</v>
      </c>
      <c r="Q398" s="1775"/>
      <c r="R398" s="1777">
        <f t="shared" si="828"/>
        <v>0</v>
      </c>
      <c r="S398" s="1775"/>
      <c r="T398" s="1777">
        <f t="shared" si="829"/>
        <v>0</v>
      </c>
      <c r="U398" s="1775"/>
      <c r="V398" s="1777">
        <f>+O398*W398</f>
        <v>0</v>
      </c>
      <c r="W398" s="1775"/>
      <c r="X398" s="1777"/>
      <c r="Y398" s="1777"/>
      <c r="Z398" s="1777"/>
      <c r="AA398" s="1777">
        <f t="shared" si="825"/>
        <v>0</v>
      </c>
      <c r="AB398" s="1877" t="e">
        <f t="shared" si="826"/>
        <v>#DIV/0!</v>
      </c>
    </row>
    <row r="399" spans="1:28" s="1760" customFormat="1" ht="22.5" customHeight="1" thickTop="1" thickBot="1">
      <c r="A399" s="1755">
        <v>1</v>
      </c>
      <c r="B399" s="1756" t="s">
        <v>127</v>
      </c>
      <c r="C399" s="1756" t="s">
        <v>209</v>
      </c>
      <c r="D399" s="1756" t="s">
        <v>147</v>
      </c>
      <c r="E399" s="1756" t="s">
        <v>145</v>
      </c>
      <c r="F399" s="1756"/>
      <c r="G399" s="1756"/>
      <c r="H399" s="1756"/>
      <c r="I399" s="1756"/>
      <c r="J399" s="1756"/>
      <c r="K399" s="1757" t="s">
        <v>1945</v>
      </c>
      <c r="L399" s="1758">
        <f>+L400+L403</f>
        <v>14416666667</v>
      </c>
      <c r="M399" s="1758">
        <f>+M400+M403</f>
        <v>3912277256</v>
      </c>
      <c r="N399" s="1758">
        <f t="shared" ref="N399" si="835">+N400+N403</f>
        <v>0</v>
      </c>
      <c r="O399" s="1758">
        <f t="shared" si="822"/>
        <v>18328943923</v>
      </c>
      <c r="P399" s="1758">
        <f>+P400+P403</f>
        <v>0</v>
      </c>
      <c r="Q399" s="1759">
        <f t="shared" si="801"/>
        <v>0</v>
      </c>
      <c r="R399" s="1758">
        <f>+R400+R403</f>
        <v>18328943923</v>
      </c>
      <c r="S399" s="1759">
        <f t="shared" ref="S399:S400" si="836">+R399/L399</f>
        <v>1.2713718327798527</v>
      </c>
      <c r="T399" s="1758">
        <f>+T400+T403</f>
        <v>0</v>
      </c>
      <c r="U399" s="1759">
        <f t="shared" ref="U399:U400" si="837">+T399/L399</f>
        <v>0</v>
      </c>
      <c r="V399" s="1805">
        <f>+V400+V403</f>
        <v>0</v>
      </c>
      <c r="W399" s="1759">
        <f t="shared" ref="W399:W400" si="838">+V399/L399</f>
        <v>0</v>
      </c>
      <c r="X399" s="1805">
        <f>+X400+X403</f>
        <v>18853277255</v>
      </c>
      <c r="Y399" s="1805">
        <f>+Y400+Y403</f>
        <v>14416666667</v>
      </c>
      <c r="Z399" s="1805">
        <f>+Z400+Z403</f>
        <v>552333332</v>
      </c>
      <c r="AA399" s="1805">
        <f>+AA400+AA403</f>
        <v>14968999999</v>
      </c>
      <c r="AB399" s="1874">
        <f t="shared" si="826"/>
        <v>0.79397336582583455</v>
      </c>
    </row>
    <row r="400" spans="1:28" s="1729" customFormat="1" ht="22.5" customHeight="1" thickTop="1" thickBot="1">
      <c r="A400" s="1767">
        <v>1</v>
      </c>
      <c r="B400" s="1768" t="s">
        <v>127</v>
      </c>
      <c r="C400" s="1768" t="s">
        <v>209</v>
      </c>
      <c r="D400" s="1768" t="s">
        <v>147</v>
      </c>
      <c r="E400" s="1768" t="s">
        <v>145</v>
      </c>
      <c r="F400" s="1768" t="s">
        <v>1684</v>
      </c>
      <c r="G400" s="1768"/>
      <c r="H400" s="1768"/>
      <c r="I400" s="1768"/>
      <c r="J400" s="1768"/>
      <c r="K400" s="1769" t="s">
        <v>1946</v>
      </c>
      <c r="L400" s="1770">
        <f>+L401+L402</f>
        <v>14416666667</v>
      </c>
      <c r="M400" s="1770">
        <f t="shared" ref="M400" si="839">+M401+M402</f>
        <v>3912277256</v>
      </c>
      <c r="N400" s="1770">
        <f>+N401+N402</f>
        <v>0</v>
      </c>
      <c r="O400" s="1770">
        <f>+L400+M400-N400</f>
        <v>18328943923</v>
      </c>
      <c r="P400" s="1770">
        <f>+P401+P402</f>
        <v>0</v>
      </c>
      <c r="Q400" s="1771">
        <f t="shared" si="801"/>
        <v>0</v>
      </c>
      <c r="R400" s="1770">
        <f>+R401+R402</f>
        <v>18328943923</v>
      </c>
      <c r="S400" s="1771">
        <f t="shared" si="836"/>
        <v>1.2713718327798527</v>
      </c>
      <c r="T400" s="1770">
        <f>+T401+T402</f>
        <v>0</v>
      </c>
      <c r="U400" s="1771">
        <f t="shared" si="837"/>
        <v>0</v>
      </c>
      <c r="V400" s="1770">
        <f>+V401+V402</f>
        <v>0</v>
      </c>
      <c r="W400" s="1771">
        <f t="shared" si="838"/>
        <v>0</v>
      </c>
      <c r="X400" s="1770">
        <f>+X401+X402</f>
        <v>18853277255</v>
      </c>
      <c r="Y400" s="1770">
        <f>+Y401+Y402</f>
        <v>14416666667</v>
      </c>
      <c r="Z400" s="1770">
        <f>+Z401+Z402</f>
        <v>552333332</v>
      </c>
      <c r="AA400" s="1770">
        <f>+AA401+AA402</f>
        <v>14968999999</v>
      </c>
      <c r="AB400" s="1876">
        <f t="shared" si="826"/>
        <v>0.79397336582583455</v>
      </c>
    </row>
    <row r="401" spans="1:28" ht="22.5" customHeight="1" thickTop="1" thickBot="1">
      <c r="A401" s="1772"/>
      <c r="B401" s="1773"/>
      <c r="C401" s="1773"/>
      <c r="D401" s="1773"/>
      <c r="E401" s="1773"/>
      <c r="F401" s="1773"/>
      <c r="G401" s="1773"/>
      <c r="H401" s="1773"/>
      <c r="I401" s="1773"/>
      <c r="J401" s="1773"/>
      <c r="K401" s="1917" t="s">
        <v>1345</v>
      </c>
      <c r="L401" s="1918">
        <v>14416666667</v>
      </c>
      <c r="M401" s="1918"/>
      <c r="N401" s="1918"/>
      <c r="O401" s="1918">
        <f t="shared" si="822"/>
        <v>14416666667</v>
      </c>
      <c r="P401" s="1774">
        <f t="shared" ref="P401:P403" si="840">+L401*Q401</f>
        <v>0</v>
      </c>
      <c r="Q401" s="1775"/>
      <c r="R401" s="1918">
        <f>+O401*S401</f>
        <v>14416666667</v>
      </c>
      <c r="S401" s="1775">
        <v>1</v>
      </c>
      <c r="T401" s="1774">
        <f t="shared" ref="T401:T403" si="841">+L401*U401</f>
        <v>0</v>
      </c>
      <c r="U401" s="1775"/>
      <c r="V401" s="1777">
        <f>+O401*W401</f>
        <v>0</v>
      </c>
      <c r="W401" s="1775"/>
      <c r="X401" s="1777">
        <f>+AA401</f>
        <v>14940999999</v>
      </c>
      <c r="Y401" s="1777">
        <f>+'[8]INGRESOS CRA OCT2022'!P61</f>
        <v>14416666667</v>
      </c>
      <c r="Z401" s="1777">
        <v>524333332</v>
      </c>
      <c r="AA401" s="1919">
        <f t="shared" si="825"/>
        <v>14940999999</v>
      </c>
      <c r="AB401" s="1877">
        <f t="shared" si="826"/>
        <v>1</v>
      </c>
    </row>
    <row r="402" spans="1:28" s="1813" customFormat="1" ht="22.5" customHeight="1" thickTop="1" thickBot="1">
      <c r="A402" s="1808"/>
      <c r="B402" s="1809"/>
      <c r="C402" s="1809"/>
      <c r="D402" s="1809"/>
      <c r="E402" s="1809"/>
      <c r="F402" s="1809"/>
      <c r="G402" s="1809"/>
      <c r="H402" s="1809"/>
      <c r="I402" s="1809"/>
      <c r="J402" s="1809"/>
      <c r="K402" s="1926" t="s">
        <v>1346</v>
      </c>
      <c r="L402" s="1796"/>
      <c r="M402" s="1796">
        <f>3884277256+28000000</f>
        <v>3912277256</v>
      </c>
      <c r="N402" s="1796"/>
      <c r="O402" s="1796">
        <f t="shared" si="822"/>
        <v>3912277256</v>
      </c>
      <c r="P402" s="1810"/>
      <c r="Q402" s="1811"/>
      <c r="R402" s="1796">
        <f>+O402*S402</f>
        <v>3912277256</v>
      </c>
      <c r="S402" s="1775">
        <v>1</v>
      </c>
      <c r="T402" s="1810"/>
      <c r="U402" s="1811"/>
      <c r="V402" s="1812"/>
      <c r="W402" s="1811"/>
      <c r="X402" s="1812">
        <f>3884277256+AA402</f>
        <v>3912277256</v>
      </c>
      <c r="Y402" s="1812"/>
      <c r="Z402" s="1812">
        <v>28000000</v>
      </c>
      <c r="AA402" s="1919">
        <f t="shared" si="825"/>
        <v>28000000</v>
      </c>
      <c r="AB402" s="1881">
        <f t="shared" si="826"/>
        <v>7.1569569761596669E-3</v>
      </c>
    </row>
    <row r="403" spans="1:28" ht="22.5" hidden="1" customHeight="1" thickTop="1" thickBot="1">
      <c r="A403" s="1772">
        <v>1</v>
      </c>
      <c r="B403" s="1773" t="s">
        <v>127</v>
      </c>
      <c r="C403" s="1773" t="s">
        <v>209</v>
      </c>
      <c r="D403" s="1773" t="s">
        <v>147</v>
      </c>
      <c r="E403" s="1773" t="s">
        <v>145</v>
      </c>
      <c r="F403" s="1773" t="s">
        <v>1703</v>
      </c>
      <c r="G403" s="1773"/>
      <c r="H403" s="1773"/>
      <c r="I403" s="1773"/>
      <c r="J403" s="1773"/>
      <c r="K403" s="1776" t="s">
        <v>1947</v>
      </c>
      <c r="L403" s="1774"/>
      <c r="M403" s="1774"/>
      <c r="N403" s="1774"/>
      <c r="O403" s="1774">
        <f t="shared" si="822"/>
        <v>0</v>
      </c>
      <c r="P403" s="1777">
        <f t="shared" si="840"/>
        <v>0</v>
      </c>
      <c r="Q403" s="1775"/>
      <c r="R403" s="1777">
        <f t="shared" ref="R403" si="842">+L403*S403</f>
        <v>0</v>
      </c>
      <c r="S403" s="1775"/>
      <c r="T403" s="1777">
        <f t="shared" si="841"/>
        <v>0</v>
      </c>
      <c r="U403" s="1775"/>
      <c r="V403" s="1777">
        <f>+O403*W403</f>
        <v>0</v>
      </c>
      <c r="W403" s="1775"/>
      <c r="X403" s="1777"/>
      <c r="Y403" s="1777"/>
      <c r="Z403" s="1777"/>
      <c r="AA403" s="1777">
        <f t="shared" si="825"/>
        <v>0</v>
      </c>
      <c r="AB403" s="1877" t="e">
        <f t="shared" si="826"/>
        <v>#DIV/0!</v>
      </c>
    </row>
    <row r="404" spans="1:28" s="1754" customFormat="1" ht="22.5" hidden="1" customHeight="1" thickTop="1" thickBot="1">
      <c r="A404" s="1749">
        <v>1</v>
      </c>
      <c r="B404" s="1750" t="s">
        <v>127</v>
      </c>
      <c r="C404" s="1750" t="s">
        <v>209</v>
      </c>
      <c r="D404" s="1750" t="s">
        <v>180</v>
      </c>
      <c r="E404" s="1750"/>
      <c r="F404" s="1750"/>
      <c r="G404" s="1750"/>
      <c r="H404" s="1750"/>
      <c r="I404" s="1750"/>
      <c r="J404" s="1750"/>
      <c r="K404" s="1751" t="s">
        <v>1948</v>
      </c>
      <c r="L404" s="1752">
        <f>+L405+L406+L407+L408+L409</f>
        <v>0</v>
      </c>
      <c r="M404" s="1752">
        <f t="shared" ref="M404:N404" si="843">+M405+M406+M407+M408+M409</f>
        <v>0</v>
      </c>
      <c r="N404" s="1752">
        <f t="shared" si="843"/>
        <v>0</v>
      </c>
      <c r="O404" s="1752">
        <f t="shared" si="822"/>
        <v>0</v>
      </c>
      <c r="P404" s="1804">
        <f t="shared" ref="P404:V404" si="844">+P405+P406+P407+P408+P409</f>
        <v>0</v>
      </c>
      <c r="Q404" s="1753" t="e">
        <f t="shared" si="801"/>
        <v>#DIV/0!</v>
      </c>
      <c r="R404" s="1804">
        <f t="shared" si="844"/>
        <v>0</v>
      </c>
      <c r="S404" s="1753" t="e">
        <f>+R404/#REF!</f>
        <v>#REF!</v>
      </c>
      <c r="T404" s="1804">
        <f t="shared" si="844"/>
        <v>0</v>
      </c>
      <c r="U404" s="1753" t="e">
        <f>+T404/#REF!</f>
        <v>#REF!</v>
      </c>
      <c r="V404" s="1804">
        <f t="shared" si="844"/>
        <v>0</v>
      </c>
      <c r="W404" s="1753" t="e">
        <f>+V404/#REF!</f>
        <v>#REF!</v>
      </c>
      <c r="X404" s="1804">
        <f t="shared" ref="X404:Z404" si="845">+X405+X406+X407+X408+X409</f>
        <v>0</v>
      </c>
      <c r="Y404" s="1804">
        <f t="shared" si="845"/>
        <v>0</v>
      </c>
      <c r="Z404" s="1804">
        <f t="shared" si="845"/>
        <v>0</v>
      </c>
      <c r="AA404" s="1804">
        <f t="shared" si="825"/>
        <v>0</v>
      </c>
      <c r="AB404" s="1873" t="e">
        <f t="shared" si="826"/>
        <v>#DIV/0!</v>
      </c>
    </row>
    <row r="405" spans="1:28" ht="22.5" hidden="1" customHeight="1" thickTop="1" thickBot="1">
      <c r="A405" s="1772">
        <v>1</v>
      </c>
      <c r="B405" s="1773" t="s">
        <v>127</v>
      </c>
      <c r="C405" s="1773" t="s">
        <v>209</v>
      </c>
      <c r="D405" s="1773" t="s">
        <v>180</v>
      </c>
      <c r="E405" s="1773" t="s">
        <v>129</v>
      </c>
      <c r="F405" s="1773"/>
      <c r="G405" s="1773"/>
      <c r="H405" s="1773"/>
      <c r="I405" s="1773"/>
      <c r="J405" s="1773"/>
      <c r="K405" s="1776" t="s">
        <v>1949</v>
      </c>
      <c r="L405" s="1774"/>
      <c r="M405" s="1774"/>
      <c r="N405" s="1774"/>
      <c r="O405" s="1774">
        <f t="shared" si="822"/>
        <v>0</v>
      </c>
      <c r="P405" s="1777"/>
      <c r="Q405" s="1775" t="e">
        <f t="shared" si="801"/>
        <v>#DIV/0!</v>
      </c>
      <c r="R405" s="1777"/>
      <c r="S405" s="1775" t="e">
        <f>+R405/#REF!</f>
        <v>#REF!</v>
      </c>
      <c r="T405" s="1777"/>
      <c r="U405" s="1775" t="e">
        <f>+T405/#REF!</f>
        <v>#REF!</v>
      </c>
      <c r="V405" s="1777"/>
      <c r="W405" s="1775" t="e">
        <f>+V405/#REF!</f>
        <v>#REF!</v>
      </c>
      <c r="X405" s="1777"/>
      <c r="Y405" s="1777"/>
      <c r="Z405" s="1777"/>
      <c r="AA405" s="1777">
        <f t="shared" si="825"/>
        <v>0</v>
      </c>
      <c r="AB405" s="1877" t="e">
        <f t="shared" si="826"/>
        <v>#DIV/0!</v>
      </c>
    </row>
    <row r="406" spans="1:28" ht="22.5" hidden="1" customHeight="1" thickTop="1" thickBot="1">
      <c r="A406" s="1772">
        <v>1</v>
      </c>
      <c r="B406" s="1773" t="s">
        <v>127</v>
      </c>
      <c r="C406" s="1773" t="s">
        <v>209</v>
      </c>
      <c r="D406" s="1773" t="s">
        <v>180</v>
      </c>
      <c r="E406" s="1773" t="s">
        <v>134</v>
      </c>
      <c r="F406" s="1773"/>
      <c r="G406" s="1773"/>
      <c r="H406" s="1773"/>
      <c r="I406" s="1773"/>
      <c r="J406" s="1773"/>
      <c r="K406" s="1776" t="s">
        <v>1950</v>
      </c>
      <c r="L406" s="1774"/>
      <c r="M406" s="1774"/>
      <c r="N406" s="1774"/>
      <c r="O406" s="1774">
        <f t="shared" si="822"/>
        <v>0</v>
      </c>
      <c r="P406" s="1777"/>
      <c r="Q406" s="1775" t="e">
        <f t="shared" si="801"/>
        <v>#DIV/0!</v>
      </c>
      <c r="R406" s="1777"/>
      <c r="S406" s="1775" t="e">
        <f>+R406/#REF!</f>
        <v>#REF!</v>
      </c>
      <c r="T406" s="1777"/>
      <c r="U406" s="1775" t="e">
        <f>+T406/#REF!</f>
        <v>#REF!</v>
      </c>
      <c r="V406" s="1777"/>
      <c r="W406" s="1775" t="e">
        <f>+V406/#REF!</f>
        <v>#REF!</v>
      </c>
      <c r="X406" s="1777"/>
      <c r="Y406" s="1777"/>
      <c r="Z406" s="1777"/>
      <c r="AA406" s="1777">
        <f t="shared" si="825"/>
        <v>0</v>
      </c>
      <c r="AB406" s="1877" t="e">
        <f t="shared" si="826"/>
        <v>#DIV/0!</v>
      </c>
    </row>
    <row r="407" spans="1:28" ht="22.5" hidden="1" customHeight="1" thickTop="1" thickBot="1">
      <c r="A407" s="1772">
        <v>1</v>
      </c>
      <c r="B407" s="1773" t="s">
        <v>127</v>
      </c>
      <c r="C407" s="1773" t="s">
        <v>209</v>
      </c>
      <c r="D407" s="1773" t="s">
        <v>180</v>
      </c>
      <c r="E407" s="1773" t="s">
        <v>139</v>
      </c>
      <c r="F407" s="1773"/>
      <c r="G407" s="1773"/>
      <c r="H407" s="1773"/>
      <c r="I407" s="1773"/>
      <c r="J407" s="1773"/>
      <c r="K407" s="1776" t="s">
        <v>1951</v>
      </c>
      <c r="L407" s="1774"/>
      <c r="M407" s="1774"/>
      <c r="N407" s="1774"/>
      <c r="O407" s="1774">
        <f t="shared" si="822"/>
        <v>0</v>
      </c>
      <c r="P407" s="1777"/>
      <c r="Q407" s="1775" t="e">
        <f t="shared" si="801"/>
        <v>#DIV/0!</v>
      </c>
      <c r="R407" s="1777"/>
      <c r="S407" s="1775" t="e">
        <f>+R407/#REF!</f>
        <v>#REF!</v>
      </c>
      <c r="T407" s="1777"/>
      <c r="U407" s="1775" t="e">
        <f>+T407/#REF!</f>
        <v>#REF!</v>
      </c>
      <c r="V407" s="1777"/>
      <c r="W407" s="1775" t="e">
        <f>+V407/#REF!</f>
        <v>#REF!</v>
      </c>
      <c r="X407" s="1777"/>
      <c r="Y407" s="1777"/>
      <c r="Z407" s="1777"/>
      <c r="AA407" s="1777">
        <f t="shared" si="825"/>
        <v>0</v>
      </c>
      <c r="AB407" s="1877" t="e">
        <f t="shared" si="826"/>
        <v>#DIV/0!</v>
      </c>
    </row>
    <row r="408" spans="1:28" ht="22.5" hidden="1" customHeight="1" thickTop="1" thickBot="1">
      <c r="A408" s="1772">
        <v>1</v>
      </c>
      <c r="B408" s="1773" t="s">
        <v>127</v>
      </c>
      <c r="C408" s="1773" t="s">
        <v>209</v>
      </c>
      <c r="D408" s="1773" t="s">
        <v>180</v>
      </c>
      <c r="E408" s="1773" t="s">
        <v>140</v>
      </c>
      <c r="F408" s="1773"/>
      <c r="G408" s="1773"/>
      <c r="H408" s="1773"/>
      <c r="I408" s="1773"/>
      <c r="J408" s="1773"/>
      <c r="K408" s="1776" t="s">
        <v>1952</v>
      </c>
      <c r="L408" s="1774"/>
      <c r="M408" s="1774"/>
      <c r="N408" s="1774"/>
      <c r="O408" s="1774">
        <f t="shared" si="822"/>
        <v>0</v>
      </c>
      <c r="P408" s="1777"/>
      <c r="Q408" s="1775" t="e">
        <f t="shared" si="801"/>
        <v>#DIV/0!</v>
      </c>
      <c r="R408" s="1777"/>
      <c r="S408" s="1775" t="e">
        <f>+R408/#REF!</f>
        <v>#REF!</v>
      </c>
      <c r="T408" s="1777"/>
      <c r="U408" s="1775" t="e">
        <f>+T408/#REF!</f>
        <v>#REF!</v>
      </c>
      <c r="V408" s="1777"/>
      <c r="W408" s="1775" t="e">
        <f>+V408/#REF!</f>
        <v>#REF!</v>
      </c>
      <c r="X408" s="1777"/>
      <c r="Y408" s="1777"/>
      <c r="Z408" s="1777"/>
      <c r="AA408" s="1777">
        <f t="shared" si="825"/>
        <v>0</v>
      </c>
      <c r="AB408" s="1877" t="e">
        <f t="shared" si="826"/>
        <v>#DIV/0!</v>
      </c>
    </row>
    <row r="409" spans="1:28" ht="22.5" hidden="1" customHeight="1" thickTop="1" thickBot="1">
      <c r="A409" s="1772">
        <v>1</v>
      </c>
      <c r="B409" s="1773" t="s">
        <v>127</v>
      </c>
      <c r="C409" s="1773" t="s">
        <v>209</v>
      </c>
      <c r="D409" s="1773" t="s">
        <v>180</v>
      </c>
      <c r="E409" s="1773" t="s">
        <v>144</v>
      </c>
      <c r="F409" s="1773"/>
      <c r="G409" s="1773"/>
      <c r="H409" s="1773"/>
      <c r="I409" s="1773"/>
      <c r="J409" s="1773"/>
      <c r="K409" s="1776" t="s">
        <v>195</v>
      </c>
      <c r="L409" s="1774"/>
      <c r="M409" s="1774"/>
      <c r="N409" s="1774"/>
      <c r="O409" s="1774">
        <f t="shared" si="822"/>
        <v>0</v>
      </c>
      <c r="P409" s="1777"/>
      <c r="Q409" s="1775" t="e">
        <f t="shared" si="801"/>
        <v>#DIV/0!</v>
      </c>
      <c r="R409" s="1777"/>
      <c r="S409" s="1775" t="e">
        <f>+R409/#REF!</f>
        <v>#REF!</v>
      </c>
      <c r="T409" s="1777"/>
      <c r="U409" s="1775" t="e">
        <f>+T409/#REF!</f>
        <v>#REF!</v>
      </c>
      <c r="V409" s="1777"/>
      <c r="W409" s="1775" t="e">
        <f>+V409/#REF!</f>
        <v>#REF!</v>
      </c>
      <c r="X409" s="1777"/>
      <c r="Y409" s="1777"/>
      <c r="Z409" s="1777"/>
      <c r="AA409" s="1777">
        <f t="shared" si="825"/>
        <v>0</v>
      </c>
      <c r="AB409" s="1877" t="e">
        <f t="shared" si="826"/>
        <v>#DIV/0!</v>
      </c>
    </row>
    <row r="410" spans="1:28" s="1754" customFormat="1" ht="22.5" hidden="1" customHeight="1" thickTop="1" thickBot="1">
      <c r="A410" s="1749">
        <v>1</v>
      </c>
      <c r="B410" s="1750" t="s">
        <v>127</v>
      </c>
      <c r="C410" s="1750" t="s">
        <v>209</v>
      </c>
      <c r="D410" s="1750" t="s">
        <v>181</v>
      </c>
      <c r="E410" s="1750"/>
      <c r="F410" s="1750"/>
      <c r="G410" s="1750"/>
      <c r="H410" s="1750"/>
      <c r="I410" s="1750"/>
      <c r="J410" s="1750"/>
      <c r="K410" s="1751" t="s">
        <v>196</v>
      </c>
      <c r="L410" s="1752">
        <f>+L411+L412+L510</f>
        <v>0</v>
      </c>
      <c r="M410" s="1752">
        <f t="shared" ref="M410:N410" si="846">+M411+M412+M510</f>
        <v>0</v>
      </c>
      <c r="N410" s="1752">
        <f t="shared" si="846"/>
        <v>0</v>
      </c>
      <c r="O410" s="1752">
        <f t="shared" si="822"/>
        <v>0</v>
      </c>
      <c r="P410" s="1804">
        <f>+P411+P412+P510</f>
        <v>0</v>
      </c>
      <c r="Q410" s="1753" t="e">
        <f t="shared" si="801"/>
        <v>#DIV/0!</v>
      </c>
      <c r="R410" s="1804">
        <f>+R411+R412+R510</f>
        <v>0</v>
      </c>
      <c r="S410" s="1753" t="e">
        <f>+R410/#REF!</f>
        <v>#REF!</v>
      </c>
      <c r="T410" s="1804">
        <f>+T411+T412+T510</f>
        <v>0</v>
      </c>
      <c r="U410" s="1753" t="e">
        <f>+T410/#REF!</f>
        <v>#REF!</v>
      </c>
      <c r="V410" s="1804">
        <f>+V411+V412+V510</f>
        <v>0</v>
      </c>
      <c r="W410" s="1753" t="e">
        <f>+V410/#REF!</f>
        <v>#REF!</v>
      </c>
      <c r="X410" s="1804">
        <f t="shared" ref="X410:Z410" si="847">+X411+X412+X510</f>
        <v>0</v>
      </c>
      <c r="Y410" s="1804">
        <f t="shared" si="847"/>
        <v>0</v>
      </c>
      <c r="Z410" s="1804">
        <f t="shared" si="847"/>
        <v>0</v>
      </c>
      <c r="AA410" s="1804">
        <f t="shared" si="825"/>
        <v>0</v>
      </c>
      <c r="AB410" s="1873" t="e">
        <f t="shared" si="826"/>
        <v>#DIV/0!</v>
      </c>
    </row>
    <row r="411" spans="1:28" s="1760" customFormat="1" ht="22.5" hidden="1" customHeight="1" thickTop="1" thickBot="1">
      <c r="A411" s="1755">
        <v>1</v>
      </c>
      <c r="B411" s="1756" t="s">
        <v>127</v>
      </c>
      <c r="C411" s="1756" t="s">
        <v>209</v>
      </c>
      <c r="D411" s="1756" t="s">
        <v>181</v>
      </c>
      <c r="E411" s="1756" t="s">
        <v>129</v>
      </c>
      <c r="F411" s="1756"/>
      <c r="G411" s="1756"/>
      <c r="H411" s="1756"/>
      <c r="I411" s="1756"/>
      <c r="J411" s="1756"/>
      <c r="K411" s="1757" t="s">
        <v>1953</v>
      </c>
      <c r="L411" s="1758"/>
      <c r="M411" s="1758"/>
      <c r="N411" s="1758"/>
      <c r="O411" s="1758">
        <f t="shared" si="822"/>
        <v>0</v>
      </c>
      <c r="P411" s="1805"/>
      <c r="Q411" s="1759" t="e">
        <f t="shared" si="801"/>
        <v>#DIV/0!</v>
      </c>
      <c r="R411" s="1805"/>
      <c r="S411" s="1759" t="e">
        <f>+R411/#REF!</f>
        <v>#REF!</v>
      </c>
      <c r="T411" s="1805"/>
      <c r="U411" s="1759" t="e">
        <f>+T411/#REF!</f>
        <v>#REF!</v>
      </c>
      <c r="V411" s="1805"/>
      <c r="W411" s="1759" t="e">
        <f>+V411/#REF!</f>
        <v>#REF!</v>
      </c>
      <c r="X411" s="1805"/>
      <c r="Y411" s="1805"/>
      <c r="Z411" s="1805"/>
      <c r="AA411" s="1805">
        <f t="shared" si="825"/>
        <v>0</v>
      </c>
      <c r="AB411" s="1874" t="e">
        <f t="shared" si="826"/>
        <v>#DIV/0!</v>
      </c>
    </row>
    <row r="412" spans="1:28" s="1760" customFormat="1" ht="22.5" hidden="1" customHeight="1" thickTop="1" thickBot="1">
      <c r="A412" s="1755">
        <v>1</v>
      </c>
      <c r="B412" s="1756" t="s">
        <v>127</v>
      </c>
      <c r="C412" s="1756" t="s">
        <v>209</v>
      </c>
      <c r="D412" s="1756" t="s">
        <v>181</v>
      </c>
      <c r="E412" s="1756" t="s">
        <v>134</v>
      </c>
      <c r="F412" s="1756"/>
      <c r="G412" s="1756"/>
      <c r="H412" s="1756"/>
      <c r="I412" s="1756"/>
      <c r="J412" s="1756"/>
      <c r="K412" s="1757" t="s">
        <v>1954</v>
      </c>
      <c r="L412" s="1758">
        <f>+L413+L446+L478</f>
        <v>0</v>
      </c>
      <c r="M412" s="1758">
        <f t="shared" ref="M412:N412" si="848">+M413+M446+M478</f>
        <v>0</v>
      </c>
      <c r="N412" s="1758">
        <f t="shared" si="848"/>
        <v>0</v>
      </c>
      <c r="O412" s="1758">
        <f t="shared" si="822"/>
        <v>0</v>
      </c>
      <c r="P412" s="1805">
        <f t="shared" ref="P412:V412" si="849">+P413+P446+P478</f>
        <v>0</v>
      </c>
      <c r="Q412" s="1759" t="e">
        <f t="shared" si="801"/>
        <v>#DIV/0!</v>
      </c>
      <c r="R412" s="1805">
        <f t="shared" si="849"/>
        <v>0</v>
      </c>
      <c r="S412" s="1759" t="e">
        <f>+R412/#REF!</f>
        <v>#REF!</v>
      </c>
      <c r="T412" s="1805">
        <f t="shared" si="849"/>
        <v>0</v>
      </c>
      <c r="U412" s="1759" t="e">
        <f>+T412/#REF!</f>
        <v>#REF!</v>
      </c>
      <c r="V412" s="1805">
        <f t="shared" si="849"/>
        <v>0</v>
      </c>
      <c r="W412" s="1759" t="e">
        <f>+V412/#REF!</f>
        <v>#REF!</v>
      </c>
      <c r="X412" s="1805">
        <f t="shared" ref="X412:Z412" si="850">+X413+X446+X478</f>
        <v>0</v>
      </c>
      <c r="Y412" s="1805">
        <f t="shared" si="850"/>
        <v>0</v>
      </c>
      <c r="Z412" s="1805">
        <f t="shared" si="850"/>
        <v>0</v>
      </c>
      <c r="AA412" s="1805">
        <f t="shared" si="825"/>
        <v>0</v>
      </c>
      <c r="AB412" s="1874" t="e">
        <f t="shared" si="826"/>
        <v>#DIV/0!</v>
      </c>
    </row>
    <row r="413" spans="1:28" s="1791" customFormat="1" ht="22.5" hidden="1" customHeight="1" thickTop="1" thickBot="1">
      <c r="A413" s="1785">
        <v>1</v>
      </c>
      <c r="B413" s="1786" t="s">
        <v>127</v>
      </c>
      <c r="C413" s="1786" t="s">
        <v>209</v>
      </c>
      <c r="D413" s="1786" t="s">
        <v>181</v>
      </c>
      <c r="E413" s="1786" t="s">
        <v>134</v>
      </c>
      <c r="F413" s="1786" t="s">
        <v>129</v>
      </c>
      <c r="G413" s="1786"/>
      <c r="H413" s="1786"/>
      <c r="I413" s="1786"/>
      <c r="J413" s="1786"/>
      <c r="K413" s="1788" t="s">
        <v>1955</v>
      </c>
      <c r="L413" s="1789">
        <f>SUM(L414:L445)</f>
        <v>0</v>
      </c>
      <c r="M413" s="1789">
        <f t="shared" ref="M413:N413" si="851">SUM(M414:M445)</f>
        <v>0</v>
      </c>
      <c r="N413" s="1789">
        <f t="shared" si="851"/>
        <v>0</v>
      </c>
      <c r="O413" s="1789">
        <f t="shared" si="822"/>
        <v>0</v>
      </c>
      <c r="P413" s="1800">
        <f t="shared" ref="P413:V413" si="852">SUM(P414:P445)</f>
        <v>0</v>
      </c>
      <c r="Q413" s="1790" t="e">
        <f t="shared" si="801"/>
        <v>#DIV/0!</v>
      </c>
      <c r="R413" s="1800">
        <f t="shared" si="852"/>
        <v>0</v>
      </c>
      <c r="S413" s="1790" t="e">
        <f>+R413/#REF!</f>
        <v>#REF!</v>
      </c>
      <c r="T413" s="1800">
        <f t="shared" si="852"/>
        <v>0</v>
      </c>
      <c r="U413" s="1790" t="e">
        <f>+T413/#REF!</f>
        <v>#REF!</v>
      </c>
      <c r="V413" s="1800">
        <f t="shared" si="852"/>
        <v>0</v>
      </c>
      <c r="W413" s="1790" t="e">
        <f>+V413/#REF!</f>
        <v>#REF!</v>
      </c>
      <c r="X413" s="1800">
        <f t="shared" ref="X413:Z413" si="853">SUM(X414:X445)</f>
        <v>0</v>
      </c>
      <c r="Y413" s="1800">
        <f t="shared" si="853"/>
        <v>0</v>
      </c>
      <c r="Z413" s="1800">
        <f t="shared" si="853"/>
        <v>0</v>
      </c>
      <c r="AA413" s="1800">
        <f t="shared" si="825"/>
        <v>0</v>
      </c>
      <c r="AB413" s="1878" t="e">
        <f t="shared" si="826"/>
        <v>#DIV/0!</v>
      </c>
    </row>
    <row r="414" spans="1:28" ht="22.5" hidden="1" customHeight="1" thickTop="1" thickBot="1">
      <c r="A414" s="1772">
        <v>1</v>
      </c>
      <c r="B414" s="1773" t="s">
        <v>127</v>
      </c>
      <c r="C414" s="1773" t="s">
        <v>209</v>
      </c>
      <c r="D414" s="1773" t="s">
        <v>181</v>
      </c>
      <c r="E414" s="1773" t="s">
        <v>134</v>
      </c>
      <c r="F414" s="1773" t="s">
        <v>129</v>
      </c>
      <c r="G414" s="1773" t="s">
        <v>129</v>
      </c>
      <c r="H414" s="1773"/>
      <c r="I414" s="1773"/>
      <c r="J414" s="1773"/>
      <c r="K414" s="1776" t="s">
        <v>1956</v>
      </c>
      <c r="L414" s="1774"/>
      <c r="M414" s="1774"/>
      <c r="N414" s="1774"/>
      <c r="O414" s="1774">
        <f t="shared" si="822"/>
        <v>0</v>
      </c>
      <c r="P414" s="1777"/>
      <c r="Q414" s="1775" t="e">
        <f t="shared" si="801"/>
        <v>#DIV/0!</v>
      </c>
      <c r="R414" s="1777"/>
      <c r="S414" s="1775" t="e">
        <f>+R414/#REF!</f>
        <v>#REF!</v>
      </c>
      <c r="T414" s="1777"/>
      <c r="U414" s="1775" t="e">
        <f>+T414/#REF!</f>
        <v>#REF!</v>
      </c>
      <c r="V414" s="1777"/>
      <c r="W414" s="1775" t="e">
        <f>+V414/#REF!</f>
        <v>#REF!</v>
      </c>
      <c r="X414" s="1777"/>
      <c r="Y414" s="1777"/>
      <c r="Z414" s="1777"/>
      <c r="AA414" s="1777">
        <f t="shared" si="825"/>
        <v>0</v>
      </c>
      <c r="AB414" s="1877" t="e">
        <f t="shared" si="826"/>
        <v>#DIV/0!</v>
      </c>
    </row>
    <row r="415" spans="1:28" ht="22.5" hidden="1" customHeight="1" thickTop="1" thickBot="1">
      <c r="A415" s="1772">
        <v>1</v>
      </c>
      <c r="B415" s="1773" t="s">
        <v>127</v>
      </c>
      <c r="C415" s="1773" t="s">
        <v>209</v>
      </c>
      <c r="D415" s="1773" t="s">
        <v>181</v>
      </c>
      <c r="E415" s="1773" t="s">
        <v>134</v>
      </c>
      <c r="F415" s="1773" t="s">
        <v>129</v>
      </c>
      <c r="G415" s="1773" t="s">
        <v>134</v>
      </c>
      <c r="H415" s="1773"/>
      <c r="I415" s="1773"/>
      <c r="J415" s="1773"/>
      <c r="K415" s="1776" t="s">
        <v>1957</v>
      </c>
      <c r="L415" s="1774"/>
      <c r="M415" s="1774"/>
      <c r="N415" s="1774"/>
      <c r="O415" s="1774">
        <f t="shared" si="822"/>
        <v>0</v>
      </c>
      <c r="P415" s="1777"/>
      <c r="Q415" s="1775" t="e">
        <f t="shared" si="801"/>
        <v>#DIV/0!</v>
      </c>
      <c r="R415" s="1777"/>
      <c r="S415" s="1775" t="e">
        <f>+R415/#REF!</f>
        <v>#REF!</v>
      </c>
      <c r="T415" s="1777"/>
      <c r="U415" s="1775" t="e">
        <f>+T415/#REF!</f>
        <v>#REF!</v>
      </c>
      <c r="V415" s="1777"/>
      <c r="W415" s="1775" t="e">
        <f>+V415/#REF!</f>
        <v>#REF!</v>
      </c>
      <c r="X415" s="1777"/>
      <c r="Y415" s="1777"/>
      <c r="Z415" s="1777"/>
      <c r="AA415" s="1777">
        <f t="shared" si="825"/>
        <v>0</v>
      </c>
      <c r="AB415" s="1877" t="e">
        <f t="shared" si="826"/>
        <v>#DIV/0!</v>
      </c>
    </row>
    <row r="416" spans="1:28" ht="22.5" hidden="1" customHeight="1" thickTop="1" thickBot="1">
      <c r="A416" s="1772">
        <v>1</v>
      </c>
      <c r="B416" s="1773" t="s">
        <v>127</v>
      </c>
      <c r="C416" s="1773" t="s">
        <v>209</v>
      </c>
      <c r="D416" s="1773" t="s">
        <v>181</v>
      </c>
      <c r="E416" s="1773" t="s">
        <v>134</v>
      </c>
      <c r="F416" s="1773" t="s">
        <v>129</v>
      </c>
      <c r="G416" s="1773" t="s">
        <v>139</v>
      </c>
      <c r="H416" s="1773"/>
      <c r="I416" s="1773"/>
      <c r="J416" s="1773"/>
      <c r="K416" s="1776" t="s">
        <v>1958</v>
      </c>
      <c r="L416" s="1774"/>
      <c r="M416" s="1774"/>
      <c r="N416" s="1774"/>
      <c r="O416" s="1774">
        <f t="shared" si="822"/>
        <v>0</v>
      </c>
      <c r="P416" s="1777"/>
      <c r="Q416" s="1775" t="e">
        <f t="shared" si="801"/>
        <v>#DIV/0!</v>
      </c>
      <c r="R416" s="1777"/>
      <c r="S416" s="1775" t="e">
        <f>+R416/#REF!</f>
        <v>#REF!</v>
      </c>
      <c r="T416" s="1777"/>
      <c r="U416" s="1775" t="e">
        <f>+T416/#REF!</f>
        <v>#REF!</v>
      </c>
      <c r="V416" s="1777"/>
      <c r="W416" s="1775" t="e">
        <f>+V416/#REF!</f>
        <v>#REF!</v>
      </c>
      <c r="X416" s="1777"/>
      <c r="Y416" s="1777"/>
      <c r="Z416" s="1777"/>
      <c r="AA416" s="1777">
        <f t="shared" si="825"/>
        <v>0</v>
      </c>
      <c r="AB416" s="1877" t="e">
        <f t="shared" si="826"/>
        <v>#DIV/0!</v>
      </c>
    </row>
    <row r="417" spans="1:28" ht="22.5" hidden="1" customHeight="1" thickTop="1" thickBot="1">
      <c r="A417" s="1772">
        <v>1</v>
      </c>
      <c r="B417" s="1773" t="s">
        <v>127</v>
      </c>
      <c r="C417" s="1773" t="s">
        <v>209</v>
      </c>
      <c r="D417" s="1773" t="s">
        <v>181</v>
      </c>
      <c r="E417" s="1773" t="s">
        <v>134</v>
      </c>
      <c r="F417" s="1773" t="s">
        <v>129</v>
      </c>
      <c r="G417" s="1773" t="s">
        <v>140</v>
      </c>
      <c r="H417" s="1773"/>
      <c r="I417" s="1773"/>
      <c r="J417" s="1773"/>
      <c r="K417" s="1776" t="s">
        <v>1959</v>
      </c>
      <c r="L417" s="1774"/>
      <c r="M417" s="1774"/>
      <c r="N417" s="1774"/>
      <c r="O417" s="1774">
        <f t="shared" si="822"/>
        <v>0</v>
      </c>
      <c r="P417" s="1777"/>
      <c r="Q417" s="1775" t="e">
        <f t="shared" si="801"/>
        <v>#DIV/0!</v>
      </c>
      <c r="R417" s="1777"/>
      <c r="S417" s="1775" t="e">
        <f>+R417/#REF!</f>
        <v>#REF!</v>
      </c>
      <c r="T417" s="1777"/>
      <c r="U417" s="1775" t="e">
        <f>+T417/#REF!</f>
        <v>#REF!</v>
      </c>
      <c r="V417" s="1777"/>
      <c r="W417" s="1775" t="e">
        <f>+V417/#REF!</f>
        <v>#REF!</v>
      </c>
      <c r="X417" s="1777"/>
      <c r="Y417" s="1777"/>
      <c r="Z417" s="1777"/>
      <c r="AA417" s="1777">
        <f t="shared" si="825"/>
        <v>0</v>
      </c>
      <c r="AB417" s="1877" t="e">
        <f t="shared" si="826"/>
        <v>#DIV/0!</v>
      </c>
    </row>
    <row r="418" spans="1:28" ht="22.5" hidden="1" customHeight="1" thickTop="1" thickBot="1">
      <c r="A418" s="1772">
        <v>1</v>
      </c>
      <c r="B418" s="1773" t="s">
        <v>127</v>
      </c>
      <c r="C418" s="1773" t="s">
        <v>209</v>
      </c>
      <c r="D418" s="1773" t="s">
        <v>181</v>
      </c>
      <c r="E418" s="1773" t="s">
        <v>134</v>
      </c>
      <c r="F418" s="1773" t="s">
        <v>129</v>
      </c>
      <c r="G418" s="1773" t="s">
        <v>144</v>
      </c>
      <c r="H418" s="1773"/>
      <c r="I418" s="1773"/>
      <c r="J418" s="1773"/>
      <c r="K418" s="1776" t="s">
        <v>1960</v>
      </c>
      <c r="L418" s="1774"/>
      <c r="M418" s="1774"/>
      <c r="N418" s="1774"/>
      <c r="O418" s="1774">
        <f t="shared" si="822"/>
        <v>0</v>
      </c>
      <c r="P418" s="1777"/>
      <c r="Q418" s="1775" t="e">
        <f t="shared" si="801"/>
        <v>#DIV/0!</v>
      </c>
      <c r="R418" s="1777"/>
      <c r="S418" s="1775" t="e">
        <f>+R418/#REF!</f>
        <v>#REF!</v>
      </c>
      <c r="T418" s="1777"/>
      <c r="U418" s="1775" t="e">
        <f>+T418/#REF!</f>
        <v>#REF!</v>
      </c>
      <c r="V418" s="1777"/>
      <c r="W418" s="1775" t="e">
        <f>+V418/#REF!</f>
        <v>#REF!</v>
      </c>
      <c r="X418" s="1777"/>
      <c r="Y418" s="1777"/>
      <c r="Z418" s="1777"/>
      <c r="AA418" s="1777">
        <f t="shared" si="825"/>
        <v>0</v>
      </c>
      <c r="AB418" s="1877" t="e">
        <f t="shared" si="826"/>
        <v>#DIV/0!</v>
      </c>
    </row>
    <row r="419" spans="1:28" ht="22.5" hidden="1" customHeight="1" thickTop="1" thickBot="1">
      <c r="A419" s="1772">
        <v>1</v>
      </c>
      <c r="B419" s="1773" t="s">
        <v>127</v>
      </c>
      <c r="C419" s="1773" t="s">
        <v>209</v>
      </c>
      <c r="D419" s="1773" t="s">
        <v>181</v>
      </c>
      <c r="E419" s="1773" t="s">
        <v>134</v>
      </c>
      <c r="F419" s="1773" t="s">
        <v>129</v>
      </c>
      <c r="G419" s="1773" t="s">
        <v>145</v>
      </c>
      <c r="H419" s="1773"/>
      <c r="I419" s="1773"/>
      <c r="J419" s="1773"/>
      <c r="K419" s="1776" t="s">
        <v>1961</v>
      </c>
      <c r="L419" s="1774"/>
      <c r="M419" s="1774"/>
      <c r="N419" s="1774"/>
      <c r="O419" s="1774">
        <f t="shared" si="822"/>
        <v>0</v>
      </c>
      <c r="P419" s="1777"/>
      <c r="Q419" s="1775" t="e">
        <f t="shared" si="801"/>
        <v>#DIV/0!</v>
      </c>
      <c r="R419" s="1777"/>
      <c r="S419" s="1775" t="e">
        <f>+R419/#REF!</f>
        <v>#REF!</v>
      </c>
      <c r="T419" s="1777"/>
      <c r="U419" s="1775" t="e">
        <f>+T419/#REF!</f>
        <v>#REF!</v>
      </c>
      <c r="V419" s="1777"/>
      <c r="W419" s="1775" t="e">
        <f>+V419/#REF!</f>
        <v>#REF!</v>
      </c>
      <c r="X419" s="1777"/>
      <c r="Y419" s="1777"/>
      <c r="Z419" s="1777"/>
      <c r="AA419" s="1777">
        <f t="shared" si="825"/>
        <v>0</v>
      </c>
      <c r="AB419" s="1877" t="e">
        <f t="shared" si="826"/>
        <v>#DIV/0!</v>
      </c>
    </row>
    <row r="420" spans="1:28" ht="22.5" hidden="1" customHeight="1" thickTop="1" thickBot="1">
      <c r="A420" s="1772">
        <v>1</v>
      </c>
      <c r="B420" s="1773" t="s">
        <v>127</v>
      </c>
      <c r="C420" s="1773" t="s">
        <v>209</v>
      </c>
      <c r="D420" s="1773" t="s">
        <v>181</v>
      </c>
      <c r="E420" s="1773" t="s">
        <v>134</v>
      </c>
      <c r="F420" s="1773" t="s">
        <v>129</v>
      </c>
      <c r="G420" s="1773" t="s">
        <v>146</v>
      </c>
      <c r="H420" s="1773"/>
      <c r="I420" s="1773"/>
      <c r="J420" s="1773"/>
      <c r="K420" s="1776" t="s">
        <v>1962</v>
      </c>
      <c r="L420" s="1774"/>
      <c r="M420" s="1774"/>
      <c r="N420" s="1774"/>
      <c r="O420" s="1774">
        <f t="shared" si="822"/>
        <v>0</v>
      </c>
      <c r="P420" s="1777"/>
      <c r="Q420" s="1775" t="e">
        <f t="shared" si="801"/>
        <v>#DIV/0!</v>
      </c>
      <c r="R420" s="1777"/>
      <c r="S420" s="1775" t="e">
        <f>+R420/#REF!</f>
        <v>#REF!</v>
      </c>
      <c r="T420" s="1777"/>
      <c r="U420" s="1775" t="e">
        <f>+T420/#REF!</f>
        <v>#REF!</v>
      </c>
      <c r="V420" s="1777"/>
      <c r="W420" s="1775" t="e">
        <f>+V420/#REF!</f>
        <v>#REF!</v>
      </c>
      <c r="X420" s="1777"/>
      <c r="Y420" s="1777"/>
      <c r="Z420" s="1777"/>
      <c r="AA420" s="1777">
        <f t="shared" si="825"/>
        <v>0</v>
      </c>
      <c r="AB420" s="1877" t="e">
        <f t="shared" si="826"/>
        <v>#DIV/0!</v>
      </c>
    </row>
    <row r="421" spans="1:28" ht="22.5" hidden="1" customHeight="1" thickTop="1" thickBot="1">
      <c r="A421" s="1772">
        <v>1</v>
      </c>
      <c r="B421" s="1773" t="s">
        <v>127</v>
      </c>
      <c r="C421" s="1773" t="s">
        <v>209</v>
      </c>
      <c r="D421" s="1773" t="s">
        <v>181</v>
      </c>
      <c r="E421" s="1773" t="s">
        <v>134</v>
      </c>
      <c r="F421" s="1773" t="s">
        <v>129</v>
      </c>
      <c r="G421" s="1773" t="s">
        <v>147</v>
      </c>
      <c r="H421" s="1773"/>
      <c r="I421" s="1773"/>
      <c r="J421" s="1773"/>
      <c r="K421" s="1776" t="s">
        <v>1963</v>
      </c>
      <c r="L421" s="1774"/>
      <c r="M421" s="1774"/>
      <c r="N421" s="1774"/>
      <c r="O421" s="1774">
        <f t="shared" si="822"/>
        <v>0</v>
      </c>
      <c r="P421" s="1777"/>
      <c r="Q421" s="1775" t="e">
        <f t="shared" si="801"/>
        <v>#DIV/0!</v>
      </c>
      <c r="R421" s="1777"/>
      <c r="S421" s="1775" t="e">
        <f>+R421/#REF!</f>
        <v>#REF!</v>
      </c>
      <c r="T421" s="1777"/>
      <c r="U421" s="1775" t="e">
        <f>+T421/#REF!</f>
        <v>#REF!</v>
      </c>
      <c r="V421" s="1777"/>
      <c r="W421" s="1775" t="e">
        <f>+V421/#REF!</f>
        <v>#REF!</v>
      </c>
      <c r="X421" s="1777"/>
      <c r="Y421" s="1777"/>
      <c r="Z421" s="1777"/>
      <c r="AA421" s="1777">
        <f t="shared" si="825"/>
        <v>0</v>
      </c>
      <c r="AB421" s="1877" t="e">
        <f t="shared" si="826"/>
        <v>#DIV/0!</v>
      </c>
    </row>
    <row r="422" spans="1:28" ht="22.5" hidden="1" customHeight="1" thickTop="1" thickBot="1">
      <c r="A422" s="1772">
        <v>1</v>
      </c>
      <c r="B422" s="1773" t="s">
        <v>127</v>
      </c>
      <c r="C422" s="1773" t="s">
        <v>209</v>
      </c>
      <c r="D422" s="1773" t="s">
        <v>181</v>
      </c>
      <c r="E422" s="1773" t="s">
        <v>134</v>
      </c>
      <c r="F422" s="1773" t="s">
        <v>129</v>
      </c>
      <c r="G422" s="1773" t="s">
        <v>180</v>
      </c>
      <c r="H422" s="1773"/>
      <c r="I422" s="1773"/>
      <c r="J422" s="1773"/>
      <c r="K422" s="1776" t="s">
        <v>1964</v>
      </c>
      <c r="L422" s="1774"/>
      <c r="M422" s="1774"/>
      <c r="N422" s="1774"/>
      <c r="O422" s="1774">
        <f t="shared" si="822"/>
        <v>0</v>
      </c>
      <c r="P422" s="1777"/>
      <c r="Q422" s="1775" t="e">
        <f t="shared" si="801"/>
        <v>#DIV/0!</v>
      </c>
      <c r="R422" s="1777"/>
      <c r="S422" s="1775" t="e">
        <f>+R422/#REF!</f>
        <v>#REF!</v>
      </c>
      <c r="T422" s="1777"/>
      <c r="U422" s="1775" t="e">
        <f>+T422/#REF!</f>
        <v>#REF!</v>
      </c>
      <c r="V422" s="1777"/>
      <c r="W422" s="1775" t="e">
        <f>+V422/#REF!</f>
        <v>#REF!</v>
      </c>
      <c r="X422" s="1777"/>
      <c r="Y422" s="1777"/>
      <c r="Z422" s="1777"/>
      <c r="AA422" s="1777">
        <f t="shared" si="825"/>
        <v>0</v>
      </c>
      <c r="AB422" s="1877" t="e">
        <f t="shared" si="826"/>
        <v>#DIV/0!</v>
      </c>
    </row>
    <row r="423" spans="1:28" ht="22.5" hidden="1" customHeight="1" thickTop="1" thickBot="1">
      <c r="A423" s="1772">
        <v>1</v>
      </c>
      <c r="B423" s="1773" t="s">
        <v>127</v>
      </c>
      <c r="C423" s="1773" t="s">
        <v>209</v>
      </c>
      <c r="D423" s="1773" t="s">
        <v>181</v>
      </c>
      <c r="E423" s="1773" t="s">
        <v>134</v>
      </c>
      <c r="F423" s="1773" t="s">
        <v>129</v>
      </c>
      <c r="G423" s="1773" t="s">
        <v>181</v>
      </c>
      <c r="H423" s="1773"/>
      <c r="I423" s="1773"/>
      <c r="J423" s="1773"/>
      <c r="K423" s="1776" t="s">
        <v>1965</v>
      </c>
      <c r="L423" s="1774"/>
      <c r="M423" s="1774"/>
      <c r="N423" s="1774"/>
      <c r="O423" s="1774">
        <f t="shared" si="822"/>
        <v>0</v>
      </c>
      <c r="P423" s="1777"/>
      <c r="Q423" s="1775" t="e">
        <f t="shared" si="801"/>
        <v>#DIV/0!</v>
      </c>
      <c r="R423" s="1777"/>
      <c r="S423" s="1775" t="e">
        <f>+R423/#REF!</f>
        <v>#REF!</v>
      </c>
      <c r="T423" s="1777"/>
      <c r="U423" s="1775" t="e">
        <f>+T423/#REF!</f>
        <v>#REF!</v>
      </c>
      <c r="V423" s="1777"/>
      <c r="W423" s="1775" t="e">
        <f>+V423/#REF!</f>
        <v>#REF!</v>
      </c>
      <c r="X423" s="1777"/>
      <c r="Y423" s="1777"/>
      <c r="Z423" s="1777"/>
      <c r="AA423" s="1777">
        <f t="shared" si="825"/>
        <v>0</v>
      </c>
      <c r="AB423" s="1877" t="e">
        <f t="shared" si="826"/>
        <v>#DIV/0!</v>
      </c>
    </row>
    <row r="424" spans="1:28" ht="22.5" hidden="1" customHeight="1" thickTop="1" thickBot="1">
      <c r="A424" s="1772">
        <v>1</v>
      </c>
      <c r="B424" s="1773" t="s">
        <v>127</v>
      </c>
      <c r="C424" s="1773" t="s">
        <v>209</v>
      </c>
      <c r="D424" s="1773" t="s">
        <v>181</v>
      </c>
      <c r="E424" s="1773" t="s">
        <v>134</v>
      </c>
      <c r="F424" s="1773" t="s">
        <v>129</v>
      </c>
      <c r="G424" s="1773" t="s">
        <v>182</v>
      </c>
      <c r="H424" s="1773"/>
      <c r="I424" s="1773"/>
      <c r="J424" s="1773"/>
      <c r="K424" s="1776" t="s">
        <v>1966</v>
      </c>
      <c r="L424" s="1774"/>
      <c r="M424" s="1774"/>
      <c r="N424" s="1774"/>
      <c r="O424" s="1774">
        <f t="shared" si="822"/>
        <v>0</v>
      </c>
      <c r="P424" s="1777"/>
      <c r="Q424" s="1775" t="e">
        <f t="shared" si="801"/>
        <v>#DIV/0!</v>
      </c>
      <c r="R424" s="1777"/>
      <c r="S424" s="1775" t="e">
        <f>+R424/#REF!</f>
        <v>#REF!</v>
      </c>
      <c r="T424" s="1777"/>
      <c r="U424" s="1775" t="e">
        <f>+T424/#REF!</f>
        <v>#REF!</v>
      </c>
      <c r="V424" s="1777"/>
      <c r="W424" s="1775" t="e">
        <f>+V424/#REF!</f>
        <v>#REF!</v>
      </c>
      <c r="X424" s="1777"/>
      <c r="Y424" s="1777"/>
      <c r="Z424" s="1777"/>
      <c r="AA424" s="1777">
        <f t="shared" si="825"/>
        <v>0</v>
      </c>
      <c r="AB424" s="1877" t="e">
        <f t="shared" si="826"/>
        <v>#DIV/0!</v>
      </c>
    </row>
    <row r="425" spans="1:28" ht="22.5" hidden="1" customHeight="1" thickTop="1" thickBot="1">
      <c r="A425" s="1772">
        <v>1</v>
      </c>
      <c r="B425" s="1773" t="s">
        <v>127</v>
      </c>
      <c r="C425" s="1773" t="s">
        <v>209</v>
      </c>
      <c r="D425" s="1773" t="s">
        <v>181</v>
      </c>
      <c r="E425" s="1773" t="s">
        <v>134</v>
      </c>
      <c r="F425" s="1773" t="s">
        <v>129</v>
      </c>
      <c r="G425" s="1773" t="s">
        <v>183</v>
      </c>
      <c r="H425" s="1773"/>
      <c r="I425" s="1773"/>
      <c r="J425" s="1773"/>
      <c r="K425" s="1776" t="s">
        <v>1967</v>
      </c>
      <c r="L425" s="1774"/>
      <c r="M425" s="1774"/>
      <c r="N425" s="1774"/>
      <c r="O425" s="1774">
        <f t="shared" si="822"/>
        <v>0</v>
      </c>
      <c r="P425" s="1777"/>
      <c r="Q425" s="1775" t="e">
        <f t="shared" si="801"/>
        <v>#DIV/0!</v>
      </c>
      <c r="R425" s="1777"/>
      <c r="S425" s="1775" t="e">
        <f>+R425/#REF!</f>
        <v>#REF!</v>
      </c>
      <c r="T425" s="1777"/>
      <c r="U425" s="1775" t="e">
        <f>+T425/#REF!</f>
        <v>#REF!</v>
      </c>
      <c r="V425" s="1777"/>
      <c r="W425" s="1775" t="e">
        <f>+V425/#REF!</f>
        <v>#REF!</v>
      </c>
      <c r="X425" s="1777"/>
      <c r="Y425" s="1777"/>
      <c r="Z425" s="1777"/>
      <c r="AA425" s="1777">
        <f t="shared" si="825"/>
        <v>0</v>
      </c>
      <c r="AB425" s="1877" t="e">
        <f t="shared" si="826"/>
        <v>#DIV/0!</v>
      </c>
    </row>
    <row r="426" spans="1:28" ht="22.5" hidden="1" customHeight="1" thickTop="1" thickBot="1">
      <c r="A426" s="1772">
        <v>1</v>
      </c>
      <c r="B426" s="1773" t="s">
        <v>127</v>
      </c>
      <c r="C426" s="1773" t="s">
        <v>209</v>
      </c>
      <c r="D426" s="1773" t="s">
        <v>181</v>
      </c>
      <c r="E426" s="1773" t="s">
        <v>134</v>
      </c>
      <c r="F426" s="1773" t="s">
        <v>129</v>
      </c>
      <c r="G426" s="1773" t="s">
        <v>193</v>
      </c>
      <c r="H426" s="1773"/>
      <c r="I426" s="1773"/>
      <c r="J426" s="1773"/>
      <c r="K426" s="1776" t="s">
        <v>1968</v>
      </c>
      <c r="L426" s="1774"/>
      <c r="M426" s="1774"/>
      <c r="N426" s="1774"/>
      <c r="O426" s="1774">
        <f t="shared" si="822"/>
        <v>0</v>
      </c>
      <c r="P426" s="1777"/>
      <c r="Q426" s="1775" t="e">
        <f t="shared" si="801"/>
        <v>#DIV/0!</v>
      </c>
      <c r="R426" s="1777"/>
      <c r="S426" s="1775" t="e">
        <f>+R426/#REF!</f>
        <v>#REF!</v>
      </c>
      <c r="T426" s="1777"/>
      <c r="U426" s="1775" t="e">
        <f>+T426/#REF!</f>
        <v>#REF!</v>
      </c>
      <c r="V426" s="1777"/>
      <c r="W426" s="1775" t="e">
        <f>+V426/#REF!</f>
        <v>#REF!</v>
      </c>
      <c r="X426" s="1777"/>
      <c r="Y426" s="1777"/>
      <c r="Z426" s="1777"/>
      <c r="AA426" s="1777">
        <f t="shared" si="825"/>
        <v>0</v>
      </c>
      <c r="AB426" s="1877" t="e">
        <f t="shared" si="826"/>
        <v>#DIV/0!</v>
      </c>
    </row>
    <row r="427" spans="1:28" ht="22.5" hidden="1" customHeight="1" thickTop="1" thickBot="1">
      <c r="A427" s="1772">
        <v>1</v>
      </c>
      <c r="B427" s="1773" t="s">
        <v>127</v>
      </c>
      <c r="C427" s="1773" t="s">
        <v>209</v>
      </c>
      <c r="D427" s="1773" t="s">
        <v>181</v>
      </c>
      <c r="E427" s="1773" t="s">
        <v>134</v>
      </c>
      <c r="F427" s="1773" t="s">
        <v>129</v>
      </c>
      <c r="G427" s="1773" t="s">
        <v>194</v>
      </c>
      <c r="H427" s="1773"/>
      <c r="I427" s="1773"/>
      <c r="J427" s="1773"/>
      <c r="K427" s="1776" t="s">
        <v>1969</v>
      </c>
      <c r="L427" s="1774"/>
      <c r="M427" s="1774"/>
      <c r="N427" s="1774"/>
      <c r="O427" s="1774">
        <f t="shared" si="822"/>
        <v>0</v>
      </c>
      <c r="P427" s="1777"/>
      <c r="Q427" s="1775" t="e">
        <f t="shared" si="801"/>
        <v>#DIV/0!</v>
      </c>
      <c r="R427" s="1777"/>
      <c r="S427" s="1775" t="e">
        <f>+R427/#REF!</f>
        <v>#REF!</v>
      </c>
      <c r="T427" s="1777"/>
      <c r="U427" s="1775" t="e">
        <f>+T427/#REF!</f>
        <v>#REF!</v>
      </c>
      <c r="V427" s="1777"/>
      <c r="W427" s="1775" t="e">
        <f>+V427/#REF!</f>
        <v>#REF!</v>
      </c>
      <c r="X427" s="1777"/>
      <c r="Y427" s="1777"/>
      <c r="Z427" s="1777"/>
      <c r="AA427" s="1777">
        <f t="shared" si="825"/>
        <v>0</v>
      </c>
      <c r="AB427" s="1877" t="e">
        <f t="shared" si="826"/>
        <v>#DIV/0!</v>
      </c>
    </row>
    <row r="428" spans="1:28" ht="22.5" hidden="1" customHeight="1" thickTop="1" thickBot="1">
      <c r="A428" s="1772">
        <v>1</v>
      </c>
      <c r="B428" s="1773" t="s">
        <v>127</v>
      </c>
      <c r="C428" s="1773" t="s">
        <v>209</v>
      </c>
      <c r="D428" s="1773" t="s">
        <v>181</v>
      </c>
      <c r="E428" s="1773" t="s">
        <v>134</v>
      </c>
      <c r="F428" s="1773" t="s">
        <v>129</v>
      </c>
      <c r="G428" s="1773" t="s">
        <v>1877</v>
      </c>
      <c r="H428" s="1773"/>
      <c r="I428" s="1773"/>
      <c r="J428" s="1773"/>
      <c r="K428" s="1776" t="s">
        <v>1970</v>
      </c>
      <c r="L428" s="1774"/>
      <c r="M428" s="1774"/>
      <c r="N428" s="1774"/>
      <c r="O428" s="1774">
        <f t="shared" si="822"/>
        <v>0</v>
      </c>
      <c r="P428" s="1777"/>
      <c r="Q428" s="1775" t="e">
        <f t="shared" si="801"/>
        <v>#DIV/0!</v>
      </c>
      <c r="R428" s="1777"/>
      <c r="S428" s="1775" t="e">
        <f>+R428/#REF!</f>
        <v>#REF!</v>
      </c>
      <c r="T428" s="1777"/>
      <c r="U428" s="1775" t="e">
        <f>+T428/#REF!</f>
        <v>#REF!</v>
      </c>
      <c r="V428" s="1777"/>
      <c r="W428" s="1775" t="e">
        <f>+V428/#REF!</f>
        <v>#REF!</v>
      </c>
      <c r="X428" s="1777"/>
      <c r="Y428" s="1777"/>
      <c r="Z428" s="1777"/>
      <c r="AA428" s="1777">
        <f t="shared" si="825"/>
        <v>0</v>
      </c>
      <c r="AB428" s="1877" t="e">
        <f t="shared" si="826"/>
        <v>#DIV/0!</v>
      </c>
    </row>
    <row r="429" spans="1:28" ht="22.5" hidden="1" customHeight="1" thickTop="1" thickBot="1">
      <c r="A429" s="1772">
        <v>1</v>
      </c>
      <c r="B429" s="1773" t="s">
        <v>127</v>
      </c>
      <c r="C429" s="1773" t="s">
        <v>209</v>
      </c>
      <c r="D429" s="1773" t="s">
        <v>181</v>
      </c>
      <c r="E429" s="1773" t="s">
        <v>134</v>
      </c>
      <c r="F429" s="1773" t="s">
        <v>129</v>
      </c>
      <c r="G429" s="1773" t="s">
        <v>1879</v>
      </c>
      <c r="H429" s="1773"/>
      <c r="I429" s="1773"/>
      <c r="J429" s="1773"/>
      <c r="K429" s="1776" t="s">
        <v>1971</v>
      </c>
      <c r="L429" s="1774"/>
      <c r="M429" s="1774"/>
      <c r="N429" s="1774"/>
      <c r="O429" s="1774">
        <f t="shared" si="822"/>
        <v>0</v>
      </c>
      <c r="P429" s="1777"/>
      <c r="Q429" s="1775" t="e">
        <f t="shared" si="801"/>
        <v>#DIV/0!</v>
      </c>
      <c r="R429" s="1777"/>
      <c r="S429" s="1775" t="e">
        <f>+R429/#REF!</f>
        <v>#REF!</v>
      </c>
      <c r="T429" s="1777"/>
      <c r="U429" s="1775" t="e">
        <f>+T429/#REF!</f>
        <v>#REF!</v>
      </c>
      <c r="V429" s="1777"/>
      <c r="W429" s="1775" t="e">
        <f>+V429/#REF!</f>
        <v>#REF!</v>
      </c>
      <c r="X429" s="1777"/>
      <c r="Y429" s="1777"/>
      <c r="Z429" s="1777"/>
      <c r="AA429" s="1777">
        <f t="shared" si="825"/>
        <v>0</v>
      </c>
      <c r="AB429" s="1877" t="e">
        <f t="shared" si="826"/>
        <v>#DIV/0!</v>
      </c>
    </row>
    <row r="430" spans="1:28" ht="22.5" hidden="1" customHeight="1" thickTop="1" thickBot="1">
      <c r="A430" s="1772">
        <v>1</v>
      </c>
      <c r="B430" s="1773" t="s">
        <v>127</v>
      </c>
      <c r="C430" s="1773" t="s">
        <v>209</v>
      </c>
      <c r="D430" s="1773" t="s">
        <v>181</v>
      </c>
      <c r="E430" s="1773" t="s">
        <v>134</v>
      </c>
      <c r="F430" s="1773" t="s">
        <v>129</v>
      </c>
      <c r="G430" s="1773" t="s">
        <v>1881</v>
      </c>
      <c r="H430" s="1773"/>
      <c r="I430" s="1773"/>
      <c r="J430" s="1773"/>
      <c r="K430" s="1776" t="s">
        <v>1972</v>
      </c>
      <c r="L430" s="1774"/>
      <c r="M430" s="1774"/>
      <c r="N430" s="1774"/>
      <c r="O430" s="1774">
        <f t="shared" si="822"/>
        <v>0</v>
      </c>
      <c r="P430" s="1777"/>
      <c r="Q430" s="1775" t="e">
        <f t="shared" si="801"/>
        <v>#DIV/0!</v>
      </c>
      <c r="R430" s="1777"/>
      <c r="S430" s="1775" t="e">
        <f>+R430/#REF!</f>
        <v>#REF!</v>
      </c>
      <c r="T430" s="1777"/>
      <c r="U430" s="1775" t="e">
        <f>+T430/#REF!</f>
        <v>#REF!</v>
      </c>
      <c r="V430" s="1777"/>
      <c r="W430" s="1775" t="e">
        <f>+V430/#REF!</f>
        <v>#REF!</v>
      </c>
      <c r="X430" s="1777"/>
      <c r="Y430" s="1777"/>
      <c r="Z430" s="1777"/>
      <c r="AA430" s="1777">
        <f t="shared" si="825"/>
        <v>0</v>
      </c>
      <c r="AB430" s="1877" t="e">
        <f t="shared" si="826"/>
        <v>#DIV/0!</v>
      </c>
    </row>
    <row r="431" spans="1:28" ht="22.5" hidden="1" customHeight="1" thickTop="1" thickBot="1">
      <c r="A431" s="1772">
        <v>1</v>
      </c>
      <c r="B431" s="1773" t="s">
        <v>127</v>
      </c>
      <c r="C431" s="1773" t="s">
        <v>209</v>
      </c>
      <c r="D431" s="1773" t="s">
        <v>181</v>
      </c>
      <c r="E431" s="1773" t="s">
        <v>134</v>
      </c>
      <c r="F431" s="1773" t="s">
        <v>129</v>
      </c>
      <c r="G431" s="1773" t="s">
        <v>1883</v>
      </c>
      <c r="H431" s="1773"/>
      <c r="I431" s="1773"/>
      <c r="J431" s="1773"/>
      <c r="K431" s="1776" t="s">
        <v>1973</v>
      </c>
      <c r="L431" s="1774"/>
      <c r="M431" s="1774"/>
      <c r="N431" s="1774"/>
      <c r="O431" s="1774">
        <f t="shared" si="822"/>
        <v>0</v>
      </c>
      <c r="P431" s="1777"/>
      <c r="Q431" s="1775" t="e">
        <f t="shared" si="801"/>
        <v>#DIV/0!</v>
      </c>
      <c r="R431" s="1777"/>
      <c r="S431" s="1775" t="e">
        <f>+R431/#REF!</f>
        <v>#REF!</v>
      </c>
      <c r="T431" s="1777"/>
      <c r="U431" s="1775" t="e">
        <f>+T431/#REF!</f>
        <v>#REF!</v>
      </c>
      <c r="V431" s="1777"/>
      <c r="W431" s="1775" t="e">
        <f>+V431/#REF!</f>
        <v>#REF!</v>
      </c>
      <c r="X431" s="1777"/>
      <c r="Y431" s="1777"/>
      <c r="Z431" s="1777"/>
      <c r="AA431" s="1777">
        <f t="shared" si="825"/>
        <v>0</v>
      </c>
      <c r="AB431" s="1877" t="e">
        <f t="shared" si="826"/>
        <v>#DIV/0!</v>
      </c>
    </row>
    <row r="432" spans="1:28" ht="22.5" hidden="1" customHeight="1" thickTop="1" thickBot="1">
      <c r="A432" s="1772">
        <v>1</v>
      </c>
      <c r="B432" s="1773" t="s">
        <v>127</v>
      </c>
      <c r="C432" s="1773" t="s">
        <v>209</v>
      </c>
      <c r="D432" s="1773" t="s">
        <v>181</v>
      </c>
      <c r="E432" s="1773" t="s">
        <v>134</v>
      </c>
      <c r="F432" s="1773" t="s">
        <v>129</v>
      </c>
      <c r="G432" s="1773" t="s">
        <v>1885</v>
      </c>
      <c r="H432" s="1773"/>
      <c r="I432" s="1773"/>
      <c r="J432" s="1773"/>
      <c r="K432" s="1776" t="s">
        <v>1974</v>
      </c>
      <c r="L432" s="1774"/>
      <c r="M432" s="1774"/>
      <c r="N432" s="1774"/>
      <c r="O432" s="1774">
        <f t="shared" si="822"/>
        <v>0</v>
      </c>
      <c r="P432" s="1777"/>
      <c r="Q432" s="1775" t="e">
        <f t="shared" si="801"/>
        <v>#DIV/0!</v>
      </c>
      <c r="R432" s="1777"/>
      <c r="S432" s="1775" t="e">
        <f>+R432/#REF!</f>
        <v>#REF!</v>
      </c>
      <c r="T432" s="1777"/>
      <c r="U432" s="1775" t="e">
        <f>+T432/#REF!</f>
        <v>#REF!</v>
      </c>
      <c r="V432" s="1777"/>
      <c r="W432" s="1775" t="e">
        <f>+V432/#REF!</f>
        <v>#REF!</v>
      </c>
      <c r="X432" s="1777"/>
      <c r="Y432" s="1777"/>
      <c r="Z432" s="1777"/>
      <c r="AA432" s="1777">
        <f t="shared" si="825"/>
        <v>0</v>
      </c>
      <c r="AB432" s="1877" t="e">
        <f t="shared" si="826"/>
        <v>#DIV/0!</v>
      </c>
    </row>
    <row r="433" spans="1:28" ht="22.5" hidden="1" customHeight="1" thickTop="1" thickBot="1">
      <c r="A433" s="1772">
        <v>1</v>
      </c>
      <c r="B433" s="1773" t="s">
        <v>127</v>
      </c>
      <c r="C433" s="1773" t="s">
        <v>209</v>
      </c>
      <c r="D433" s="1773" t="s">
        <v>181</v>
      </c>
      <c r="E433" s="1773" t="s">
        <v>134</v>
      </c>
      <c r="F433" s="1773" t="s">
        <v>129</v>
      </c>
      <c r="G433" s="1773" t="s">
        <v>1887</v>
      </c>
      <c r="H433" s="1773"/>
      <c r="I433" s="1773"/>
      <c r="J433" s="1773"/>
      <c r="K433" s="1776" t="s">
        <v>1975</v>
      </c>
      <c r="L433" s="1774"/>
      <c r="M433" s="1774"/>
      <c r="N433" s="1774"/>
      <c r="O433" s="1774">
        <f t="shared" si="822"/>
        <v>0</v>
      </c>
      <c r="P433" s="1777"/>
      <c r="Q433" s="1775" t="e">
        <f t="shared" si="801"/>
        <v>#DIV/0!</v>
      </c>
      <c r="R433" s="1777"/>
      <c r="S433" s="1775" t="e">
        <f>+R433/#REF!</f>
        <v>#REF!</v>
      </c>
      <c r="T433" s="1777"/>
      <c r="U433" s="1775" t="e">
        <f>+T433/#REF!</f>
        <v>#REF!</v>
      </c>
      <c r="V433" s="1777"/>
      <c r="W433" s="1775" t="e">
        <f>+V433/#REF!</f>
        <v>#REF!</v>
      </c>
      <c r="X433" s="1777"/>
      <c r="Y433" s="1777"/>
      <c r="Z433" s="1777"/>
      <c r="AA433" s="1777">
        <f t="shared" si="825"/>
        <v>0</v>
      </c>
      <c r="AB433" s="1877" t="e">
        <f t="shared" si="826"/>
        <v>#DIV/0!</v>
      </c>
    </row>
    <row r="434" spans="1:28" ht="22.5" hidden="1" customHeight="1" thickTop="1" thickBot="1">
      <c r="A434" s="1772">
        <v>1</v>
      </c>
      <c r="B434" s="1773" t="s">
        <v>127</v>
      </c>
      <c r="C434" s="1773" t="s">
        <v>209</v>
      </c>
      <c r="D434" s="1773" t="s">
        <v>181</v>
      </c>
      <c r="E434" s="1773" t="s">
        <v>134</v>
      </c>
      <c r="F434" s="1773" t="s">
        <v>129</v>
      </c>
      <c r="G434" s="1773" t="s">
        <v>1889</v>
      </c>
      <c r="H434" s="1773"/>
      <c r="I434" s="1773"/>
      <c r="J434" s="1773"/>
      <c r="K434" s="1776" t="s">
        <v>1976</v>
      </c>
      <c r="L434" s="1774"/>
      <c r="M434" s="1774"/>
      <c r="N434" s="1774"/>
      <c r="O434" s="1774">
        <f t="shared" si="822"/>
        <v>0</v>
      </c>
      <c r="P434" s="1777"/>
      <c r="Q434" s="1775" t="e">
        <f t="shared" si="801"/>
        <v>#DIV/0!</v>
      </c>
      <c r="R434" s="1777"/>
      <c r="S434" s="1775" t="e">
        <f>+R434/#REF!</f>
        <v>#REF!</v>
      </c>
      <c r="T434" s="1777"/>
      <c r="U434" s="1775" t="e">
        <f>+T434/#REF!</f>
        <v>#REF!</v>
      </c>
      <c r="V434" s="1777"/>
      <c r="W434" s="1775" t="e">
        <f>+V434/#REF!</f>
        <v>#REF!</v>
      </c>
      <c r="X434" s="1777"/>
      <c r="Y434" s="1777"/>
      <c r="Z434" s="1777"/>
      <c r="AA434" s="1777">
        <f t="shared" si="825"/>
        <v>0</v>
      </c>
      <c r="AB434" s="1877" t="e">
        <f t="shared" si="826"/>
        <v>#DIV/0!</v>
      </c>
    </row>
    <row r="435" spans="1:28" ht="22.5" hidden="1" customHeight="1" thickTop="1" thickBot="1">
      <c r="A435" s="1772">
        <v>1</v>
      </c>
      <c r="B435" s="1773" t="s">
        <v>127</v>
      </c>
      <c r="C435" s="1773" t="s">
        <v>209</v>
      </c>
      <c r="D435" s="1773" t="s">
        <v>181</v>
      </c>
      <c r="E435" s="1773" t="s">
        <v>134</v>
      </c>
      <c r="F435" s="1773" t="s">
        <v>129</v>
      </c>
      <c r="G435" s="1773" t="s">
        <v>1701</v>
      </c>
      <c r="H435" s="1773"/>
      <c r="I435" s="1773"/>
      <c r="J435" s="1773"/>
      <c r="K435" s="1776" t="s">
        <v>1977</v>
      </c>
      <c r="L435" s="1774"/>
      <c r="M435" s="1774"/>
      <c r="N435" s="1774"/>
      <c r="O435" s="1774">
        <f t="shared" si="822"/>
        <v>0</v>
      </c>
      <c r="P435" s="1777"/>
      <c r="Q435" s="1775" t="e">
        <f t="shared" si="801"/>
        <v>#DIV/0!</v>
      </c>
      <c r="R435" s="1777"/>
      <c r="S435" s="1775" t="e">
        <f>+R435/#REF!</f>
        <v>#REF!</v>
      </c>
      <c r="T435" s="1777"/>
      <c r="U435" s="1775" t="e">
        <f>+T435/#REF!</f>
        <v>#REF!</v>
      </c>
      <c r="V435" s="1777"/>
      <c r="W435" s="1775" t="e">
        <f>+V435/#REF!</f>
        <v>#REF!</v>
      </c>
      <c r="X435" s="1777"/>
      <c r="Y435" s="1777"/>
      <c r="Z435" s="1777"/>
      <c r="AA435" s="1777">
        <f t="shared" si="825"/>
        <v>0</v>
      </c>
      <c r="AB435" s="1877" t="e">
        <f t="shared" si="826"/>
        <v>#DIV/0!</v>
      </c>
    </row>
    <row r="436" spans="1:28" ht="22.5" hidden="1" customHeight="1" thickTop="1" thickBot="1">
      <c r="A436" s="1772">
        <v>1</v>
      </c>
      <c r="B436" s="1773" t="s">
        <v>127</v>
      </c>
      <c r="C436" s="1773" t="s">
        <v>209</v>
      </c>
      <c r="D436" s="1773" t="s">
        <v>181</v>
      </c>
      <c r="E436" s="1773" t="s">
        <v>134</v>
      </c>
      <c r="F436" s="1773" t="s">
        <v>129</v>
      </c>
      <c r="G436" s="1773" t="s">
        <v>1892</v>
      </c>
      <c r="H436" s="1773"/>
      <c r="I436" s="1773"/>
      <c r="J436" s="1773"/>
      <c r="K436" s="1776" t="s">
        <v>1978</v>
      </c>
      <c r="L436" s="1774"/>
      <c r="M436" s="1774"/>
      <c r="N436" s="1774"/>
      <c r="O436" s="1774">
        <f t="shared" si="822"/>
        <v>0</v>
      </c>
      <c r="P436" s="1777"/>
      <c r="Q436" s="1775" t="e">
        <f t="shared" si="801"/>
        <v>#DIV/0!</v>
      </c>
      <c r="R436" s="1777"/>
      <c r="S436" s="1775" t="e">
        <f>+R436/#REF!</f>
        <v>#REF!</v>
      </c>
      <c r="T436" s="1777"/>
      <c r="U436" s="1775" t="e">
        <f>+T436/#REF!</f>
        <v>#REF!</v>
      </c>
      <c r="V436" s="1777"/>
      <c r="W436" s="1775" t="e">
        <f>+V436/#REF!</f>
        <v>#REF!</v>
      </c>
      <c r="X436" s="1777"/>
      <c r="Y436" s="1777"/>
      <c r="Z436" s="1777"/>
      <c r="AA436" s="1777">
        <f t="shared" si="825"/>
        <v>0</v>
      </c>
      <c r="AB436" s="1877" t="e">
        <f t="shared" si="826"/>
        <v>#DIV/0!</v>
      </c>
    </row>
    <row r="437" spans="1:28" ht="22.5" hidden="1" customHeight="1" thickTop="1" thickBot="1">
      <c r="A437" s="1772">
        <v>1</v>
      </c>
      <c r="B437" s="1773" t="s">
        <v>127</v>
      </c>
      <c r="C437" s="1773" t="s">
        <v>209</v>
      </c>
      <c r="D437" s="1773" t="s">
        <v>181</v>
      </c>
      <c r="E437" s="1773" t="s">
        <v>134</v>
      </c>
      <c r="F437" s="1773" t="s">
        <v>129</v>
      </c>
      <c r="G437" s="1773" t="s">
        <v>1894</v>
      </c>
      <c r="H437" s="1773"/>
      <c r="I437" s="1773"/>
      <c r="J437" s="1773"/>
      <c r="K437" s="1776" t="s">
        <v>1979</v>
      </c>
      <c r="L437" s="1774"/>
      <c r="M437" s="1774"/>
      <c r="N437" s="1774"/>
      <c r="O437" s="1774">
        <f t="shared" si="822"/>
        <v>0</v>
      </c>
      <c r="P437" s="1777"/>
      <c r="Q437" s="1775" t="e">
        <f t="shared" si="801"/>
        <v>#DIV/0!</v>
      </c>
      <c r="R437" s="1777"/>
      <c r="S437" s="1775" t="e">
        <f>+R437/#REF!</f>
        <v>#REF!</v>
      </c>
      <c r="T437" s="1777"/>
      <c r="U437" s="1775" t="e">
        <f>+T437/#REF!</f>
        <v>#REF!</v>
      </c>
      <c r="V437" s="1777"/>
      <c r="W437" s="1775" t="e">
        <f>+V437/#REF!</f>
        <v>#REF!</v>
      </c>
      <c r="X437" s="1777"/>
      <c r="Y437" s="1777"/>
      <c r="Z437" s="1777"/>
      <c r="AA437" s="1777">
        <f t="shared" si="825"/>
        <v>0</v>
      </c>
      <c r="AB437" s="1877" t="e">
        <f t="shared" si="826"/>
        <v>#DIV/0!</v>
      </c>
    </row>
    <row r="438" spans="1:28" ht="22.5" hidden="1" customHeight="1" thickTop="1" thickBot="1">
      <c r="A438" s="1772">
        <v>1</v>
      </c>
      <c r="B438" s="1773" t="s">
        <v>127</v>
      </c>
      <c r="C438" s="1773" t="s">
        <v>209</v>
      </c>
      <c r="D438" s="1773" t="s">
        <v>181</v>
      </c>
      <c r="E438" s="1773" t="s">
        <v>134</v>
      </c>
      <c r="F438" s="1773" t="s">
        <v>129</v>
      </c>
      <c r="G438" s="1773" t="s">
        <v>1896</v>
      </c>
      <c r="H438" s="1773"/>
      <c r="I438" s="1773"/>
      <c r="J438" s="1773"/>
      <c r="K438" s="1776" t="s">
        <v>1980</v>
      </c>
      <c r="L438" s="1774"/>
      <c r="M438" s="1774"/>
      <c r="N438" s="1774"/>
      <c r="O438" s="1774">
        <f t="shared" si="822"/>
        <v>0</v>
      </c>
      <c r="P438" s="1777"/>
      <c r="Q438" s="1775" t="e">
        <f t="shared" si="801"/>
        <v>#DIV/0!</v>
      </c>
      <c r="R438" s="1777"/>
      <c r="S438" s="1775" t="e">
        <f>+R438/#REF!</f>
        <v>#REF!</v>
      </c>
      <c r="T438" s="1777"/>
      <c r="U438" s="1775" t="e">
        <f>+T438/#REF!</f>
        <v>#REF!</v>
      </c>
      <c r="V438" s="1777"/>
      <c r="W438" s="1775" t="e">
        <f>+V438/#REF!</f>
        <v>#REF!</v>
      </c>
      <c r="X438" s="1777"/>
      <c r="Y438" s="1777"/>
      <c r="Z438" s="1777"/>
      <c r="AA438" s="1777">
        <f t="shared" si="825"/>
        <v>0</v>
      </c>
      <c r="AB438" s="1877" t="e">
        <f t="shared" si="826"/>
        <v>#DIV/0!</v>
      </c>
    </row>
    <row r="439" spans="1:28" ht="22.5" hidden="1" customHeight="1" thickTop="1" thickBot="1">
      <c r="A439" s="1772">
        <v>1</v>
      </c>
      <c r="B439" s="1773" t="s">
        <v>127</v>
      </c>
      <c r="C439" s="1773" t="s">
        <v>209</v>
      </c>
      <c r="D439" s="1773" t="s">
        <v>181</v>
      </c>
      <c r="E439" s="1773" t="s">
        <v>134</v>
      </c>
      <c r="F439" s="1773" t="s">
        <v>129</v>
      </c>
      <c r="G439" s="1773" t="s">
        <v>1898</v>
      </c>
      <c r="H439" s="1773"/>
      <c r="I439" s="1773"/>
      <c r="J439" s="1773"/>
      <c r="K439" s="1776" t="s">
        <v>1981</v>
      </c>
      <c r="L439" s="1774"/>
      <c r="M439" s="1774"/>
      <c r="N439" s="1774"/>
      <c r="O439" s="1774">
        <f t="shared" si="822"/>
        <v>0</v>
      </c>
      <c r="P439" s="1777"/>
      <c r="Q439" s="1775" t="e">
        <f t="shared" si="801"/>
        <v>#DIV/0!</v>
      </c>
      <c r="R439" s="1777"/>
      <c r="S439" s="1775" t="e">
        <f>+R439/#REF!</f>
        <v>#REF!</v>
      </c>
      <c r="T439" s="1777"/>
      <c r="U439" s="1775" t="e">
        <f>+T439/#REF!</f>
        <v>#REF!</v>
      </c>
      <c r="V439" s="1777"/>
      <c r="W439" s="1775" t="e">
        <f>+V439/#REF!</f>
        <v>#REF!</v>
      </c>
      <c r="X439" s="1777"/>
      <c r="Y439" s="1777"/>
      <c r="Z439" s="1777"/>
      <c r="AA439" s="1777">
        <f t="shared" si="825"/>
        <v>0</v>
      </c>
      <c r="AB439" s="1877" t="e">
        <f t="shared" si="826"/>
        <v>#DIV/0!</v>
      </c>
    </row>
    <row r="440" spans="1:28" ht="22.5" hidden="1" customHeight="1" thickTop="1" thickBot="1">
      <c r="A440" s="1772">
        <v>1</v>
      </c>
      <c r="B440" s="1773" t="s">
        <v>127</v>
      </c>
      <c r="C440" s="1773" t="s">
        <v>209</v>
      </c>
      <c r="D440" s="1773" t="s">
        <v>181</v>
      </c>
      <c r="E440" s="1773" t="s">
        <v>134</v>
      </c>
      <c r="F440" s="1773" t="s">
        <v>129</v>
      </c>
      <c r="G440" s="1773" t="s">
        <v>1900</v>
      </c>
      <c r="H440" s="1773"/>
      <c r="I440" s="1773"/>
      <c r="J440" s="1773"/>
      <c r="K440" s="1776" t="s">
        <v>1982</v>
      </c>
      <c r="L440" s="1774"/>
      <c r="M440" s="1774"/>
      <c r="N440" s="1774"/>
      <c r="O440" s="1774">
        <f t="shared" si="822"/>
        <v>0</v>
      </c>
      <c r="P440" s="1777"/>
      <c r="Q440" s="1775" t="e">
        <f t="shared" si="801"/>
        <v>#DIV/0!</v>
      </c>
      <c r="R440" s="1777"/>
      <c r="S440" s="1775" t="e">
        <f>+R440/#REF!</f>
        <v>#REF!</v>
      </c>
      <c r="T440" s="1777"/>
      <c r="U440" s="1775" t="e">
        <f>+T440/#REF!</f>
        <v>#REF!</v>
      </c>
      <c r="V440" s="1777"/>
      <c r="W440" s="1775" t="e">
        <f>+V440/#REF!</f>
        <v>#REF!</v>
      </c>
      <c r="X440" s="1777"/>
      <c r="Y440" s="1777"/>
      <c r="Z440" s="1777"/>
      <c r="AA440" s="1777">
        <f t="shared" si="825"/>
        <v>0</v>
      </c>
      <c r="AB440" s="1877" t="e">
        <f t="shared" si="826"/>
        <v>#DIV/0!</v>
      </c>
    </row>
    <row r="441" spans="1:28" ht="22.5" hidden="1" customHeight="1" thickTop="1" thickBot="1">
      <c r="A441" s="1772">
        <v>1</v>
      </c>
      <c r="B441" s="1773" t="s">
        <v>127</v>
      </c>
      <c r="C441" s="1773" t="s">
        <v>209</v>
      </c>
      <c r="D441" s="1773" t="s">
        <v>181</v>
      </c>
      <c r="E441" s="1773" t="s">
        <v>134</v>
      </c>
      <c r="F441" s="1773" t="s">
        <v>129</v>
      </c>
      <c r="G441" s="1773" t="s">
        <v>1902</v>
      </c>
      <c r="H441" s="1773"/>
      <c r="I441" s="1773"/>
      <c r="J441" s="1773"/>
      <c r="K441" s="1776" t="s">
        <v>1983</v>
      </c>
      <c r="L441" s="1774"/>
      <c r="M441" s="1774"/>
      <c r="N441" s="1774"/>
      <c r="O441" s="1774">
        <f t="shared" si="822"/>
        <v>0</v>
      </c>
      <c r="P441" s="1777"/>
      <c r="Q441" s="1775" t="e">
        <f t="shared" si="801"/>
        <v>#DIV/0!</v>
      </c>
      <c r="R441" s="1777"/>
      <c r="S441" s="1775" t="e">
        <f>+R441/#REF!</f>
        <v>#REF!</v>
      </c>
      <c r="T441" s="1777"/>
      <c r="U441" s="1775" t="e">
        <f>+T441/#REF!</f>
        <v>#REF!</v>
      </c>
      <c r="V441" s="1777"/>
      <c r="W441" s="1775" t="e">
        <f>+V441/#REF!</f>
        <v>#REF!</v>
      </c>
      <c r="X441" s="1777"/>
      <c r="Y441" s="1777"/>
      <c r="Z441" s="1777"/>
      <c r="AA441" s="1777">
        <f t="shared" si="825"/>
        <v>0</v>
      </c>
      <c r="AB441" s="1877" t="e">
        <f t="shared" si="826"/>
        <v>#DIV/0!</v>
      </c>
    </row>
    <row r="442" spans="1:28" ht="22.5" hidden="1" customHeight="1" thickTop="1" thickBot="1">
      <c r="A442" s="1772">
        <v>1</v>
      </c>
      <c r="B442" s="1773" t="s">
        <v>127</v>
      </c>
      <c r="C442" s="1773" t="s">
        <v>209</v>
      </c>
      <c r="D442" s="1773" t="s">
        <v>181</v>
      </c>
      <c r="E442" s="1773" t="s">
        <v>134</v>
      </c>
      <c r="F442" s="1773" t="s">
        <v>129</v>
      </c>
      <c r="G442" s="1773" t="s">
        <v>1904</v>
      </c>
      <c r="H442" s="1773"/>
      <c r="I442" s="1773"/>
      <c r="J442" s="1773"/>
      <c r="K442" s="1776" t="s">
        <v>1984</v>
      </c>
      <c r="L442" s="1774"/>
      <c r="M442" s="1774"/>
      <c r="N442" s="1774"/>
      <c r="O442" s="1774">
        <f t="shared" si="822"/>
        <v>0</v>
      </c>
      <c r="P442" s="1777"/>
      <c r="Q442" s="1775" t="e">
        <f t="shared" si="801"/>
        <v>#DIV/0!</v>
      </c>
      <c r="R442" s="1777"/>
      <c r="S442" s="1775" t="e">
        <f>+R442/#REF!</f>
        <v>#REF!</v>
      </c>
      <c r="T442" s="1777"/>
      <c r="U442" s="1775" t="e">
        <f>+T442/#REF!</f>
        <v>#REF!</v>
      </c>
      <c r="V442" s="1777"/>
      <c r="W442" s="1775" t="e">
        <f>+V442/#REF!</f>
        <v>#REF!</v>
      </c>
      <c r="X442" s="1777"/>
      <c r="Y442" s="1777"/>
      <c r="Z442" s="1777"/>
      <c r="AA442" s="1777">
        <f t="shared" si="825"/>
        <v>0</v>
      </c>
      <c r="AB442" s="1877" t="e">
        <f t="shared" si="826"/>
        <v>#DIV/0!</v>
      </c>
    </row>
    <row r="443" spans="1:28" ht="22.5" hidden="1" customHeight="1" thickTop="1" thickBot="1">
      <c r="A443" s="1772">
        <v>1</v>
      </c>
      <c r="B443" s="1773" t="s">
        <v>127</v>
      </c>
      <c r="C443" s="1773" t="s">
        <v>209</v>
      </c>
      <c r="D443" s="1773" t="s">
        <v>181</v>
      </c>
      <c r="E443" s="1773" t="s">
        <v>134</v>
      </c>
      <c r="F443" s="1773" t="s">
        <v>129</v>
      </c>
      <c r="G443" s="1773" t="s">
        <v>1906</v>
      </c>
      <c r="H443" s="1773"/>
      <c r="I443" s="1773"/>
      <c r="J443" s="1773"/>
      <c r="K443" s="1776" t="s">
        <v>1985</v>
      </c>
      <c r="L443" s="1774"/>
      <c r="M443" s="1774"/>
      <c r="N443" s="1774"/>
      <c r="O443" s="1774">
        <f t="shared" si="822"/>
        <v>0</v>
      </c>
      <c r="P443" s="1777"/>
      <c r="Q443" s="1775" t="e">
        <f t="shared" si="801"/>
        <v>#DIV/0!</v>
      </c>
      <c r="R443" s="1777"/>
      <c r="S443" s="1775" t="e">
        <f>+R443/#REF!</f>
        <v>#REF!</v>
      </c>
      <c r="T443" s="1777"/>
      <c r="U443" s="1775" t="e">
        <f>+T443/#REF!</f>
        <v>#REF!</v>
      </c>
      <c r="V443" s="1777"/>
      <c r="W443" s="1775" t="e">
        <f>+V443/#REF!</f>
        <v>#REF!</v>
      </c>
      <c r="X443" s="1777"/>
      <c r="Y443" s="1777"/>
      <c r="Z443" s="1777"/>
      <c r="AA443" s="1777">
        <f t="shared" si="825"/>
        <v>0</v>
      </c>
      <c r="AB443" s="1877" t="e">
        <f t="shared" si="826"/>
        <v>#DIV/0!</v>
      </c>
    </row>
    <row r="444" spans="1:28" ht="22.5" hidden="1" customHeight="1" thickTop="1" thickBot="1">
      <c r="A444" s="1772">
        <v>1</v>
      </c>
      <c r="B444" s="1773" t="s">
        <v>127</v>
      </c>
      <c r="C444" s="1773" t="s">
        <v>209</v>
      </c>
      <c r="D444" s="1773" t="s">
        <v>181</v>
      </c>
      <c r="E444" s="1773" t="s">
        <v>134</v>
      </c>
      <c r="F444" s="1773" t="s">
        <v>129</v>
      </c>
      <c r="G444" s="1773" t="s">
        <v>1986</v>
      </c>
      <c r="H444" s="1773"/>
      <c r="I444" s="1773"/>
      <c r="J444" s="1773"/>
      <c r="K444" s="1776" t="s">
        <v>1987</v>
      </c>
      <c r="L444" s="1774"/>
      <c r="M444" s="1774"/>
      <c r="N444" s="1774"/>
      <c r="O444" s="1774">
        <f t="shared" si="822"/>
        <v>0</v>
      </c>
      <c r="P444" s="1777"/>
      <c r="Q444" s="1775" t="e">
        <f t="shared" si="801"/>
        <v>#DIV/0!</v>
      </c>
      <c r="R444" s="1777"/>
      <c r="S444" s="1775" t="e">
        <f>+R444/#REF!</f>
        <v>#REF!</v>
      </c>
      <c r="T444" s="1777"/>
      <c r="U444" s="1775" t="e">
        <f>+T444/#REF!</f>
        <v>#REF!</v>
      </c>
      <c r="V444" s="1777"/>
      <c r="W444" s="1775" t="e">
        <f>+V444/#REF!</f>
        <v>#REF!</v>
      </c>
      <c r="X444" s="1777"/>
      <c r="Y444" s="1777"/>
      <c r="Z444" s="1777"/>
      <c r="AA444" s="1777">
        <f t="shared" si="825"/>
        <v>0</v>
      </c>
      <c r="AB444" s="1877" t="e">
        <f t="shared" si="826"/>
        <v>#DIV/0!</v>
      </c>
    </row>
    <row r="445" spans="1:28" ht="22.5" hidden="1" customHeight="1" thickTop="1" thickBot="1">
      <c r="A445" s="1772">
        <v>1</v>
      </c>
      <c r="B445" s="1773" t="s">
        <v>127</v>
      </c>
      <c r="C445" s="1773" t="s">
        <v>209</v>
      </c>
      <c r="D445" s="1773" t="s">
        <v>181</v>
      </c>
      <c r="E445" s="1773" t="s">
        <v>134</v>
      </c>
      <c r="F445" s="1773" t="s">
        <v>129</v>
      </c>
      <c r="G445" s="1773" t="s">
        <v>1988</v>
      </c>
      <c r="H445" s="1773"/>
      <c r="I445" s="1773"/>
      <c r="J445" s="1773"/>
      <c r="K445" s="1776" t="s">
        <v>1989</v>
      </c>
      <c r="L445" s="1774"/>
      <c r="M445" s="1774"/>
      <c r="N445" s="1774"/>
      <c r="O445" s="1774">
        <f t="shared" si="822"/>
        <v>0</v>
      </c>
      <c r="P445" s="1777"/>
      <c r="Q445" s="1775" t="e">
        <f t="shared" si="801"/>
        <v>#DIV/0!</v>
      </c>
      <c r="R445" s="1777"/>
      <c r="S445" s="1775" t="e">
        <f>+R445/#REF!</f>
        <v>#REF!</v>
      </c>
      <c r="T445" s="1777"/>
      <c r="U445" s="1775" t="e">
        <f>+T445/#REF!</f>
        <v>#REF!</v>
      </c>
      <c r="V445" s="1777"/>
      <c r="W445" s="1775" t="e">
        <f>+V445/#REF!</f>
        <v>#REF!</v>
      </c>
      <c r="X445" s="1777"/>
      <c r="Y445" s="1777"/>
      <c r="Z445" s="1777"/>
      <c r="AA445" s="1777">
        <f t="shared" si="825"/>
        <v>0</v>
      </c>
      <c r="AB445" s="1877" t="e">
        <f t="shared" si="826"/>
        <v>#DIV/0!</v>
      </c>
    </row>
    <row r="446" spans="1:28" s="1791" customFormat="1" ht="22.5" hidden="1" customHeight="1" thickTop="1" thickBot="1">
      <c r="A446" s="1785">
        <v>1</v>
      </c>
      <c r="B446" s="1786" t="s">
        <v>127</v>
      </c>
      <c r="C446" s="1786" t="s">
        <v>209</v>
      </c>
      <c r="D446" s="1786" t="s">
        <v>181</v>
      </c>
      <c r="E446" s="1786" t="s">
        <v>134</v>
      </c>
      <c r="F446" s="1786" t="s">
        <v>134</v>
      </c>
      <c r="G446" s="1786"/>
      <c r="H446" s="1786"/>
      <c r="I446" s="1786"/>
      <c r="J446" s="1786"/>
      <c r="K446" s="1788" t="s">
        <v>1990</v>
      </c>
      <c r="L446" s="1789">
        <f>SUM(L447:L477)</f>
        <v>0</v>
      </c>
      <c r="M446" s="1789">
        <f t="shared" ref="M446:N446" si="854">SUM(M447:M477)</f>
        <v>0</v>
      </c>
      <c r="N446" s="1789">
        <f t="shared" si="854"/>
        <v>0</v>
      </c>
      <c r="O446" s="1789">
        <f t="shared" si="822"/>
        <v>0</v>
      </c>
      <c r="P446" s="1800">
        <f t="shared" ref="P446:V446" si="855">SUM(P447:P477)</f>
        <v>0</v>
      </c>
      <c r="Q446" s="1790" t="e">
        <f t="shared" si="801"/>
        <v>#DIV/0!</v>
      </c>
      <c r="R446" s="1800">
        <f t="shared" si="855"/>
        <v>0</v>
      </c>
      <c r="S446" s="1790" t="e">
        <f>+R446/#REF!</f>
        <v>#REF!</v>
      </c>
      <c r="T446" s="1800">
        <f t="shared" si="855"/>
        <v>0</v>
      </c>
      <c r="U446" s="1790" t="e">
        <f>+T446/#REF!</f>
        <v>#REF!</v>
      </c>
      <c r="V446" s="1800">
        <f t="shared" si="855"/>
        <v>0</v>
      </c>
      <c r="W446" s="1790" t="e">
        <f>+V446/#REF!</f>
        <v>#REF!</v>
      </c>
      <c r="X446" s="1800">
        <f t="shared" ref="X446:Z446" si="856">SUM(X447:X477)</f>
        <v>0</v>
      </c>
      <c r="Y446" s="1800">
        <f t="shared" si="856"/>
        <v>0</v>
      </c>
      <c r="Z446" s="1800">
        <f t="shared" si="856"/>
        <v>0</v>
      </c>
      <c r="AA446" s="1800">
        <f t="shared" si="825"/>
        <v>0</v>
      </c>
      <c r="AB446" s="1878" t="e">
        <f t="shared" si="826"/>
        <v>#DIV/0!</v>
      </c>
    </row>
    <row r="447" spans="1:28" ht="22.5" hidden="1" customHeight="1" thickTop="1" thickBot="1">
      <c r="A447" s="1772">
        <v>1</v>
      </c>
      <c r="B447" s="1773" t="s">
        <v>127</v>
      </c>
      <c r="C447" s="1773" t="s">
        <v>209</v>
      </c>
      <c r="D447" s="1773" t="s">
        <v>181</v>
      </c>
      <c r="E447" s="1773" t="s">
        <v>134</v>
      </c>
      <c r="F447" s="1773" t="s">
        <v>134</v>
      </c>
      <c r="G447" s="1773" t="s">
        <v>129</v>
      </c>
      <c r="H447" s="1773"/>
      <c r="I447" s="1773"/>
      <c r="J447" s="1773"/>
      <c r="K447" s="1776" t="s">
        <v>1991</v>
      </c>
      <c r="L447" s="1774"/>
      <c r="M447" s="1774"/>
      <c r="N447" s="1774"/>
      <c r="O447" s="1774">
        <f t="shared" si="822"/>
        <v>0</v>
      </c>
      <c r="P447" s="1777"/>
      <c r="Q447" s="1775" t="e">
        <f t="shared" si="801"/>
        <v>#DIV/0!</v>
      </c>
      <c r="R447" s="1777"/>
      <c r="S447" s="1775" t="e">
        <f>+R447/#REF!</f>
        <v>#REF!</v>
      </c>
      <c r="T447" s="1777"/>
      <c r="U447" s="1775" t="e">
        <f>+T447/#REF!</f>
        <v>#REF!</v>
      </c>
      <c r="V447" s="1777"/>
      <c r="W447" s="1775" t="e">
        <f>+V447/#REF!</f>
        <v>#REF!</v>
      </c>
      <c r="X447" s="1777"/>
      <c r="Y447" s="1777"/>
      <c r="Z447" s="1777"/>
      <c r="AA447" s="1777">
        <f t="shared" si="825"/>
        <v>0</v>
      </c>
      <c r="AB447" s="1877" t="e">
        <f t="shared" si="826"/>
        <v>#DIV/0!</v>
      </c>
    </row>
    <row r="448" spans="1:28" ht="22.5" hidden="1" customHeight="1" thickTop="1" thickBot="1">
      <c r="A448" s="1772">
        <v>1</v>
      </c>
      <c r="B448" s="1773" t="s">
        <v>127</v>
      </c>
      <c r="C448" s="1773" t="s">
        <v>209</v>
      </c>
      <c r="D448" s="1773" t="s">
        <v>181</v>
      </c>
      <c r="E448" s="1773" t="s">
        <v>134</v>
      </c>
      <c r="F448" s="1773" t="s">
        <v>134</v>
      </c>
      <c r="G448" s="1773" t="s">
        <v>134</v>
      </c>
      <c r="H448" s="1773"/>
      <c r="I448" s="1773"/>
      <c r="J448" s="1773"/>
      <c r="K448" s="1776" t="s">
        <v>1992</v>
      </c>
      <c r="L448" s="1774"/>
      <c r="M448" s="1774"/>
      <c r="N448" s="1774"/>
      <c r="O448" s="1774">
        <f t="shared" si="822"/>
        <v>0</v>
      </c>
      <c r="P448" s="1777"/>
      <c r="Q448" s="1775" t="e">
        <f t="shared" si="801"/>
        <v>#DIV/0!</v>
      </c>
      <c r="R448" s="1777"/>
      <c r="S448" s="1775" t="e">
        <f>+R448/#REF!</f>
        <v>#REF!</v>
      </c>
      <c r="T448" s="1777"/>
      <c r="U448" s="1775" t="e">
        <f>+T448/#REF!</f>
        <v>#REF!</v>
      </c>
      <c r="V448" s="1777"/>
      <c r="W448" s="1775" t="e">
        <f>+V448/#REF!</f>
        <v>#REF!</v>
      </c>
      <c r="X448" s="1777"/>
      <c r="Y448" s="1777"/>
      <c r="Z448" s="1777"/>
      <c r="AA448" s="1777">
        <f t="shared" si="825"/>
        <v>0</v>
      </c>
      <c r="AB448" s="1877" t="e">
        <f t="shared" si="826"/>
        <v>#DIV/0!</v>
      </c>
    </row>
    <row r="449" spans="1:28" ht="22.5" hidden="1" customHeight="1" thickTop="1" thickBot="1">
      <c r="A449" s="1772">
        <v>1</v>
      </c>
      <c r="B449" s="1773" t="s">
        <v>127</v>
      </c>
      <c r="C449" s="1773" t="s">
        <v>209</v>
      </c>
      <c r="D449" s="1773" t="s">
        <v>181</v>
      </c>
      <c r="E449" s="1773" t="s">
        <v>134</v>
      </c>
      <c r="F449" s="1773" t="s">
        <v>134</v>
      </c>
      <c r="G449" s="1773" t="s">
        <v>139</v>
      </c>
      <c r="H449" s="1773"/>
      <c r="I449" s="1773"/>
      <c r="J449" s="1773"/>
      <c r="K449" s="1776" t="s">
        <v>1993</v>
      </c>
      <c r="L449" s="1774"/>
      <c r="M449" s="1774"/>
      <c r="N449" s="1774"/>
      <c r="O449" s="1774">
        <f t="shared" si="822"/>
        <v>0</v>
      </c>
      <c r="P449" s="1777"/>
      <c r="Q449" s="1775" t="e">
        <f t="shared" ref="Q449:Q512" si="857">+P449/L449</f>
        <v>#DIV/0!</v>
      </c>
      <c r="R449" s="1777"/>
      <c r="S449" s="1775" t="e">
        <f>+R449/#REF!</f>
        <v>#REF!</v>
      </c>
      <c r="T449" s="1777"/>
      <c r="U449" s="1775" t="e">
        <f>+T449/#REF!</f>
        <v>#REF!</v>
      </c>
      <c r="V449" s="1777"/>
      <c r="W449" s="1775" t="e">
        <f>+V449/#REF!</f>
        <v>#REF!</v>
      </c>
      <c r="X449" s="1777"/>
      <c r="Y449" s="1777"/>
      <c r="Z449" s="1777"/>
      <c r="AA449" s="1777">
        <f t="shared" si="825"/>
        <v>0</v>
      </c>
      <c r="AB449" s="1877" t="e">
        <f t="shared" si="826"/>
        <v>#DIV/0!</v>
      </c>
    </row>
    <row r="450" spans="1:28" ht="22.5" hidden="1" customHeight="1" thickTop="1" thickBot="1">
      <c r="A450" s="1772">
        <v>1</v>
      </c>
      <c r="B450" s="1773" t="s">
        <v>127</v>
      </c>
      <c r="C450" s="1773" t="s">
        <v>209</v>
      </c>
      <c r="D450" s="1773" t="s">
        <v>181</v>
      </c>
      <c r="E450" s="1773" t="s">
        <v>134</v>
      </c>
      <c r="F450" s="1773" t="s">
        <v>134</v>
      </c>
      <c r="G450" s="1773" t="s">
        <v>140</v>
      </c>
      <c r="H450" s="1773"/>
      <c r="I450" s="1773"/>
      <c r="J450" s="1773"/>
      <c r="K450" s="1776" t="s">
        <v>1994</v>
      </c>
      <c r="L450" s="1774"/>
      <c r="M450" s="1774"/>
      <c r="N450" s="1774"/>
      <c r="O450" s="1774">
        <f t="shared" si="822"/>
        <v>0</v>
      </c>
      <c r="P450" s="1777"/>
      <c r="Q450" s="1775" t="e">
        <f t="shared" si="857"/>
        <v>#DIV/0!</v>
      </c>
      <c r="R450" s="1777"/>
      <c r="S450" s="1775" t="e">
        <f>+R450/#REF!</f>
        <v>#REF!</v>
      </c>
      <c r="T450" s="1777"/>
      <c r="U450" s="1775" t="e">
        <f>+T450/#REF!</f>
        <v>#REF!</v>
      </c>
      <c r="V450" s="1777"/>
      <c r="W450" s="1775" t="e">
        <f>+V450/#REF!</f>
        <v>#REF!</v>
      </c>
      <c r="X450" s="1777"/>
      <c r="Y450" s="1777"/>
      <c r="Z450" s="1777"/>
      <c r="AA450" s="1777">
        <f t="shared" si="825"/>
        <v>0</v>
      </c>
      <c r="AB450" s="1877" t="e">
        <f t="shared" si="826"/>
        <v>#DIV/0!</v>
      </c>
    </row>
    <row r="451" spans="1:28" ht="22.5" hidden="1" customHeight="1" thickTop="1" thickBot="1">
      <c r="A451" s="1772">
        <v>1</v>
      </c>
      <c r="B451" s="1773" t="s">
        <v>127</v>
      </c>
      <c r="C451" s="1773" t="s">
        <v>209</v>
      </c>
      <c r="D451" s="1773" t="s">
        <v>181</v>
      </c>
      <c r="E451" s="1773" t="s">
        <v>134</v>
      </c>
      <c r="F451" s="1773" t="s">
        <v>134</v>
      </c>
      <c r="G451" s="1773" t="s">
        <v>144</v>
      </c>
      <c r="H451" s="1773"/>
      <c r="I451" s="1773"/>
      <c r="J451" s="1773"/>
      <c r="K451" s="1776" t="s">
        <v>1995</v>
      </c>
      <c r="L451" s="1774"/>
      <c r="M451" s="1774"/>
      <c r="N451" s="1774"/>
      <c r="O451" s="1774">
        <f t="shared" si="822"/>
        <v>0</v>
      </c>
      <c r="P451" s="1777"/>
      <c r="Q451" s="1775" t="e">
        <f t="shared" si="857"/>
        <v>#DIV/0!</v>
      </c>
      <c r="R451" s="1777"/>
      <c r="S451" s="1775" t="e">
        <f>+R451/#REF!</f>
        <v>#REF!</v>
      </c>
      <c r="T451" s="1777"/>
      <c r="U451" s="1775" t="e">
        <f>+T451/#REF!</f>
        <v>#REF!</v>
      </c>
      <c r="V451" s="1777"/>
      <c r="W451" s="1775" t="e">
        <f>+V451/#REF!</f>
        <v>#REF!</v>
      </c>
      <c r="X451" s="1777"/>
      <c r="Y451" s="1777"/>
      <c r="Z451" s="1777"/>
      <c r="AA451" s="1777">
        <f t="shared" si="825"/>
        <v>0</v>
      </c>
      <c r="AB451" s="1877" t="e">
        <f t="shared" si="826"/>
        <v>#DIV/0!</v>
      </c>
    </row>
    <row r="452" spans="1:28" ht="22.5" hidden="1" customHeight="1" thickTop="1" thickBot="1">
      <c r="A452" s="1772">
        <v>1</v>
      </c>
      <c r="B452" s="1773" t="s">
        <v>127</v>
      </c>
      <c r="C452" s="1773" t="s">
        <v>209</v>
      </c>
      <c r="D452" s="1773" t="s">
        <v>181</v>
      </c>
      <c r="E452" s="1773" t="s">
        <v>134</v>
      </c>
      <c r="F452" s="1773" t="s">
        <v>134</v>
      </c>
      <c r="G452" s="1773" t="s">
        <v>145</v>
      </c>
      <c r="H452" s="1773"/>
      <c r="I452" s="1773"/>
      <c r="J452" s="1773"/>
      <c r="K452" s="1776" t="s">
        <v>1996</v>
      </c>
      <c r="L452" s="1774"/>
      <c r="M452" s="1774"/>
      <c r="N452" s="1774"/>
      <c r="O452" s="1774">
        <f t="shared" si="822"/>
        <v>0</v>
      </c>
      <c r="P452" s="1777"/>
      <c r="Q452" s="1775" t="e">
        <f t="shared" si="857"/>
        <v>#DIV/0!</v>
      </c>
      <c r="R452" s="1777"/>
      <c r="S452" s="1775" t="e">
        <f>+R452/#REF!</f>
        <v>#REF!</v>
      </c>
      <c r="T452" s="1777"/>
      <c r="U452" s="1775" t="e">
        <f>+T452/#REF!</f>
        <v>#REF!</v>
      </c>
      <c r="V452" s="1777"/>
      <c r="W452" s="1775" t="e">
        <f>+V452/#REF!</f>
        <v>#REF!</v>
      </c>
      <c r="X452" s="1777"/>
      <c r="Y452" s="1777"/>
      <c r="Z452" s="1777"/>
      <c r="AA452" s="1777">
        <f t="shared" si="825"/>
        <v>0</v>
      </c>
      <c r="AB452" s="1877" t="e">
        <f t="shared" si="826"/>
        <v>#DIV/0!</v>
      </c>
    </row>
    <row r="453" spans="1:28" ht="22.5" hidden="1" customHeight="1" thickTop="1" thickBot="1">
      <c r="A453" s="1772">
        <v>1</v>
      </c>
      <c r="B453" s="1773" t="s">
        <v>127</v>
      </c>
      <c r="C453" s="1773" t="s">
        <v>209</v>
      </c>
      <c r="D453" s="1773" t="s">
        <v>181</v>
      </c>
      <c r="E453" s="1773" t="s">
        <v>134</v>
      </c>
      <c r="F453" s="1773" t="s">
        <v>134</v>
      </c>
      <c r="G453" s="1773" t="s">
        <v>146</v>
      </c>
      <c r="H453" s="1773"/>
      <c r="I453" s="1773"/>
      <c r="J453" s="1773"/>
      <c r="K453" s="1776" t="s">
        <v>1997</v>
      </c>
      <c r="L453" s="1774"/>
      <c r="M453" s="1774"/>
      <c r="N453" s="1774"/>
      <c r="O453" s="1774">
        <f t="shared" si="822"/>
        <v>0</v>
      </c>
      <c r="P453" s="1777"/>
      <c r="Q453" s="1775" t="e">
        <f t="shared" si="857"/>
        <v>#DIV/0!</v>
      </c>
      <c r="R453" s="1777"/>
      <c r="S453" s="1775" t="e">
        <f>+R453/#REF!</f>
        <v>#REF!</v>
      </c>
      <c r="T453" s="1777"/>
      <c r="U453" s="1775" t="e">
        <f>+T453/#REF!</f>
        <v>#REF!</v>
      </c>
      <c r="V453" s="1777"/>
      <c r="W453" s="1775" t="e">
        <f>+V453/#REF!</f>
        <v>#REF!</v>
      </c>
      <c r="X453" s="1777"/>
      <c r="Y453" s="1777"/>
      <c r="Z453" s="1777"/>
      <c r="AA453" s="1777">
        <f t="shared" si="825"/>
        <v>0</v>
      </c>
      <c r="AB453" s="1877" t="e">
        <f t="shared" si="826"/>
        <v>#DIV/0!</v>
      </c>
    </row>
    <row r="454" spans="1:28" ht="22.5" hidden="1" customHeight="1" thickTop="1" thickBot="1">
      <c r="A454" s="1772">
        <v>1</v>
      </c>
      <c r="B454" s="1773" t="s">
        <v>127</v>
      </c>
      <c r="C454" s="1773" t="s">
        <v>209</v>
      </c>
      <c r="D454" s="1773" t="s">
        <v>181</v>
      </c>
      <c r="E454" s="1773" t="s">
        <v>134</v>
      </c>
      <c r="F454" s="1773" t="s">
        <v>134</v>
      </c>
      <c r="G454" s="1773" t="s">
        <v>147</v>
      </c>
      <c r="H454" s="1773"/>
      <c r="I454" s="1773"/>
      <c r="J454" s="1773"/>
      <c r="K454" s="1776" t="s">
        <v>1998</v>
      </c>
      <c r="L454" s="1774"/>
      <c r="M454" s="1774"/>
      <c r="N454" s="1774"/>
      <c r="O454" s="1774">
        <f t="shared" si="822"/>
        <v>0</v>
      </c>
      <c r="P454" s="1777"/>
      <c r="Q454" s="1775" t="e">
        <f t="shared" si="857"/>
        <v>#DIV/0!</v>
      </c>
      <c r="R454" s="1777"/>
      <c r="S454" s="1775" t="e">
        <f>+R454/#REF!</f>
        <v>#REF!</v>
      </c>
      <c r="T454" s="1777"/>
      <c r="U454" s="1775" t="e">
        <f>+T454/#REF!</f>
        <v>#REF!</v>
      </c>
      <c r="V454" s="1777"/>
      <c r="W454" s="1775" t="e">
        <f>+V454/#REF!</f>
        <v>#REF!</v>
      </c>
      <c r="X454" s="1777"/>
      <c r="Y454" s="1777"/>
      <c r="Z454" s="1777"/>
      <c r="AA454" s="1777">
        <f t="shared" si="825"/>
        <v>0</v>
      </c>
      <c r="AB454" s="1877" t="e">
        <f t="shared" si="826"/>
        <v>#DIV/0!</v>
      </c>
    </row>
    <row r="455" spans="1:28" ht="22.5" hidden="1" customHeight="1" thickTop="1" thickBot="1">
      <c r="A455" s="1772">
        <v>1</v>
      </c>
      <c r="B455" s="1773" t="s">
        <v>127</v>
      </c>
      <c r="C455" s="1773" t="s">
        <v>209</v>
      </c>
      <c r="D455" s="1773" t="s">
        <v>181</v>
      </c>
      <c r="E455" s="1773" t="s">
        <v>134</v>
      </c>
      <c r="F455" s="1773" t="s">
        <v>134</v>
      </c>
      <c r="G455" s="1773" t="s">
        <v>180</v>
      </c>
      <c r="H455" s="1773"/>
      <c r="I455" s="1773"/>
      <c r="J455" s="1773"/>
      <c r="K455" s="1776" t="s">
        <v>1999</v>
      </c>
      <c r="L455" s="1774"/>
      <c r="M455" s="1774"/>
      <c r="N455" s="1774"/>
      <c r="O455" s="1774">
        <f t="shared" si="822"/>
        <v>0</v>
      </c>
      <c r="P455" s="1777"/>
      <c r="Q455" s="1775" t="e">
        <f t="shared" si="857"/>
        <v>#DIV/0!</v>
      </c>
      <c r="R455" s="1777"/>
      <c r="S455" s="1775" t="e">
        <f>+R455/#REF!</f>
        <v>#REF!</v>
      </c>
      <c r="T455" s="1777"/>
      <c r="U455" s="1775" t="e">
        <f>+T455/#REF!</f>
        <v>#REF!</v>
      </c>
      <c r="V455" s="1777"/>
      <c r="W455" s="1775" t="e">
        <f>+V455/#REF!</f>
        <v>#REF!</v>
      </c>
      <c r="X455" s="1777"/>
      <c r="Y455" s="1777"/>
      <c r="Z455" s="1777"/>
      <c r="AA455" s="1777">
        <f t="shared" si="825"/>
        <v>0</v>
      </c>
      <c r="AB455" s="1877" t="e">
        <f t="shared" si="826"/>
        <v>#DIV/0!</v>
      </c>
    </row>
    <row r="456" spans="1:28" ht="22.5" hidden="1" customHeight="1" thickTop="1" thickBot="1">
      <c r="A456" s="1772">
        <v>1</v>
      </c>
      <c r="B456" s="1773" t="s">
        <v>127</v>
      </c>
      <c r="C456" s="1773" t="s">
        <v>209</v>
      </c>
      <c r="D456" s="1773" t="s">
        <v>181</v>
      </c>
      <c r="E456" s="1773" t="s">
        <v>134</v>
      </c>
      <c r="F456" s="1773" t="s">
        <v>134</v>
      </c>
      <c r="G456" s="1773" t="s">
        <v>181</v>
      </c>
      <c r="H456" s="1773"/>
      <c r="I456" s="1773"/>
      <c r="J456" s="1773"/>
      <c r="K456" s="1776" t="s">
        <v>2000</v>
      </c>
      <c r="L456" s="1774"/>
      <c r="M456" s="1774"/>
      <c r="N456" s="1774"/>
      <c r="O456" s="1774">
        <f t="shared" si="822"/>
        <v>0</v>
      </c>
      <c r="P456" s="1777"/>
      <c r="Q456" s="1775" t="e">
        <f t="shared" si="857"/>
        <v>#DIV/0!</v>
      </c>
      <c r="R456" s="1777"/>
      <c r="S456" s="1775" t="e">
        <f>+R456/#REF!</f>
        <v>#REF!</v>
      </c>
      <c r="T456" s="1777"/>
      <c r="U456" s="1775" t="e">
        <f>+T456/#REF!</f>
        <v>#REF!</v>
      </c>
      <c r="V456" s="1777"/>
      <c r="W456" s="1775" t="e">
        <f>+V456/#REF!</f>
        <v>#REF!</v>
      </c>
      <c r="X456" s="1777"/>
      <c r="Y456" s="1777"/>
      <c r="Z456" s="1777"/>
      <c r="AA456" s="1777">
        <f t="shared" si="825"/>
        <v>0</v>
      </c>
      <c r="AB456" s="1877" t="e">
        <f t="shared" ref="AB456:AB519" si="858">+AA456/X456</f>
        <v>#DIV/0!</v>
      </c>
    </row>
    <row r="457" spans="1:28" ht="22.5" hidden="1" customHeight="1" thickTop="1" thickBot="1">
      <c r="A457" s="1772">
        <v>1</v>
      </c>
      <c r="B457" s="1773" t="s">
        <v>127</v>
      </c>
      <c r="C457" s="1773" t="s">
        <v>209</v>
      </c>
      <c r="D457" s="1773" t="s">
        <v>181</v>
      </c>
      <c r="E457" s="1773" t="s">
        <v>134</v>
      </c>
      <c r="F457" s="1773" t="s">
        <v>134</v>
      </c>
      <c r="G457" s="1773" t="s">
        <v>182</v>
      </c>
      <c r="H457" s="1773"/>
      <c r="I457" s="1773"/>
      <c r="J457" s="1773"/>
      <c r="K457" s="1776" t="s">
        <v>2001</v>
      </c>
      <c r="L457" s="1774"/>
      <c r="M457" s="1774"/>
      <c r="N457" s="1774"/>
      <c r="O457" s="1774">
        <f t="shared" ref="O457:O520" si="859">+L457+M457-N457</f>
        <v>0</v>
      </c>
      <c r="P457" s="1777"/>
      <c r="Q457" s="1775" t="e">
        <f t="shared" si="857"/>
        <v>#DIV/0!</v>
      </c>
      <c r="R457" s="1777"/>
      <c r="S457" s="1775" t="e">
        <f>+R457/#REF!</f>
        <v>#REF!</v>
      </c>
      <c r="T457" s="1777"/>
      <c r="U457" s="1775" t="e">
        <f>+T457/#REF!</f>
        <v>#REF!</v>
      </c>
      <c r="V457" s="1777"/>
      <c r="W457" s="1775" t="e">
        <f>+V457/#REF!</f>
        <v>#REF!</v>
      </c>
      <c r="X457" s="1777"/>
      <c r="Y457" s="1777"/>
      <c r="Z457" s="1777"/>
      <c r="AA457" s="1777">
        <f t="shared" ref="AA457:AA520" si="860">+Y457+Z457</f>
        <v>0</v>
      </c>
      <c r="AB457" s="1877" t="e">
        <f t="shared" si="858"/>
        <v>#DIV/0!</v>
      </c>
    </row>
    <row r="458" spans="1:28" ht="22.5" hidden="1" customHeight="1" thickTop="1" thickBot="1">
      <c r="A458" s="1772">
        <v>1</v>
      </c>
      <c r="B458" s="1773" t="s">
        <v>127</v>
      </c>
      <c r="C458" s="1773" t="s">
        <v>209</v>
      </c>
      <c r="D458" s="1773" t="s">
        <v>181</v>
      </c>
      <c r="E458" s="1773" t="s">
        <v>134</v>
      </c>
      <c r="F458" s="1773" t="s">
        <v>134</v>
      </c>
      <c r="G458" s="1773" t="s">
        <v>183</v>
      </c>
      <c r="H458" s="1773"/>
      <c r="I458" s="1773"/>
      <c r="J458" s="1773"/>
      <c r="K458" s="1776" t="s">
        <v>2002</v>
      </c>
      <c r="L458" s="1774"/>
      <c r="M458" s="1774"/>
      <c r="N458" s="1774"/>
      <c r="O458" s="1774">
        <f t="shared" si="859"/>
        <v>0</v>
      </c>
      <c r="P458" s="1777"/>
      <c r="Q458" s="1775" t="e">
        <f t="shared" si="857"/>
        <v>#DIV/0!</v>
      </c>
      <c r="R458" s="1777"/>
      <c r="S458" s="1775" t="e">
        <f>+R458/#REF!</f>
        <v>#REF!</v>
      </c>
      <c r="T458" s="1777"/>
      <c r="U458" s="1775" t="e">
        <f>+T458/#REF!</f>
        <v>#REF!</v>
      </c>
      <c r="V458" s="1777"/>
      <c r="W458" s="1775" t="e">
        <f>+V458/#REF!</f>
        <v>#REF!</v>
      </c>
      <c r="X458" s="1777"/>
      <c r="Y458" s="1777"/>
      <c r="Z458" s="1777"/>
      <c r="AA458" s="1777">
        <f t="shared" si="860"/>
        <v>0</v>
      </c>
      <c r="AB458" s="1877" t="e">
        <f t="shared" si="858"/>
        <v>#DIV/0!</v>
      </c>
    </row>
    <row r="459" spans="1:28" ht="22.5" hidden="1" customHeight="1" thickTop="1" thickBot="1">
      <c r="A459" s="1772">
        <v>1</v>
      </c>
      <c r="B459" s="1773" t="s">
        <v>127</v>
      </c>
      <c r="C459" s="1773" t="s">
        <v>209</v>
      </c>
      <c r="D459" s="1773" t="s">
        <v>181</v>
      </c>
      <c r="E459" s="1773" t="s">
        <v>134</v>
      </c>
      <c r="F459" s="1773" t="s">
        <v>134</v>
      </c>
      <c r="G459" s="1773" t="s">
        <v>193</v>
      </c>
      <c r="H459" s="1773"/>
      <c r="I459" s="1773"/>
      <c r="J459" s="1773"/>
      <c r="K459" s="1776" t="s">
        <v>2003</v>
      </c>
      <c r="L459" s="1774"/>
      <c r="M459" s="1774"/>
      <c r="N459" s="1774"/>
      <c r="O459" s="1774">
        <f t="shared" si="859"/>
        <v>0</v>
      </c>
      <c r="P459" s="1777"/>
      <c r="Q459" s="1775" t="e">
        <f t="shared" si="857"/>
        <v>#DIV/0!</v>
      </c>
      <c r="R459" s="1777"/>
      <c r="S459" s="1775" t="e">
        <f>+R459/#REF!</f>
        <v>#REF!</v>
      </c>
      <c r="T459" s="1777"/>
      <c r="U459" s="1775" t="e">
        <f>+T459/#REF!</f>
        <v>#REF!</v>
      </c>
      <c r="V459" s="1777"/>
      <c r="W459" s="1775" t="e">
        <f>+V459/#REF!</f>
        <v>#REF!</v>
      </c>
      <c r="X459" s="1777"/>
      <c r="Y459" s="1777"/>
      <c r="Z459" s="1777"/>
      <c r="AA459" s="1777">
        <f t="shared" si="860"/>
        <v>0</v>
      </c>
      <c r="AB459" s="1877" t="e">
        <f t="shared" si="858"/>
        <v>#DIV/0!</v>
      </c>
    </row>
    <row r="460" spans="1:28" ht="22.5" hidden="1" customHeight="1" thickTop="1" thickBot="1">
      <c r="A460" s="1772">
        <v>1</v>
      </c>
      <c r="B460" s="1773" t="s">
        <v>127</v>
      </c>
      <c r="C460" s="1773" t="s">
        <v>209</v>
      </c>
      <c r="D460" s="1773" t="s">
        <v>181</v>
      </c>
      <c r="E460" s="1773" t="s">
        <v>134</v>
      </c>
      <c r="F460" s="1773" t="s">
        <v>134</v>
      </c>
      <c r="G460" s="1773" t="s">
        <v>194</v>
      </c>
      <c r="H460" s="1773"/>
      <c r="I460" s="1773"/>
      <c r="J460" s="1773"/>
      <c r="K460" s="1776" t="s">
        <v>2004</v>
      </c>
      <c r="L460" s="1774"/>
      <c r="M460" s="1774"/>
      <c r="N460" s="1774"/>
      <c r="O460" s="1774">
        <f t="shared" si="859"/>
        <v>0</v>
      </c>
      <c r="P460" s="1777"/>
      <c r="Q460" s="1775" t="e">
        <f t="shared" si="857"/>
        <v>#DIV/0!</v>
      </c>
      <c r="R460" s="1777"/>
      <c r="S460" s="1775" t="e">
        <f>+R460/#REF!</f>
        <v>#REF!</v>
      </c>
      <c r="T460" s="1777"/>
      <c r="U460" s="1775" t="e">
        <f>+T460/#REF!</f>
        <v>#REF!</v>
      </c>
      <c r="V460" s="1777"/>
      <c r="W460" s="1775" t="e">
        <f>+V460/#REF!</f>
        <v>#REF!</v>
      </c>
      <c r="X460" s="1777"/>
      <c r="Y460" s="1777"/>
      <c r="Z460" s="1777"/>
      <c r="AA460" s="1777">
        <f t="shared" si="860"/>
        <v>0</v>
      </c>
      <c r="AB460" s="1877" t="e">
        <f t="shared" si="858"/>
        <v>#DIV/0!</v>
      </c>
    </row>
    <row r="461" spans="1:28" ht="22.5" hidden="1" customHeight="1" thickTop="1" thickBot="1">
      <c r="A461" s="1772">
        <v>1</v>
      </c>
      <c r="B461" s="1773" t="s">
        <v>127</v>
      </c>
      <c r="C461" s="1773" t="s">
        <v>209</v>
      </c>
      <c r="D461" s="1773" t="s">
        <v>181</v>
      </c>
      <c r="E461" s="1773" t="s">
        <v>134</v>
      </c>
      <c r="F461" s="1773" t="s">
        <v>134</v>
      </c>
      <c r="G461" s="1773" t="s">
        <v>1877</v>
      </c>
      <c r="H461" s="1773"/>
      <c r="I461" s="1773"/>
      <c r="J461" s="1773"/>
      <c r="K461" s="1776" t="s">
        <v>2005</v>
      </c>
      <c r="L461" s="1774"/>
      <c r="M461" s="1774"/>
      <c r="N461" s="1774"/>
      <c r="O461" s="1774">
        <f t="shared" si="859"/>
        <v>0</v>
      </c>
      <c r="P461" s="1777"/>
      <c r="Q461" s="1775" t="e">
        <f t="shared" si="857"/>
        <v>#DIV/0!</v>
      </c>
      <c r="R461" s="1777"/>
      <c r="S461" s="1775" t="e">
        <f>+R461/#REF!</f>
        <v>#REF!</v>
      </c>
      <c r="T461" s="1777"/>
      <c r="U461" s="1775" t="e">
        <f>+T461/#REF!</f>
        <v>#REF!</v>
      </c>
      <c r="V461" s="1777"/>
      <c r="W461" s="1775" t="e">
        <f>+V461/#REF!</f>
        <v>#REF!</v>
      </c>
      <c r="X461" s="1777"/>
      <c r="Y461" s="1777"/>
      <c r="Z461" s="1777"/>
      <c r="AA461" s="1777">
        <f t="shared" si="860"/>
        <v>0</v>
      </c>
      <c r="AB461" s="1877" t="e">
        <f t="shared" si="858"/>
        <v>#DIV/0!</v>
      </c>
    </row>
    <row r="462" spans="1:28" ht="22.5" hidden="1" customHeight="1" thickTop="1" thickBot="1">
      <c r="A462" s="1772">
        <v>1</v>
      </c>
      <c r="B462" s="1773" t="s">
        <v>127</v>
      </c>
      <c r="C462" s="1773" t="s">
        <v>209</v>
      </c>
      <c r="D462" s="1773" t="s">
        <v>181</v>
      </c>
      <c r="E462" s="1773" t="s">
        <v>134</v>
      </c>
      <c r="F462" s="1773" t="s">
        <v>134</v>
      </c>
      <c r="G462" s="1773" t="s">
        <v>1879</v>
      </c>
      <c r="H462" s="1773"/>
      <c r="I462" s="1773"/>
      <c r="J462" s="1773"/>
      <c r="K462" s="1776" t="s">
        <v>2006</v>
      </c>
      <c r="L462" s="1774"/>
      <c r="M462" s="1774"/>
      <c r="N462" s="1774"/>
      <c r="O462" s="1774">
        <f t="shared" si="859"/>
        <v>0</v>
      </c>
      <c r="P462" s="1777"/>
      <c r="Q462" s="1775" t="e">
        <f t="shared" si="857"/>
        <v>#DIV/0!</v>
      </c>
      <c r="R462" s="1777"/>
      <c r="S462" s="1775" t="e">
        <f>+R462/#REF!</f>
        <v>#REF!</v>
      </c>
      <c r="T462" s="1777"/>
      <c r="U462" s="1775" t="e">
        <f>+T462/#REF!</f>
        <v>#REF!</v>
      </c>
      <c r="V462" s="1777"/>
      <c r="W462" s="1775" t="e">
        <f>+V462/#REF!</f>
        <v>#REF!</v>
      </c>
      <c r="X462" s="1777"/>
      <c r="Y462" s="1777"/>
      <c r="Z462" s="1777"/>
      <c r="AA462" s="1777">
        <f t="shared" si="860"/>
        <v>0</v>
      </c>
      <c r="AB462" s="1877" t="e">
        <f t="shared" si="858"/>
        <v>#DIV/0!</v>
      </c>
    </row>
    <row r="463" spans="1:28" ht="22.5" hidden="1" customHeight="1" thickTop="1" thickBot="1">
      <c r="A463" s="1772">
        <v>1</v>
      </c>
      <c r="B463" s="1773" t="s">
        <v>127</v>
      </c>
      <c r="C463" s="1773" t="s">
        <v>209</v>
      </c>
      <c r="D463" s="1773" t="s">
        <v>181</v>
      </c>
      <c r="E463" s="1773" t="s">
        <v>134</v>
      </c>
      <c r="F463" s="1773" t="s">
        <v>134</v>
      </c>
      <c r="G463" s="1773" t="s">
        <v>1881</v>
      </c>
      <c r="H463" s="1773"/>
      <c r="I463" s="1773"/>
      <c r="J463" s="1773"/>
      <c r="K463" s="1776" t="s">
        <v>2007</v>
      </c>
      <c r="L463" s="1774"/>
      <c r="M463" s="1774"/>
      <c r="N463" s="1774"/>
      <c r="O463" s="1774">
        <f t="shared" si="859"/>
        <v>0</v>
      </c>
      <c r="P463" s="1777"/>
      <c r="Q463" s="1775" t="e">
        <f t="shared" si="857"/>
        <v>#DIV/0!</v>
      </c>
      <c r="R463" s="1777"/>
      <c r="S463" s="1775" t="e">
        <f>+R463/#REF!</f>
        <v>#REF!</v>
      </c>
      <c r="T463" s="1777"/>
      <c r="U463" s="1775" t="e">
        <f>+T463/#REF!</f>
        <v>#REF!</v>
      </c>
      <c r="V463" s="1777"/>
      <c r="W463" s="1775" t="e">
        <f>+V463/#REF!</f>
        <v>#REF!</v>
      </c>
      <c r="X463" s="1777"/>
      <c r="Y463" s="1777"/>
      <c r="Z463" s="1777"/>
      <c r="AA463" s="1777">
        <f t="shared" si="860"/>
        <v>0</v>
      </c>
      <c r="AB463" s="1877" t="e">
        <f t="shared" si="858"/>
        <v>#DIV/0!</v>
      </c>
    </row>
    <row r="464" spans="1:28" ht="22.5" hidden="1" customHeight="1" thickTop="1" thickBot="1">
      <c r="A464" s="1772">
        <v>1</v>
      </c>
      <c r="B464" s="1773" t="s">
        <v>127</v>
      </c>
      <c r="C464" s="1773" t="s">
        <v>209</v>
      </c>
      <c r="D464" s="1773" t="s">
        <v>181</v>
      </c>
      <c r="E464" s="1773" t="s">
        <v>134</v>
      </c>
      <c r="F464" s="1773" t="s">
        <v>134</v>
      </c>
      <c r="G464" s="1773" t="s">
        <v>1883</v>
      </c>
      <c r="H464" s="1773"/>
      <c r="I464" s="1773"/>
      <c r="J464" s="1773"/>
      <c r="K464" s="1776" t="s">
        <v>2008</v>
      </c>
      <c r="L464" s="1774"/>
      <c r="M464" s="1774"/>
      <c r="N464" s="1774"/>
      <c r="O464" s="1774">
        <f t="shared" si="859"/>
        <v>0</v>
      </c>
      <c r="P464" s="1777"/>
      <c r="Q464" s="1775" t="e">
        <f t="shared" si="857"/>
        <v>#DIV/0!</v>
      </c>
      <c r="R464" s="1777"/>
      <c r="S464" s="1775" t="e">
        <f>+R464/#REF!</f>
        <v>#REF!</v>
      </c>
      <c r="T464" s="1777"/>
      <c r="U464" s="1775" t="e">
        <f>+T464/#REF!</f>
        <v>#REF!</v>
      </c>
      <c r="V464" s="1777"/>
      <c r="W464" s="1775" t="e">
        <f>+V464/#REF!</f>
        <v>#REF!</v>
      </c>
      <c r="X464" s="1777"/>
      <c r="Y464" s="1777"/>
      <c r="Z464" s="1777"/>
      <c r="AA464" s="1777">
        <f t="shared" si="860"/>
        <v>0</v>
      </c>
      <c r="AB464" s="1877" t="e">
        <f t="shared" si="858"/>
        <v>#DIV/0!</v>
      </c>
    </row>
    <row r="465" spans="1:28" ht="22.5" hidden="1" customHeight="1" thickTop="1" thickBot="1">
      <c r="A465" s="1772">
        <v>1</v>
      </c>
      <c r="B465" s="1773" t="s">
        <v>127</v>
      </c>
      <c r="C465" s="1773" t="s">
        <v>209</v>
      </c>
      <c r="D465" s="1773" t="s">
        <v>181</v>
      </c>
      <c r="E465" s="1773" t="s">
        <v>134</v>
      </c>
      <c r="F465" s="1773" t="s">
        <v>134</v>
      </c>
      <c r="G465" s="1773" t="s">
        <v>1885</v>
      </c>
      <c r="H465" s="1773"/>
      <c r="I465" s="1773"/>
      <c r="J465" s="1773"/>
      <c r="K465" s="1776" t="s">
        <v>2009</v>
      </c>
      <c r="L465" s="1774"/>
      <c r="M465" s="1774"/>
      <c r="N465" s="1774"/>
      <c r="O465" s="1774">
        <f t="shared" si="859"/>
        <v>0</v>
      </c>
      <c r="P465" s="1777"/>
      <c r="Q465" s="1775" t="e">
        <f t="shared" si="857"/>
        <v>#DIV/0!</v>
      </c>
      <c r="R465" s="1777"/>
      <c r="S465" s="1775" t="e">
        <f>+R465/#REF!</f>
        <v>#REF!</v>
      </c>
      <c r="T465" s="1777"/>
      <c r="U465" s="1775" t="e">
        <f>+T465/#REF!</f>
        <v>#REF!</v>
      </c>
      <c r="V465" s="1777"/>
      <c r="W465" s="1775" t="e">
        <f>+V465/#REF!</f>
        <v>#REF!</v>
      </c>
      <c r="X465" s="1777"/>
      <c r="Y465" s="1777"/>
      <c r="Z465" s="1777"/>
      <c r="AA465" s="1777">
        <f t="shared" si="860"/>
        <v>0</v>
      </c>
      <c r="AB465" s="1877" t="e">
        <f t="shared" si="858"/>
        <v>#DIV/0!</v>
      </c>
    </row>
    <row r="466" spans="1:28" ht="22.5" hidden="1" customHeight="1" thickTop="1" thickBot="1">
      <c r="A466" s="1772">
        <v>1</v>
      </c>
      <c r="B466" s="1773" t="s">
        <v>127</v>
      </c>
      <c r="C466" s="1773" t="s">
        <v>209</v>
      </c>
      <c r="D466" s="1773" t="s">
        <v>181</v>
      </c>
      <c r="E466" s="1773" t="s">
        <v>134</v>
      </c>
      <c r="F466" s="1773" t="s">
        <v>134</v>
      </c>
      <c r="G466" s="1773" t="s">
        <v>1887</v>
      </c>
      <c r="H466" s="1773"/>
      <c r="I466" s="1773"/>
      <c r="J466" s="1773"/>
      <c r="K466" s="1776" t="s">
        <v>2010</v>
      </c>
      <c r="L466" s="1774"/>
      <c r="M466" s="1774"/>
      <c r="N466" s="1774"/>
      <c r="O466" s="1774">
        <f t="shared" si="859"/>
        <v>0</v>
      </c>
      <c r="P466" s="1777"/>
      <c r="Q466" s="1775" t="e">
        <f t="shared" si="857"/>
        <v>#DIV/0!</v>
      </c>
      <c r="R466" s="1777"/>
      <c r="S466" s="1775" t="e">
        <f>+R466/#REF!</f>
        <v>#REF!</v>
      </c>
      <c r="T466" s="1777"/>
      <c r="U466" s="1775" t="e">
        <f>+T466/#REF!</f>
        <v>#REF!</v>
      </c>
      <c r="V466" s="1777"/>
      <c r="W466" s="1775" t="e">
        <f>+V466/#REF!</f>
        <v>#REF!</v>
      </c>
      <c r="X466" s="1777"/>
      <c r="Y466" s="1777"/>
      <c r="Z466" s="1777"/>
      <c r="AA466" s="1777">
        <f t="shared" si="860"/>
        <v>0</v>
      </c>
      <c r="AB466" s="1877" t="e">
        <f t="shared" si="858"/>
        <v>#DIV/0!</v>
      </c>
    </row>
    <row r="467" spans="1:28" ht="22.5" hidden="1" customHeight="1" thickTop="1" thickBot="1">
      <c r="A467" s="1772">
        <v>1</v>
      </c>
      <c r="B467" s="1773" t="s">
        <v>127</v>
      </c>
      <c r="C467" s="1773" t="s">
        <v>209</v>
      </c>
      <c r="D467" s="1773" t="s">
        <v>181</v>
      </c>
      <c r="E467" s="1773" t="s">
        <v>134</v>
      </c>
      <c r="F467" s="1773" t="s">
        <v>134</v>
      </c>
      <c r="G467" s="1773" t="s">
        <v>1889</v>
      </c>
      <c r="H467" s="1773"/>
      <c r="I467" s="1773"/>
      <c r="J467" s="1773"/>
      <c r="K467" s="1776" t="s">
        <v>2011</v>
      </c>
      <c r="L467" s="1774"/>
      <c r="M467" s="1774"/>
      <c r="N467" s="1774"/>
      <c r="O467" s="1774">
        <f t="shared" si="859"/>
        <v>0</v>
      </c>
      <c r="P467" s="1777"/>
      <c r="Q467" s="1775" t="e">
        <f t="shared" si="857"/>
        <v>#DIV/0!</v>
      </c>
      <c r="R467" s="1777"/>
      <c r="S467" s="1775" t="e">
        <f>+R467/#REF!</f>
        <v>#REF!</v>
      </c>
      <c r="T467" s="1777"/>
      <c r="U467" s="1775" t="e">
        <f>+T467/#REF!</f>
        <v>#REF!</v>
      </c>
      <c r="V467" s="1777"/>
      <c r="W467" s="1775" t="e">
        <f>+V467/#REF!</f>
        <v>#REF!</v>
      </c>
      <c r="X467" s="1777"/>
      <c r="Y467" s="1777"/>
      <c r="Z467" s="1777"/>
      <c r="AA467" s="1777">
        <f t="shared" si="860"/>
        <v>0</v>
      </c>
      <c r="AB467" s="1877" t="e">
        <f t="shared" si="858"/>
        <v>#DIV/0!</v>
      </c>
    </row>
    <row r="468" spans="1:28" ht="22.5" hidden="1" customHeight="1" thickTop="1" thickBot="1">
      <c r="A468" s="1772">
        <v>1</v>
      </c>
      <c r="B468" s="1773" t="s">
        <v>127</v>
      </c>
      <c r="C468" s="1773" t="s">
        <v>209</v>
      </c>
      <c r="D468" s="1773" t="s">
        <v>181</v>
      </c>
      <c r="E468" s="1773" t="s">
        <v>134</v>
      </c>
      <c r="F468" s="1773" t="s">
        <v>134</v>
      </c>
      <c r="G468" s="1773" t="s">
        <v>1701</v>
      </c>
      <c r="H468" s="1773"/>
      <c r="I468" s="1773"/>
      <c r="J468" s="1773"/>
      <c r="K468" s="1776" t="s">
        <v>2012</v>
      </c>
      <c r="L468" s="1774"/>
      <c r="M468" s="1774"/>
      <c r="N468" s="1774"/>
      <c r="O468" s="1774">
        <f t="shared" si="859"/>
        <v>0</v>
      </c>
      <c r="P468" s="1777"/>
      <c r="Q468" s="1775" t="e">
        <f t="shared" si="857"/>
        <v>#DIV/0!</v>
      </c>
      <c r="R468" s="1777"/>
      <c r="S468" s="1775" t="e">
        <f>+R468/#REF!</f>
        <v>#REF!</v>
      </c>
      <c r="T468" s="1777"/>
      <c r="U468" s="1775" t="e">
        <f>+T468/#REF!</f>
        <v>#REF!</v>
      </c>
      <c r="V468" s="1777"/>
      <c r="W468" s="1775" t="e">
        <f>+V468/#REF!</f>
        <v>#REF!</v>
      </c>
      <c r="X468" s="1777"/>
      <c r="Y468" s="1777"/>
      <c r="Z468" s="1777"/>
      <c r="AA468" s="1777">
        <f t="shared" si="860"/>
        <v>0</v>
      </c>
      <c r="AB468" s="1877" t="e">
        <f t="shared" si="858"/>
        <v>#DIV/0!</v>
      </c>
    </row>
    <row r="469" spans="1:28" ht="22.5" hidden="1" customHeight="1" thickTop="1" thickBot="1">
      <c r="A469" s="1772">
        <v>1</v>
      </c>
      <c r="B469" s="1773" t="s">
        <v>127</v>
      </c>
      <c r="C469" s="1773" t="s">
        <v>209</v>
      </c>
      <c r="D469" s="1773" t="s">
        <v>181</v>
      </c>
      <c r="E469" s="1773" t="s">
        <v>134</v>
      </c>
      <c r="F469" s="1773" t="s">
        <v>134</v>
      </c>
      <c r="G469" s="1773" t="s">
        <v>1892</v>
      </c>
      <c r="H469" s="1773"/>
      <c r="I469" s="1773"/>
      <c r="J469" s="1773"/>
      <c r="K469" s="1776" t="s">
        <v>2013</v>
      </c>
      <c r="L469" s="1774"/>
      <c r="M469" s="1774"/>
      <c r="N469" s="1774"/>
      <c r="O469" s="1774">
        <f t="shared" si="859"/>
        <v>0</v>
      </c>
      <c r="P469" s="1777"/>
      <c r="Q469" s="1775" t="e">
        <f t="shared" si="857"/>
        <v>#DIV/0!</v>
      </c>
      <c r="R469" s="1777"/>
      <c r="S469" s="1775" t="e">
        <f>+R469/#REF!</f>
        <v>#REF!</v>
      </c>
      <c r="T469" s="1777"/>
      <c r="U469" s="1775" t="e">
        <f>+T469/#REF!</f>
        <v>#REF!</v>
      </c>
      <c r="V469" s="1777"/>
      <c r="W469" s="1775" t="e">
        <f>+V469/#REF!</f>
        <v>#REF!</v>
      </c>
      <c r="X469" s="1777"/>
      <c r="Y469" s="1777"/>
      <c r="Z469" s="1777"/>
      <c r="AA469" s="1777">
        <f t="shared" si="860"/>
        <v>0</v>
      </c>
      <c r="AB469" s="1877" t="e">
        <f t="shared" si="858"/>
        <v>#DIV/0!</v>
      </c>
    </row>
    <row r="470" spans="1:28" ht="22.5" hidden="1" customHeight="1" thickTop="1" thickBot="1">
      <c r="A470" s="1772">
        <v>1</v>
      </c>
      <c r="B470" s="1773" t="s">
        <v>127</v>
      </c>
      <c r="C470" s="1773" t="s">
        <v>209</v>
      </c>
      <c r="D470" s="1773" t="s">
        <v>181</v>
      </c>
      <c r="E470" s="1773" t="s">
        <v>134</v>
      </c>
      <c r="F470" s="1773" t="s">
        <v>134</v>
      </c>
      <c r="G470" s="1773" t="s">
        <v>1894</v>
      </c>
      <c r="H470" s="1773"/>
      <c r="I470" s="1773"/>
      <c r="J470" s="1773"/>
      <c r="K470" s="1776" t="s">
        <v>2014</v>
      </c>
      <c r="L470" s="1774"/>
      <c r="M470" s="1774"/>
      <c r="N470" s="1774"/>
      <c r="O470" s="1774">
        <f t="shared" si="859"/>
        <v>0</v>
      </c>
      <c r="P470" s="1777"/>
      <c r="Q470" s="1775" t="e">
        <f t="shared" si="857"/>
        <v>#DIV/0!</v>
      </c>
      <c r="R470" s="1777"/>
      <c r="S470" s="1775" t="e">
        <f>+R470/#REF!</f>
        <v>#REF!</v>
      </c>
      <c r="T470" s="1777"/>
      <c r="U470" s="1775" t="e">
        <f>+T470/#REF!</f>
        <v>#REF!</v>
      </c>
      <c r="V470" s="1777"/>
      <c r="W470" s="1775" t="e">
        <f>+V470/#REF!</f>
        <v>#REF!</v>
      </c>
      <c r="X470" s="1777"/>
      <c r="Y470" s="1777"/>
      <c r="Z470" s="1777"/>
      <c r="AA470" s="1777">
        <f t="shared" si="860"/>
        <v>0</v>
      </c>
      <c r="AB470" s="1877" t="e">
        <f t="shared" si="858"/>
        <v>#DIV/0!</v>
      </c>
    </row>
    <row r="471" spans="1:28" ht="22.5" hidden="1" customHeight="1" thickTop="1" thickBot="1">
      <c r="A471" s="1772">
        <v>1</v>
      </c>
      <c r="B471" s="1773" t="s">
        <v>127</v>
      </c>
      <c r="C471" s="1773" t="s">
        <v>209</v>
      </c>
      <c r="D471" s="1773" t="s">
        <v>181</v>
      </c>
      <c r="E471" s="1773" t="s">
        <v>134</v>
      </c>
      <c r="F471" s="1773" t="s">
        <v>134</v>
      </c>
      <c r="G471" s="1773" t="s">
        <v>1896</v>
      </c>
      <c r="H471" s="1773"/>
      <c r="I471" s="1773"/>
      <c r="J471" s="1773"/>
      <c r="K471" s="1776" t="s">
        <v>2015</v>
      </c>
      <c r="L471" s="1774"/>
      <c r="M471" s="1774"/>
      <c r="N471" s="1774"/>
      <c r="O471" s="1774">
        <f t="shared" si="859"/>
        <v>0</v>
      </c>
      <c r="P471" s="1777"/>
      <c r="Q471" s="1775" t="e">
        <f t="shared" si="857"/>
        <v>#DIV/0!</v>
      </c>
      <c r="R471" s="1777"/>
      <c r="S471" s="1775" t="e">
        <f>+R471/#REF!</f>
        <v>#REF!</v>
      </c>
      <c r="T471" s="1777"/>
      <c r="U471" s="1775" t="e">
        <f>+T471/#REF!</f>
        <v>#REF!</v>
      </c>
      <c r="V471" s="1777"/>
      <c r="W471" s="1775" t="e">
        <f>+V471/#REF!</f>
        <v>#REF!</v>
      </c>
      <c r="X471" s="1777"/>
      <c r="Y471" s="1777"/>
      <c r="Z471" s="1777"/>
      <c r="AA471" s="1777">
        <f t="shared" si="860"/>
        <v>0</v>
      </c>
      <c r="AB471" s="1877" t="e">
        <f t="shared" si="858"/>
        <v>#DIV/0!</v>
      </c>
    </row>
    <row r="472" spans="1:28" ht="22.5" hidden="1" customHeight="1" thickTop="1" thickBot="1">
      <c r="A472" s="1772">
        <v>1</v>
      </c>
      <c r="B472" s="1773" t="s">
        <v>127</v>
      </c>
      <c r="C472" s="1773" t="s">
        <v>209</v>
      </c>
      <c r="D472" s="1773" t="s">
        <v>181</v>
      </c>
      <c r="E472" s="1773" t="s">
        <v>134</v>
      </c>
      <c r="F472" s="1773" t="s">
        <v>134</v>
      </c>
      <c r="G472" s="1773" t="s">
        <v>1898</v>
      </c>
      <c r="H472" s="1773"/>
      <c r="I472" s="1773"/>
      <c r="J472" s="1773"/>
      <c r="K472" s="1776" t="s">
        <v>2016</v>
      </c>
      <c r="L472" s="1774"/>
      <c r="M472" s="1774"/>
      <c r="N472" s="1774"/>
      <c r="O472" s="1774">
        <f t="shared" si="859"/>
        <v>0</v>
      </c>
      <c r="P472" s="1777"/>
      <c r="Q472" s="1775" t="e">
        <f t="shared" si="857"/>
        <v>#DIV/0!</v>
      </c>
      <c r="R472" s="1777"/>
      <c r="S472" s="1775" t="e">
        <f>+R472/#REF!</f>
        <v>#REF!</v>
      </c>
      <c r="T472" s="1777"/>
      <c r="U472" s="1775" t="e">
        <f>+T472/#REF!</f>
        <v>#REF!</v>
      </c>
      <c r="V472" s="1777"/>
      <c r="W472" s="1775" t="e">
        <f>+V472/#REF!</f>
        <v>#REF!</v>
      </c>
      <c r="X472" s="1777"/>
      <c r="Y472" s="1777"/>
      <c r="Z472" s="1777"/>
      <c r="AA472" s="1777">
        <f t="shared" si="860"/>
        <v>0</v>
      </c>
      <c r="AB472" s="1877" t="e">
        <f t="shared" si="858"/>
        <v>#DIV/0!</v>
      </c>
    </row>
    <row r="473" spans="1:28" ht="22.5" hidden="1" customHeight="1" thickTop="1" thickBot="1">
      <c r="A473" s="1772">
        <v>1</v>
      </c>
      <c r="B473" s="1773" t="s">
        <v>127</v>
      </c>
      <c r="C473" s="1773" t="s">
        <v>209</v>
      </c>
      <c r="D473" s="1773" t="s">
        <v>181</v>
      </c>
      <c r="E473" s="1773" t="s">
        <v>134</v>
      </c>
      <c r="F473" s="1773" t="s">
        <v>134</v>
      </c>
      <c r="G473" s="1773" t="s">
        <v>1900</v>
      </c>
      <c r="H473" s="1773"/>
      <c r="I473" s="1773"/>
      <c r="J473" s="1773"/>
      <c r="K473" s="1776" t="s">
        <v>2017</v>
      </c>
      <c r="L473" s="1774"/>
      <c r="M473" s="1774"/>
      <c r="N473" s="1774"/>
      <c r="O473" s="1774">
        <f t="shared" si="859"/>
        <v>0</v>
      </c>
      <c r="P473" s="1777"/>
      <c r="Q473" s="1775" t="e">
        <f t="shared" si="857"/>
        <v>#DIV/0!</v>
      </c>
      <c r="R473" s="1777"/>
      <c r="S473" s="1775" t="e">
        <f>+R473/#REF!</f>
        <v>#REF!</v>
      </c>
      <c r="T473" s="1777"/>
      <c r="U473" s="1775" t="e">
        <f>+T473/#REF!</f>
        <v>#REF!</v>
      </c>
      <c r="V473" s="1777"/>
      <c r="W473" s="1775" t="e">
        <f>+V473/#REF!</f>
        <v>#REF!</v>
      </c>
      <c r="X473" s="1777"/>
      <c r="Y473" s="1777"/>
      <c r="Z473" s="1777"/>
      <c r="AA473" s="1777">
        <f t="shared" si="860"/>
        <v>0</v>
      </c>
      <c r="AB473" s="1877" t="e">
        <f t="shared" si="858"/>
        <v>#DIV/0!</v>
      </c>
    </row>
    <row r="474" spans="1:28" ht="22.5" hidden="1" customHeight="1" thickTop="1" thickBot="1">
      <c r="A474" s="1772">
        <v>1</v>
      </c>
      <c r="B474" s="1773" t="s">
        <v>127</v>
      </c>
      <c r="C474" s="1773" t="s">
        <v>209</v>
      </c>
      <c r="D474" s="1773" t="s">
        <v>181</v>
      </c>
      <c r="E474" s="1773" t="s">
        <v>134</v>
      </c>
      <c r="F474" s="1773" t="s">
        <v>134</v>
      </c>
      <c r="G474" s="1773" t="s">
        <v>1902</v>
      </c>
      <c r="H474" s="1773"/>
      <c r="I474" s="1773"/>
      <c r="J474" s="1773"/>
      <c r="K474" s="1776" t="s">
        <v>2018</v>
      </c>
      <c r="L474" s="1774"/>
      <c r="M474" s="1774"/>
      <c r="N474" s="1774"/>
      <c r="O474" s="1774">
        <f t="shared" si="859"/>
        <v>0</v>
      </c>
      <c r="P474" s="1777"/>
      <c r="Q474" s="1775" t="e">
        <f t="shared" si="857"/>
        <v>#DIV/0!</v>
      </c>
      <c r="R474" s="1777"/>
      <c r="S474" s="1775" t="e">
        <f>+R474/#REF!</f>
        <v>#REF!</v>
      </c>
      <c r="T474" s="1777"/>
      <c r="U474" s="1775" t="e">
        <f>+T474/#REF!</f>
        <v>#REF!</v>
      </c>
      <c r="V474" s="1777"/>
      <c r="W474" s="1775" t="e">
        <f>+V474/#REF!</f>
        <v>#REF!</v>
      </c>
      <c r="X474" s="1777"/>
      <c r="Y474" s="1777"/>
      <c r="Z474" s="1777"/>
      <c r="AA474" s="1777">
        <f t="shared" si="860"/>
        <v>0</v>
      </c>
      <c r="AB474" s="1877" t="e">
        <f t="shared" si="858"/>
        <v>#DIV/0!</v>
      </c>
    </row>
    <row r="475" spans="1:28" ht="22.5" hidden="1" customHeight="1" thickTop="1" thickBot="1">
      <c r="A475" s="1772">
        <v>1</v>
      </c>
      <c r="B475" s="1773" t="s">
        <v>127</v>
      </c>
      <c r="C475" s="1773" t="s">
        <v>209</v>
      </c>
      <c r="D475" s="1773" t="s">
        <v>181</v>
      </c>
      <c r="E475" s="1773" t="s">
        <v>134</v>
      </c>
      <c r="F475" s="1773" t="s">
        <v>134</v>
      </c>
      <c r="G475" s="1773" t="s">
        <v>1904</v>
      </c>
      <c r="H475" s="1773"/>
      <c r="I475" s="1773"/>
      <c r="J475" s="1773"/>
      <c r="K475" s="1776" t="s">
        <v>2019</v>
      </c>
      <c r="L475" s="1774"/>
      <c r="M475" s="1774"/>
      <c r="N475" s="1774"/>
      <c r="O475" s="1774">
        <f t="shared" si="859"/>
        <v>0</v>
      </c>
      <c r="P475" s="1777"/>
      <c r="Q475" s="1775" t="e">
        <f t="shared" si="857"/>
        <v>#DIV/0!</v>
      </c>
      <c r="R475" s="1777"/>
      <c r="S475" s="1775" t="e">
        <f>+R475/#REF!</f>
        <v>#REF!</v>
      </c>
      <c r="T475" s="1777"/>
      <c r="U475" s="1775" t="e">
        <f>+T475/#REF!</f>
        <v>#REF!</v>
      </c>
      <c r="V475" s="1777"/>
      <c r="W475" s="1775" t="e">
        <f>+V475/#REF!</f>
        <v>#REF!</v>
      </c>
      <c r="X475" s="1777"/>
      <c r="Y475" s="1777"/>
      <c r="Z475" s="1777"/>
      <c r="AA475" s="1777">
        <f t="shared" si="860"/>
        <v>0</v>
      </c>
      <c r="AB475" s="1877" t="e">
        <f t="shared" si="858"/>
        <v>#DIV/0!</v>
      </c>
    </row>
    <row r="476" spans="1:28" ht="22.5" hidden="1" customHeight="1" thickTop="1" thickBot="1">
      <c r="A476" s="1772">
        <v>1</v>
      </c>
      <c r="B476" s="1773" t="s">
        <v>127</v>
      </c>
      <c r="C476" s="1773" t="s">
        <v>209</v>
      </c>
      <c r="D476" s="1773" t="s">
        <v>181</v>
      </c>
      <c r="E476" s="1773" t="s">
        <v>134</v>
      </c>
      <c r="F476" s="1773" t="s">
        <v>134</v>
      </c>
      <c r="G476" s="1773" t="s">
        <v>1906</v>
      </c>
      <c r="H476" s="1773"/>
      <c r="I476" s="1773"/>
      <c r="J476" s="1773"/>
      <c r="K476" s="1776" t="s">
        <v>2020</v>
      </c>
      <c r="L476" s="1774"/>
      <c r="M476" s="1774"/>
      <c r="N476" s="1774"/>
      <c r="O476" s="1774">
        <f t="shared" si="859"/>
        <v>0</v>
      </c>
      <c r="P476" s="1777"/>
      <c r="Q476" s="1775" t="e">
        <f t="shared" si="857"/>
        <v>#DIV/0!</v>
      </c>
      <c r="R476" s="1777"/>
      <c r="S476" s="1775" t="e">
        <f>+R476/#REF!</f>
        <v>#REF!</v>
      </c>
      <c r="T476" s="1777"/>
      <c r="U476" s="1775" t="e">
        <f>+T476/#REF!</f>
        <v>#REF!</v>
      </c>
      <c r="V476" s="1777"/>
      <c r="W476" s="1775" t="e">
        <f>+V476/#REF!</f>
        <v>#REF!</v>
      </c>
      <c r="X476" s="1777"/>
      <c r="Y476" s="1777"/>
      <c r="Z476" s="1777"/>
      <c r="AA476" s="1777">
        <f t="shared" si="860"/>
        <v>0</v>
      </c>
      <c r="AB476" s="1877" t="e">
        <f t="shared" si="858"/>
        <v>#DIV/0!</v>
      </c>
    </row>
    <row r="477" spans="1:28" ht="22.5" hidden="1" customHeight="1" thickTop="1" thickBot="1">
      <c r="A477" s="1772">
        <v>1</v>
      </c>
      <c r="B477" s="1773" t="s">
        <v>127</v>
      </c>
      <c r="C477" s="1773" t="s">
        <v>209</v>
      </c>
      <c r="D477" s="1773" t="s">
        <v>181</v>
      </c>
      <c r="E477" s="1773" t="s">
        <v>134</v>
      </c>
      <c r="F477" s="1773" t="s">
        <v>134</v>
      </c>
      <c r="G477" s="1773" t="s">
        <v>1986</v>
      </c>
      <c r="H477" s="1773"/>
      <c r="I477" s="1773"/>
      <c r="J477" s="1773"/>
      <c r="K477" s="1776" t="s">
        <v>2021</v>
      </c>
      <c r="L477" s="1774"/>
      <c r="M477" s="1774"/>
      <c r="N477" s="1774"/>
      <c r="O477" s="1774">
        <f t="shared" si="859"/>
        <v>0</v>
      </c>
      <c r="P477" s="1777"/>
      <c r="Q477" s="1775" t="e">
        <f t="shared" si="857"/>
        <v>#DIV/0!</v>
      </c>
      <c r="R477" s="1777"/>
      <c r="S477" s="1775" t="e">
        <f>+R477/#REF!</f>
        <v>#REF!</v>
      </c>
      <c r="T477" s="1777"/>
      <c r="U477" s="1775" t="e">
        <f>+T477/#REF!</f>
        <v>#REF!</v>
      </c>
      <c r="V477" s="1777"/>
      <c r="W477" s="1775" t="e">
        <f>+V477/#REF!</f>
        <v>#REF!</v>
      </c>
      <c r="X477" s="1777"/>
      <c r="Y477" s="1777"/>
      <c r="Z477" s="1777"/>
      <c r="AA477" s="1777">
        <f t="shared" si="860"/>
        <v>0</v>
      </c>
      <c r="AB477" s="1877" t="e">
        <f t="shared" si="858"/>
        <v>#DIV/0!</v>
      </c>
    </row>
    <row r="478" spans="1:28" s="1791" customFormat="1" ht="22.5" hidden="1" customHeight="1" thickTop="1" thickBot="1">
      <c r="A478" s="1785">
        <v>1</v>
      </c>
      <c r="B478" s="1786" t="s">
        <v>127</v>
      </c>
      <c r="C478" s="1786" t="s">
        <v>209</v>
      </c>
      <c r="D478" s="1786" t="s">
        <v>181</v>
      </c>
      <c r="E478" s="1786" t="s">
        <v>134</v>
      </c>
      <c r="F478" s="1786" t="s">
        <v>139</v>
      </c>
      <c r="G478" s="1786"/>
      <c r="H478" s="1786"/>
      <c r="I478" s="1786"/>
      <c r="J478" s="1786"/>
      <c r="K478" s="1788" t="s">
        <v>2022</v>
      </c>
      <c r="L478" s="1789">
        <f>SUM(L479:L509)</f>
        <v>0</v>
      </c>
      <c r="M478" s="1789">
        <f t="shared" ref="M478:N478" si="861">SUM(M479:M509)</f>
        <v>0</v>
      </c>
      <c r="N478" s="1789">
        <f t="shared" si="861"/>
        <v>0</v>
      </c>
      <c r="O478" s="1789">
        <f t="shared" si="859"/>
        <v>0</v>
      </c>
      <c r="P478" s="1800">
        <f t="shared" ref="P478:V478" si="862">SUM(P479:P509)</f>
        <v>0</v>
      </c>
      <c r="Q478" s="1790" t="e">
        <f t="shared" si="857"/>
        <v>#DIV/0!</v>
      </c>
      <c r="R478" s="1800">
        <f t="shared" si="862"/>
        <v>0</v>
      </c>
      <c r="S478" s="1790" t="e">
        <f>+R478/#REF!</f>
        <v>#REF!</v>
      </c>
      <c r="T478" s="1800">
        <f t="shared" si="862"/>
        <v>0</v>
      </c>
      <c r="U478" s="1790" t="e">
        <f>+T478/#REF!</f>
        <v>#REF!</v>
      </c>
      <c r="V478" s="1800">
        <f t="shared" si="862"/>
        <v>0</v>
      </c>
      <c r="W478" s="1790" t="e">
        <f>+V478/#REF!</f>
        <v>#REF!</v>
      </c>
      <c r="X478" s="1800">
        <f t="shared" ref="X478:Z478" si="863">SUM(X479:X509)</f>
        <v>0</v>
      </c>
      <c r="Y478" s="1800">
        <f t="shared" si="863"/>
        <v>0</v>
      </c>
      <c r="Z478" s="1800">
        <f t="shared" si="863"/>
        <v>0</v>
      </c>
      <c r="AA478" s="1800">
        <f t="shared" si="860"/>
        <v>0</v>
      </c>
      <c r="AB478" s="1878" t="e">
        <f t="shared" si="858"/>
        <v>#DIV/0!</v>
      </c>
    </row>
    <row r="479" spans="1:28" ht="22.5" hidden="1" customHeight="1" thickTop="1" thickBot="1">
      <c r="A479" s="1772">
        <v>1</v>
      </c>
      <c r="B479" s="1773" t="s">
        <v>127</v>
      </c>
      <c r="C479" s="1773" t="s">
        <v>209</v>
      </c>
      <c r="D479" s="1773" t="s">
        <v>181</v>
      </c>
      <c r="E479" s="1773" t="s">
        <v>134</v>
      </c>
      <c r="F479" s="1773" t="s">
        <v>139</v>
      </c>
      <c r="G479" s="1773" t="s">
        <v>129</v>
      </c>
      <c r="H479" s="1773"/>
      <c r="I479" s="1773"/>
      <c r="J479" s="1773"/>
      <c r="K479" s="1776" t="s">
        <v>2023</v>
      </c>
      <c r="L479" s="1774"/>
      <c r="M479" s="1774"/>
      <c r="N479" s="1774"/>
      <c r="O479" s="1774">
        <f t="shared" si="859"/>
        <v>0</v>
      </c>
      <c r="P479" s="1777"/>
      <c r="Q479" s="1775" t="e">
        <f t="shared" si="857"/>
        <v>#DIV/0!</v>
      </c>
      <c r="R479" s="1777"/>
      <c r="S479" s="1775" t="e">
        <f>+R479/#REF!</f>
        <v>#REF!</v>
      </c>
      <c r="T479" s="1777"/>
      <c r="U479" s="1775" t="e">
        <f>+T479/#REF!</f>
        <v>#REF!</v>
      </c>
      <c r="V479" s="1777"/>
      <c r="W479" s="1775" t="e">
        <f>+V479/#REF!</f>
        <v>#REF!</v>
      </c>
      <c r="X479" s="1777"/>
      <c r="Y479" s="1777"/>
      <c r="Z479" s="1777"/>
      <c r="AA479" s="1777">
        <f t="shared" si="860"/>
        <v>0</v>
      </c>
      <c r="AB479" s="1877" t="e">
        <f t="shared" si="858"/>
        <v>#DIV/0!</v>
      </c>
    </row>
    <row r="480" spans="1:28" ht="22.5" hidden="1" customHeight="1" thickTop="1" thickBot="1">
      <c r="A480" s="1772">
        <v>1</v>
      </c>
      <c r="B480" s="1773" t="s">
        <v>127</v>
      </c>
      <c r="C480" s="1773" t="s">
        <v>209</v>
      </c>
      <c r="D480" s="1773" t="s">
        <v>181</v>
      </c>
      <c r="E480" s="1773" t="s">
        <v>134</v>
      </c>
      <c r="F480" s="1773" t="s">
        <v>139</v>
      </c>
      <c r="G480" s="1773" t="s">
        <v>134</v>
      </c>
      <c r="H480" s="1773"/>
      <c r="I480" s="1773"/>
      <c r="J480" s="1773"/>
      <c r="K480" s="1776" t="s">
        <v>2024</v>
      </c>
      <c r="L480" s="1774"/>
      <c r="M480" s="1774"/>
      <c r="N480" s="1774"/>
      <c r="O480" s="1774">
        <f t="shared" si="859"/>
        <v>0</v>
      </c>
      <c r="P480" s="1777"/>
      <c r="Q480" s="1775" t="e">
        <f t="shared" si="857"/>
        <v>#DIV/0!</v>
      </c>
      <c r="R480" s="1777"/>
      <c r="S480" s="1775" t="e">
        <f>+R480/#REF!</f>
        <v>#REF!</v>
      </c>
      <c r="T480" s="1777"/>
      <c r="U480" s="1775" t="e">
        <f>+T480/#REF!</f>
        <v>#REF!</v>
      </c>
      <c r="V480" s="1777"/>
      <c r="W480" s="1775" t="e">
        <f>+V480/#REF!</f>
        <v>#REF!</v>
      </c>
      <c r="X480" s="1777"/>
      <c r="Y480" s="1777"/>
      <c r="Z480" s="1777"/>
      <c r="AA480" s="1777">
        <f t="shared" si="860"/>
        <v>0</v>
      </c>
      <c r="AB480" s="1877" t="e">
        <f t="shared" si="858"/>
        <v>#DIV/0!</v>
      </c>
    </row>
    <row r="481" spans="1:28" ht="22.5" hidden="1" customHeight="1" thickTop="1" thickBot="1">
      <c r="A481" s="1772">
        <v>1</v>
      </c>
      <c r="B481" s="1773" t="s">
        <v>127</v>
      </c>
      <c r="C481" s="1773" t="s">
        <v>209</v>
      </c>
      <c r="D481" s="1773" t="s">
        <v>181</v>
      </c>
      <c r="E481" s="1773" t="s">
        <v>134</v>
      </c>
      <c r="F481" s="1773" t="s">
        <v>139</v>
      </c>
      <c r="G481" s="1773" t="s">
        <v>139</v>
      </c>
      <c r="H481" s="1773"/>
      <c r="I481" s="1773"/>
      <c r="J481" s="1773"/>
      <c r="K481" s="1776" t="s">
        <v>2025</v>
      </c>
      <c r="L481" s="1774"/>
      <c r="M481" s="1774"/>
      <c r="N481" s="1774"/>
      <c r="O481" s="1774">
        <f t="shared" si="859"/>
        <v>0</v>
      </c>
      <c r="P481" s="1777"/>
      <c r="Q481" s="1775" t="e">
        <f t="shared" si="857"/>
        <v>#DIV/0!</v>
      </c>
      <c r="R481" s="1777"/>
      <c r="S481" s="1775" t="e">
        <f>+R481/#REF!</f>
        <v>#REF!</v>
      </c>
      <c r="T481" s="1777"/>
      <c r="U481" s="1775" t="e">
        <f>+T481/#REF!</f>
        <v>#REF!</v>
      </c>
      <c r="V481" s="1777"/>
      <c r="W481" s="1775" t="e">
        <f>+V481/#REF!</f>
        <v>#REF!</v>
      </c>
      <c r="X481" s="1777"/>
      <c r="Y481" s="1777"/>
      <c r="Z481" s="1777"/>
      <c r="AA481" s="1777">
        <f t="shared" si="860"/>
        <v>0</v>
      </c>
      <c r="AB481" s="1877" t="e">
        <f t="shared" si="858"/>
        <v>#DIV/0!</v>
      </c>
    </row>
    <row r="482" spans="1:28" ht="22.5" hidden="1" customHeight="1" thickTop="1" thickBot="1">
      <c r="A482" s="1772">
        <v>1</v>
      </c>
      <c r="B482" s="1773" t="s">
        <v>127</v>
      </c>
      <c r="C482" s="1773" t="s">
        <v>209</v>
      </c>
      <c r="D482" s="1773" t="s">
        <v>181</v>
      </c>
      <c r="E482" s="1773" t="s">
        <v>134</v>
      </c>
      <c r="F482" s="1773" t="s">
        <v>139</v>
      </c>
      <c r="G482" s="1773" t="s">
        <v>140</v>
      </c>
      <c r="H482" s="1773"/>
      <c r="I482" s="1773"/>
      <c r="J482" s="1773"/>
      <c r="K482" s="1776" t="s">
        <v>2026</v>
      </c>
      <c r="L482" s="1774"/>
      <c r="M482" s="1774"/>
      <c r="N482" s="1774"/>
      <c r="O482" s="1774">
        <f t="shared" si="859"/>
        <v>0</v>
      </c>
      <c r="P482" s="1777"/>
      <c r="Q482" s="1775" t="e">
        <f t="shared" si="857"/>
        <v>#DIV/0!</v>
      </c>
      <c r="R482" s="1777"/>
      <c r="S482" s="1775" t="e">
        <f>+R482/#REF!</f>
        <v>#REF!</v>
      </c>
      <c r="T482" s="1777"/>
      <c r="U482" s="1775" t="e">
        <f>+T482/#REF!</f>
        <v>#REF!</v>
      </c>
      <c r="V482" s="1777"/>
      <c r="W482" s="1775" t="e">
        <f>+V482/#REF!</f>
        <v>#REF!</v>
      </c>
      <c r="X482" s="1777"/>
      <c r="Y482" s="1777"/>
      <c r="Z482" s="1777"/>
      <c r="AA482" s="1777">
        <f t="shared" si="860"/>
        <v>0</v>
      </c>
      <c r="AB482" s="1877" t="e">
        <f t="shared" si="858"/>
        <v>#DIV/0!</v>
      </c>
    </row>
    <row r="483" spans="1:28" ht="22.5" hidden="1" customHeight="1" thickTop="1" thickBot="1">
      <c r="A483" s="1772">
        <v>1</v>
      </c>
      <c r="B483" s="1773" t="s">
        <v>127</v>
      </c>
      <c r="C483" s="1773" t="s">
        <v>209</v>
      </c>
      <c r="D483" s="1773" t="s">
        <v>181</v>
      </c>
      <c r="E483" s="1773" t="s">
        <v>134</v>
      </c>
      <c r="F483" s="1773" t="s">
        <v>139</v>
      </c>
      <c r="G483" s="1773" t="s">
        <v>144</v>
      </c>
      <c r="H483" s="1773"/>
      <c r="I483" s="1773"/>
      <c r="J483" s="1773"/>
      <c r="K483" s="1776" t="s">
        <v>2027</v>
      </c>
      <c r="L483" s="1774"/>
      <c r="M483" s="1774"/>
      <c r="N483" s="1774"/>
      <c r="O483" s="1774">
        <f t="shared" si="859"/>
        <v>0</v>
      </c>
      <c r="P483" s="1777"/>
      <c r="Q483" s="1775" t="e">
        <f t="shared" si="857"/>
        <v>#DIV/0!</v>
      </c>
      <c r="R483" s="1777"/>
      <c r="S483" s="1775" t="e">
        <f>+R483/#REF!</f>
        <v>#REF!</v>
      </c>
      <c r="T483" s="1777"/>
      <c r="U483" s="1775" t="e">
        <f>+T483/#REF!</f>
        <v>#REF!</v>
      </c>
      <c r="V483" s="1777"/>
      <c r="W483" s="1775" t="e">
        <f>+V483/#REF!</f>
        <v>#REF!</v>
      </c>
      <c r="X483" s="1777"/>
      <c r="Y483" s="1777"/>
      <c r="Z483" s="1777"/>
      <c r="AA483" s="1777">
        <f t="shared" si="860"/>
        <v>0</v>
      </c>
      <c r="AB483" s="1877" t="e">
        <f t="shared" si="858"/>
        <v>#DIV/0!</v>
      </c>
    </row>
    <row r="484" spans="1:28" ht="22.5" hidden="1" customHeight="1" thickTop="1" thickBot="1">
      <c r="A484" s="1772">
        <v>1</v>
      </c>
      <c r="B484" s="1773" t="s">
        <v>127</v>
      </c>
      <c r="C484" s="1773" t="s">
        <v>209</v>
      </c>
      <c r="D484" s="1773" t="s">
        <v>181</v>
      </c>
      <c r="E484" s="1773" t="s">
        <v>134</v>
      </c>
      <c r="F484" s="1773" t="s">
        <v>139</v>
      </c>
      <c r="G484" s="1773" t="s">
        <v>145</v>
      </c>
      <c r="H484" s="1773"/>
      <c r="I484" s="1773"/>
      <c r="J484" s="1773"/>
      <c r="K484" s="1776" t="s">
        <v>2028</v>
      </c>
      <c r="L484" s="1774"/>
      <c r="M484" s="1774"/>
      <c r="N484" s="1774"/>
      <c r="O484" s="1774">
        <f t="shared" si="859"/>
        <v>0</v>
      </c>
      <c r="P484" s="1777"/>
      <c r="Q484" s="1775" t="e">
        <f t="shared" si="857"/>
        <v>#DIV/0!</v>
      </c>
      <c r="R484" s="1777"/>
      <c r="S484" s="1775" t="e">
        <f>+R484/#REF!</f>
        <v>#REF!</v>
      </c>
      <c r="T484" s="1777"/>
      <c r="U484" s="1775" t="e">
        <f>+T484/#REF!</f>
        <v>#REF!</v>
      </c>
      <c r="V484" s="1777"/>
      <c r="W484" s="1775" t="e">
        <f>+V484/#REF!</f>
        <v>#REF!</v>
      </c>
      <c r="X484" s="1777"/>
      <c r="Y484" s="1777"/>
      <c r="Z484" s="1777"/>
      <c r="AA484" s="1777">
        <f t="shared" si="860"/>
        <v>0</v>
      </c>
      <c r="AB484" s="1877" t="e">
        <f t="shared" si="858"/>
        <v>#DIV/0!</v>
      </c>
    </row>
    <row r="485" spans="1:28" ht="22.5" hidden="1" customHeight="1" thickTop="1" thickBot="1">
      <c r="A485" s="1772">
        <v>1</v>
      </c>
      <c r="B485" s="1773" t="s">
        <v>127</v>
      </c>
      <c r="C485" s="1773" t="s">
        <v>209</v>
      </c>
      <c r="D485" s="1773" t="s">
        <v>181</v>
      </c>
      <c r="E485" s="1773" t="s">
        <v>134</v>
      </c>
      <c r="F485" s="1773" t="s">
        <v>139</v>
      </c>
      <c r="G485" s="1773" t="s">
        <v>146</v>
      </c>
      <c r="H485" s="1773"/>
      <c r="I485" s="1773"/>
      <c r="J485" s="1773"/>
      <c r="K485" s="1776" t="s">
        <v>2029</v>
      </c>
      <c r="L485" s="1774"/>
      <c r="M485" s="1774"/>
      <c r="N485" s="1774"/>
      <c r="O485" s="1774">
        <f t="shared" si="859"/>
        <v>0</v>
      </c>
      <c r="P485" s="1777"/>
      <c r="Q485" s="1775" t="e">
        <f t="shared" si="857"/>
        <v>#DIV/0!</v>
      </c>
      <c r="R485" s="1777"/>
      <c r="S485" s="1775" t="e">
        <f>+R485/#REF!</f>
        <v>#REF!</v>
      </c>
      <c r="T485" s="1777"/>
      <c r="U485" s="1775" t="e">
        <f>+T485/#REF!</f>
        <v>#REF!</v>
      </c>
      <c r="V485" s="1777"/>
      <c r="W485" s="1775" t="e">
        <f>+V485/#REF!</f>
        <v>#REF!</v>
      </c>
      <c r="X485" s="1777"/>
      <c r="Y485" s="1777"/>
      <c r="Z485" s="1777"/>
      <c r="AA485" s="1777">
        <f t="shared" si="860"/>
        <v>0</v>
      </c>
      <c r="AB485" s="1877" t="e">
        <f t="shared" si="858"/>
        <v>#DIV/0!</v>
      </c>
    </row>
    <row r="486" spans="1:28" ht="22.5" hidden="1" customHeight="1" thickTop="1" thickBot="1">
      <c r="A486" s="1772">
        <v>1</v>
      </c>
      <c r="B486" s="1773" t="s">
        <v>127</v>
      </c>
      <c r="C486" s="1773" t="s">
        <v>209</v>
      </c>
      <c r="D486" s="1773" t="s">
        <v>181</v>
      </c>
      <c r="E486" s="1773" t="s">
        <v>134</v>
      </c>
      <c r="F486" s="1773" t="s">
        <v>139</v>
      </c>
      <c r="G486" s="1773" t="s">
        <v>147</v>
      </c>
      <c r="H486" s="1773"/>
      <c r="I486" s="1773"/>
      <c r="J486" s="1773"/>
      <c r="K486" s="1776" t="s">
        <v>2030</v>
      </c>
      <c r="L486" s="1774"/>
      <c r="M486" s="1774"/>
      <c r="N486" s="1774"/>
      <c r="O486" s="1774">
        <f t="shared" si="859"/>
        <v>0</v>
      </c>
      <c r="P486" s="1777"/>
      <c r="Q486" s="1775" t="e">
        <f t="shared" si="857"/>
        <v>#DIV/0!</v>
      </c>
      <c r="R486" s="1777"/>
      <c r="S486" s="1775" t="e">
        <f>+R486/#REF!</f>
        <v>#REF!</v>
      </c>
      <c r="T486" s="1777"/>
      <c r="U486" s="1775" t="e">
        <f>+T486/#REF!</f>
        <v>#REF!</v>
      </c>
      <c r="V486" s="1777"/>
      <c r="W486" s="1775" t="e">
        <f>+V486/#REF!</f>
        <v>#REF!</v>
      </c>
      <c r="X486" s="1777"/>
      <c r="Y486" s="1777"/>
      <c r="Z486" s="1777"/>
      <c r="AA486" s="1777">
        <f t="shared" si="860"/>
        <v>0</v>
      </c>
      <c r="AB486" s="1877" t="e">
        <f t="shared" si="858"/>
        <v>#DIV/0!</v>
      </c>
    </row>
    <row r="487" spans="1:28" ht="22.5" hidden="1" customHeight="1" thickTop="1" thickBot="1">
      <c r="A487" s="1772">
        <v>1</v>
      </c>
      <c r="B487" s="1773" t="s">
        <v>127</v>
      </c>
      <c r="C487" s="1773" t="s">
        <v>209</v>
      </c>
      <c r="D487" s="1773" t="s">
        <v>181</v>
      </c>
      <c r="E487" s="1773" t="s">
        <v>134</v>
      </c>
      <c r="F487" s="1773" t="s">
        <v>139</v>
      </c>
      <c r="G487" s="1773" t="s">
        <v>180</v>
      </c>
      <c r="H487" s="1773"/>
      <c r="I487" s="1773"/>
      <c r="J487" s="1773"/>
      <c r="K487" s="1776" t="s">
        <v>2031</v>
      </c>
      <c r="L487" s="1774"/>
      <c r="M487" s="1774"/>
      <c r="N487" s="1774"/>
      <c r="O487" s="1774">
        <f t="shared" si="859"/>
        <v>0</v>
      </c>
      <c r="P487" s="1777"/>
      <c r="Q487" s="1775" t="e">
        <f t="shared" si="857"/>
        <v>#DIV/0!</v>
      </c>
      <c r="R487" s="1777"/>
      <c r="S487" s="1775" t="e">
        <f>+R487/#REF!</f>
        <v>#REF!</v>
      </c>
      <c r="T487" s="1777"/>
      <c r="U487" s="1775" t="e">
        <f>+T487/#REF!</f>
        <v>#REF!</v>
      </c>
      <c r="V487" s="1777"/>
      <c r="W487" s="1775" t="e">
        <f>+V487/#REF!</f>
        <v>#REF!</v>
      </c>
      <c r="X487" s="1777"/>
      <c r="Y487" s="1777"/>
      <c r="Z487" s="1777"/>
      <c r="AA487" s="1777">
        <f t="shared" si="860"/>
        <v>0</v>
      </c>
      <c r="AB487" s="1877" t="e">
        <f t="shared" si="858"/>
        <v>#DIV/0!</v>
      </c>
    </row>
    <row r="488" spans="1:28" ht="22.5" hidden="1" customHeight="1" thickTop="1" thickBot="1">
      <c r="A488" s="1772">
        <v>1</v>
      </c>
      <c r="B488" s="1773" t="s">
        <v>127</v>
      </c>
      <c r="C488" s="1773" t="s">
        <v>209</v>
      </c>
      <c r="D488" s="1773" t="s">
        <v>181</v>
      </c>
      <c r="E488" s="1773" t="s">
        <v>134</v>
      </c>
      <c r="F488" s="1773" t="s">
        <v>139</v>
      </c>
      <c r="G488" s="1773" t="s">
        <v>181</v>
      </c>
      <c r="H488" s="1773"/>
      <c r="I488" s="1773"/>
      <c r="J488" s="1773"/>
      <c r="K488" s="1776" t="s">
        <v>2032</v>
      </c>
      <c r="L488" s="1774"/>
      <c r="M488" s="1774"/>
      <c r="N488" s="1774"/>
      <c r="O488" s="1774">
        <f t="shared" si="859"/>
        <v>0</v>
      </c>
      <c r="P488" s="1777"/>
      <c r="Q488" s="1775" t="e">
        <f t="shared" si="857"/>
        <v>#DIV/0!</v>
      </c>
      <c r="R488" s="1777"/>
      <c r="S488" s="1775" t="e">
        <f>+R488/#REF!</f>
        <v>#REF!</v>
      </c>
      <c r="T488" s="1777"/>
      <c r="U488" s="1775" t="e">
        <f>+T488/#REF!</f>
        <v>#REF!</v>
      </c>
      <c r="V488" s="1777"/>
      <c r="W488" s="1775" t="e">
        <f>+V488/#REF!</f>
        <v>#REF!</v>
      </c>
      <c r="X488" s="1777"/>
      <c r="Y488" s="1777"/>
      <c r="Z488" s="1777"/>
      <c r="AA488" s="1777">
        <f t="shared" si="860"/>
        <v>0</v>
      </c>
      <c r="AB488" s="1877" t="e">
        <f t="shared" si="858"/>
        <v>#DIV/0!</v>
      </c>
    </row>
    <row r="489" spans="1:28" ht="22.5" hidden="1" customHeight="1" thickTop="1" thickBot="1">
      <c r="A489" s="1772">
        <v>1</v>
      </c>
      <c r="B489" s="1773" t="s">
        <v>127</v>
      </c>
      <c r="C489" s="1773" t="s">
        <v>209</v>
      </c>
      <c r="D489" s="1773" t="s">
        <v>181</v>
      </c>
      <c r="E489" s="1773" t="s">
        <v>134</v>
      </c>
      <c r="F489" s="1773" t="s">
        <v>139</v>
      </c>
      <c r="G489" s="1773" t="s">
        <v>182</v>
      </c>
      <c r="H489" s="1773"/>
      <c r="I489" s="1773"/>
      <c r="J489" s="1773"/>
      <c r="K489" s="1776" t="s">
        <v>2033</v>
      </c>
      <c r="L489" s="1774"/>
      <c r="M489" s="1774"/>
      <c r="N489" s="1774"/>
      <c r="O489" s="1774">
        <f t="shared" si="859"/>
        <v>0</v>
      </c>
      <c r="P489" s="1777"/>
      <c r="Q489" s="1775" t="e">
        <f t="shared" si="857"/>
        <v>#DIV/0!</v>
      </c>
      <c r="R489" s="1777"/>
      <c r="S489" s="1775" t="e">
        <f>+R489/#REF!</f>
        <v>#REF!</v>
      </c>
      <c r="T489" s="1777"/>
      <c r="U489" s="1775" t="e">
        <f>+T489/#REF!</f>
        <v>#REF!</v>
      </c>
      <c r="V489" s="1777"/>
      <c r="W489" s="1775" t="e">
        <f>+V489/#REF!</f>
        <v>#REF!</v>
      </c>
      <c r="X489" s="1777"/>
      <c r="Y489" s="1777"/>
      <c r="Z489" s="1777"/>
      <c r="AA489" s="1777">
        <f t="shared" si="860"/>
        <v>0</v>
      </c>
      <c r="AB489" s="1877" t="e">
        <f t="shared" si="858"/>
        <v>#DIV/0!</v>
      </c>
    </row>
    <row r="490" spans="1:28" ht="22.5" hidden="1" customHeight="1" thickTop="1" thickBot="1">
      <c r="A490" s="1772">
        <v>1</v>
      </c>
      <c r="B490" s="1773" t="s">
        <v>127</v>
      </c>
      <c r="C490" s="1773" t="s">
        <v>209</v>
      </c>
      <c r="D490" s="1773" t="s">
        <v>181</v>
      </c>
      <c r="E490" s="1773" t="s">
        <v>134</v>
      </c>
      <c r="F490" s="1773" t="s">
        <v>139</v>
      </c>
      <c r="G490" s="1773" t="s">
        <v>183</v>
      </c>
      <c r="H490" s="1773"/>
      <c r="I490" s="1773"/>
      <c r="J490" s="1773"/>
      <c r="K490" s="1776" t="s">
        <v>2034</v>
      </c>
      <c r="L490" s="1774"/>
      <c r="M490" s="1774"/>
      <c r="N490" s="1774"/>
      <c r="O490" s="1774">
        <f t="shared" si="859"/>
        <v>0</v>
      </c>
      <c r="P490" s="1777"/>
      <c r="Q490" s="1775" t="e">
        <f t="shared" si="857"/>
        <v>#DIV/0!</v>
      </c>
      <c r="R490" s="1777"/>
      <c r="S490" s="1775" t="e">
        <f>+R490/#REF!</f>
        <v>#REF!</v>
      </c>
      <c r="T490" s="1777"/>
      <c r="U490" s="1775" t="e">
        <f>+T490/#REF!</f>
        <v>#REF!</v>
      </c>
      <c r="V490" s="1777"/>
      <c r="W490" s="1775" t="e">
        <f>+V490/#REF!</f>
        <v>#REF!</v>
      </c>
      <c r="X490" s="1777"/>
      <c r="Y490" s="1777"/>
      <c r="Z490" s="1777"/>
      <c r="AA490" s="1777">
        <f t="shared" si="860"/>
        <v>0</v>
      </c>
      <c r="AB490" s="1877" t="e">
        <f t="shared" si="858"/>
        <v>#DIV/0!</v>
      </c>
    </row>
    <row r="491" spans="1:28" ht="22.5" hidden="1" customHeight="1" thickTop="1" thickBot="1">
      <c r="A491" s="1772">
        <v>1</v>
      </c>
      <c r="B491" s="1773" t="s">
        <v>127</v>
      </c>
      <c r="C491" s="1773" t="s">
        <v>209</v>
      </c>
      <c r="D491" s="1773" t="s">
        <v>181</v>
      </c>
      <c r="E491" s="1773" t="s">
        <v>134</v>
      </c>
      <c r="F491" s="1773" t="s">
        <v>139</v>
      </c>
      <c r="G491" s="1773" t="s">
        <v>193</v>
      </c>
      <c r="H491" s="1773"/>
      <c r="I491" s="1773"/>
      <c r="J491" s="1773"/>
      <c r="K491" s="1776" t="s">
        <v>2035</v>
      </c>
      <c r="L491" s="1774"/>
      <c r="M491" s="1774"/>
      <c r="N491" s="1774"/>
      <c r="O491" s="1774">
        <f t="shared" si="859"/>
        <v>0</v>
      </c>
      <c r="P491" s="1777"/>
      <c r="Q491" s="1775" t="e">
        <f t="shared" si="857"/>
        <v>#DIV/0!</v>
      </c>
      <c r="R491" s="1777"/>
      <c r="S491" s="1775" t="e">
        <f>+R491/#REF!</f>
        <v>#REF!</v>
      </c>
      <c r="T491" s="1777"/>
      <c r="U491" s="1775" t="e">
        <f>+T491/#REF!</f>
        <v>#REF!</v>
      </c>
      <c r="V491" s="1777"/>
      <c r="W491" s="1775" t="e">
        <f>+V491/#REF!</f>
        <v>#REF!</v>
      </c>
      <c r="X491" s="1777"/>
      <c r="Y491" s="1777"/>
      <c r="Z491" s="1777"/>
      <c r="AA491" s="1777">
        <f t="shared" si="860"/>
        <v>0</v>
      </c>
      <c r="AB491" s="1877" t="e">
        <f t="shared" si="858"/>
        <v>#DIV/0!</v>
      </c>
    </row>
    <row r="492" spans="1:28" ht="22.5" hidden="1" customHeight="1" thickTop="1" thickBot="1">
      <c r="A492" s="1772">
        <v>1</v>
      </c>
      <c r="B492" s="1773" t="s">
        <v>127</v>
      </c>
      <c r="C492" s="1773" t="s">
        <v>209</v>
      </c>
      <c r="D492" s="1773" t="s">
        <v>181</v>
      </c>
      <c r="E492" s="1773" t="s">
        <v>134</v>
      </c>
      <c r="F492" s="1773" t="s">
        <v>139</v>
      </c>
      <c r="G492" s="1773" t="s">
        <v>194</v>
      </c>
      <c r="H492" s="1773"/>
      <c r="I492" s="1773"/>
      <c r="J492" s="1773"/>
      <c r="K492" s="1776" t="s">
        <v>2036</v>
      </c>
      <c r="L492" s="1774"/>
      <c r="M492" s="1774"/>
      <c r="N492" s="1774"/>
      <c r="O492" s="1774">
        <f t="shared" si="859"/>
        <v>0</v>
      </c>
      <c r="P492" s="1777"/>
      <c r="Q492" s="1775" t="e">
        <f t="shared" si="857"/>
        <v>#DIV/0!</v>
      </c>
      <c r="R492" s="1777"/>
      <c r="S492" s="1775" t="e">
        <f>+R492/#REF!</f>
        <v>#REF!</v>
      </c>
      <c r="T492" s="1777"/>
      <c r="U492" s="1775" t="e">
        <f>+T492/#REF!</f>
        <v>#REF!</v>
      </c>
      <c r="V492" s="1777"/>
      <c r="W492" s="1775" t="e">
        <f>+V492/#REF!</f>
        <v>#REF!</v>
      </c>
      <c r="X492" s="1777"/>
      <c r="Y492" s="1777"/>
      <c r="Z492" s="1777"/>
      <c r="AA492" s="1777">
        <f t="shared" si="860"/>
        <v>0</v>
      </c>
      <c r="AB492" s="1877" t="e">
        <f t="shared" si="858"/>
        <v>#DIV/0!</v>
      </c>
    </row>
    <row r="493" spans="1:28" ht="22.5" hidden="1" customHeight="1" thickTop="1" thickBot="1">
      <c r="A493" s="1772">
        <v>1</v>
      </c>
      <c r="B493" s="1773" t="s">
        <v>127</v>
      </c>
      <c r="C493" s="1773" t="s">
        <v>209</v>
      </c>
      <c r="D493" s="1773" t="s">
        <v>181</v>
      </c>
      <c r="E493" s="1773" t="s">
        <v>134</v>
      </c>
      <c r="F493" s="1773" t="s">
        <v>139</v>
      </c>
      <c r="G493" s="1773" t="s">
        <v>1877</v>
      </c>
      <c r="H493" s="1773"/>
      <c r="I493" s="1773"/>
      <c r="J493" s="1773"/>
      <c r="K493" s="1776" t="s">
        <v>2037</v>
      </c>
      <c r="L493" s="1774"/>
      <c r="M493" s="1774"/>
      <c r="N493" s="1774"/>
      <c r="O493" s="1774">
        <f t="shared" si="859"/>
        <v>0</v>
      </c>
      <c r="P493" s="1777"/>
      <c r="Q493" s="1775" t="e">
        <f t="shared" si="857"/>
        <v>#DIV/0!</v>
      </c>
      <c r="R493" s="1777"/>
      <c r="S493" s="1775" t="e">
        <f>+R493/#REF!</f>
        <v>#REF!</v>
      </c>
      <c r="T493" s="1777"/>
      <c r="U493" s="1775" t="e">
        <f>+T493/#REF!</f>
        <v>#REF!</v>
      </c>
      <c r="V493" s="1777"/>
      <c r="W493" s="1775" t="e">
        <f>+V493/#REF!</f>
        <v>#REF!</v>
      </c>
      <c r="X493" s="1777"/>
      <c r="Y493" s="1777"/>
      <c r="Z493" s="1777"/>
      <c r="AA493" s="1777">
        <f t="shared" si="860"/>
        <v>0</v>
      </c>
      <c r="AB493" s="1877" t="e">
        <f t="shared" si="858"/>
        <v>#DIV/0!</v>
      </c>
    </row>
    <row r="494" spans="1:28" ht="22.5" hidden="1" customHeight="1" thickTop="1" thickBot="1">
      <c r="A494" s="1772">
        <v>1</v>
      </c>
      <c r="B494" s="1773" t="s">
        <v>127</v>
      </c>
      <c r="C494" s="1773" t="s">
        <v>209</v>
      </c>
      <c r="D494" s="1773" t="s">
        <v>181</v>
      </c>
      <c r="E494" s="1773" t="s">
        <v>134</v>
      </c>
      <c r="F494" s="1773" t="s">
        <v>139</v>
      </c>
      <c r="G494" s="1773" t="s">
        <v>1879</v>
      </c>
      <c r="H494" s="1773"/>
      <c r="I494" s="1773"/>
      <c r="J494" s="1773"/>
      <c r="K494" s="1776" t="s">
        <v>2038</v>
      </c>
      <c r="L494" s="1774"/>
      <c r="M494" s="1774"/>
      <c r="N494" s="1774"/>
      <c r="O494" s="1774">
        <f t="shared" si="859"/>
        <v>0</v>
      </c>
      <c r="P494" s="1777"/>
      <c r="Q494" s="1775" t="e">
        <f t="shared" si="857"/>
        <v>#DIV/0!</v>
      </c>
      <c r="R494" s="1777"/>
      <c r="S494" s="1775" t="e">
        <f>+R494/#REF!</f>
        <v>#REF!</v>
      </c>
      <c r="T494" s="1777"/>
      <c r="U494" s="1775" t="e">
        <f>+T494/#REF!</f>
        <v>#REF!</v>
      </c>
      <c r="V494" s="1777"/>
      <c r="W494" s="1775" t="e">
        <f>+V494/#REF!</f>
        <v>#REF!</v>
      </c>
      <c r="X494" s="1777"/>
      <c r="Y494" s="1777"/>
      <c r="Z494" s="1777"/>
      <c r="AA494" s="1777">
        <f t="shared" si="860"/>
        <v>0</v>
      </c>
      <c r="AB494" s="1877" t="e">
        <f t="shared" si="858"/>
        <v>#DIV/0!</v>
      </c>
    </row>
    <row r="495" spans="1:28" ht="22.5" hidden="1" customHeight="1" thickTop="1" thickBot="1">
      <c r="A495" s="1772">
        <v>1</v>
      </c>
      <c r="B495" s="1773" t="s">
        <v>127</v>
      </c>
      <c r="C495" s="1773" t="s">
        <v>209</v>
      </c>
      <c r="D495" s="1773" t="s">
        <v>181</v>
      </c>
      <c r="E495" s="1773" t="s">
        <v>134</v>
      </c>
      <c r="F495" s="1773" t="s">
        <v>139</v>
      </c>
      <c r="G495" s="1773" t="s">
        <v>1881</v>
      </c>
      <c r="H495" s="1773"/>
      <c r="I495" s="1773"/>
      <c r="J495" s="1773"/>
      <c r="K495" s="1776" t="s">
        <v>2039</v>
      </c>
      <c r="L495" s="1774"/>
      <c r="M495" s="1774"/>
      <c r="N495" s="1774"/>
      <c r="O495" s="1774">
        <f t="shared" si="859"/>
        <v>0</v>
      </c>
      <c r="P495" s="1777"/>
      <c r="Q495" s="1775" t="e">
        <f t="shared" si="857"/>
        <v>#DIV/0!</v>
      </c>
      <c r="R495" s="1777"/>
      <c r="S495" s="1775" t="e">
        <f>+R495/#REF!</f>
        <v>#REF!</v>
      </c>
      <c r="T495" s="1777"/>
      <c r="U495" s="1775" t="e">
        <f>+T495/#REF!</f>
        <v>#REF!</v>
      </c>
      <c r="V495" s="1777"/>
      <c r="W495" s="1775" t="e">
        <f>+V495/#REF!</f>
        <v>#REF!</v>
      </c>
      <c r="X495" s="1777"/>
      <c r="Y495" s="1777"/>
      <c r="Z495" s="1777"/>
      <c r="AA495" s="1777">
        <f t="shared" si="860"/>
        <v>0</v>
      </c>
      <c r="AB495" s="1877" t="e">
        <f t="shared" si="858"/>
        <v>#DIV/0!</v>
      </c>
    </row>
    <row r="496" spans="1:28" ht="22.5" hidden="1" customHeight="1" thickTop="1" thickBot="1">
      <c r="A496" s="1772">
        <v>1</v>
      </c>
      <c r="B496" s="1773" t="s">
        <v>127</v>
      </c>
      <c r="C496" s="1773" t="s">
        <v>209</v>
      </c>
      <c r="D496" s="1773" t="s">
        <v>181</v>
      </c>
      <c r="E496" s="1773" t="s">
        <v>134</v>
      </c>
      <c r="F496" s="1773" t="s">
        <v>139</v>
      </c>
      <c r="G496" s="1773" t="s">
        <v>1883</v>
      </c>
      <c r="H496" s="1773"/>
      <c r="I496" s="1773"/>
      <c r="J496" s="1773"/>
      <c r="K496" s="1776" t="s">
        <v>2040</v>
      </c>
      <c r="L496" s="1774"/>
      <c r="M496" s="1774"/>
      <c r="N496" s="1774"/>
      <c r="O496" s="1774">
        <f t="shared" si="859"/>
        <v>0</v>
      </c>
      <c r="P496" s="1777"/>
      <c r="Q496" s="1775" t="e">
        <f t="shared" si="857"/>
        <v>#DIV/0!</v>
      </c>
      <c r="R496" s="1777"/>
      <c r="S496" s="1775" t="e">
        <f>+R496/#REF!</f>
        <v>#REF!</v>
      </c>
      <c r="T496" s="1777"/>
      <c r="U496" s="1775" t="e">
        <f>+T496/#REF!</f>
        <v>#REF!</v>
      </c>
      <c r="V496" s="1777"/>
      <c r="W496" s="1775" t="e">
        <f>+V496/#REF!</f>
        <v>#REF!</v>
      </c>
      <c r="X496" s="1777"/>
      <c r="Y496" s="1777"/>
      <c r="Z496" s="1777"/>
      <c r="AA496" s="1777">
        <f t="shared" si="860"/>
        <v>0</v>
      </c>
      <c r="AB496" s="1877" t="e">
        <f t="shared" si="858"/>
        <v>#DIV/0!</v>
      </c>
    </row>
    <row r="497" spans="1:28" ht="22.5" hidden="1" customHeight="1" thickTop="1" thickBot="1">
      <c r="A497" s="1772">
        <v>1</v>
      </c>
      <c r="B497" s="1773" t="s">
        <v>127</v>
      </c>
      <c r="C497" s="1773" t="s">
        <v>209</v>
      </c>
      <c r="D497" s="1773" t="s">
        <v>181</v>
      </c>
      <c r="E497" s="1773" t="s">
        <v>134</v>
      </c>
      <c r="F497" s="1773" t="s">
        <v>139</v>
      </c>
      <c r="G497" s="1773" t="s">
        <v>1885</v>
      </c>
      <c r="H497" s="1773"/>
      <c r="I497" s="1773"/>
      <c r="J497" s="1773"/>
      <c r="K497" s="1776" t="s">
        <v>2041</v>
      </c>
      <c r="L497" s="1774"/>
      <c r="M497" s="1774"/>
      <c r="N497" s="1774"/>
      <c r="O497" s="1774">
        <f t="shared" si="859"/>
        <v>0</v>
      </c>
      <c r="P497" s="1777"/>
      <c r="Q497" s="1775" t="e">
        <f t="shared" si="857"/>
        <v>#DIV/0!</v>
      </c>
      <c r="R497" s="1777"/>
      <c r="S497" s="1775" t="e">
        <f>+R497/#REF!</f>
        <v>#REF!</v>
      </c>
      <c r="T497" s="1777"/>
      <c r="U497" s="1775" t="e">
        <f>+T497/#REF!</f>
        <v>#REF!</v>
      </c>
      <c r="V497" s="1777"/>
      <c r="W497" s="1775" t="e">
        <f>+V497/#REF!</f>
        <v>#REF!</v>
      </c>
      <c r="X497" s="1777"/>
      <c r="Y497" s="1777"/>
      <c r="Z497" s="1777"/>
      <c r="AA497" s="1777">
        <f t="shared" si="860"/>
        <v>0</v>
      </c>
      <c r="AB497" s="1877" t="e">
        <f t="shared" si="858"/>
        <v>#DIV/0!</v>
      </c>
    </row>
    <row r="498" spans="1:28" ht="22.5" hidden="1" customHeight="1" thickTop="1" thickBot="1">
      <c r="A498" s="1772">
        <v>1</v>
      </c>
      <c r="B498" s="1773" t="s">
        <v>127</v>
      </c>
      <c r="C498" s="1773" t="s">
        <v>209</v>
      </c>
      <c r="D498" s="1773" t="s">
        <v>181</v>
      </c>
      <c r="E498" s="1773" t="s">
        <v>134</v>
      </c>
      <c r="F498" s="1773" t="s">
        <v>139</v>
      </c>
      <c r="G498" s="1773" t="s">
        <v>1887</v>
      </c>
      <c r="H498" s="1773"/>
      <c r="I498" s="1773"/>
      <c r="J498" s="1773"/>
      <c r="K498" s="1776" t="s">
        <v>2042</v>
      </c>
      <c r="L498" s="1774"/>
      <c r="M498" s="1774"/>
      <c r="N498" s="1774"/>
      <c r="O498" s="1774">
        <f t="shared" si="859"/>
        <v>0</v>
      </c>
      <c r="P498" s="1777"/>
      <c r="Q498" s="1775" t="e">
        <f t="shared" si="857"/>
        <v>#DIV/0!</v>
      </c>
      <c r="R498" s="1777"/>
      <c r="S498" s="1775" t="e">
        <f>+R498/#REF!</f>
        <v>#REF!</v>
      </c>
      <c r="T498" s="1777"/>
      <c r="U498" s="1775" t="e">
        <f>+T498/#REF!</f>
        <v>#REF!</v>
      </c>
      <c r="V498" s="1777"/>
      <c r="W498" s="1775" t="e">
        <f>+V498/#REF!</f>
        <v>#REF!</v>
      </c>
      <c r="X498" s="1777"/>
      <c r="Y498" s="1777"/>
      <c r="Z498" s="1777"/>
      <c r="AA498" s="1777">
        <f t="shared" si="860"/>
        <v>0</v>
      </c>
      <c r="AB498" s="1877" t="e">
        <f t="shared" si="858"/>
        <v>#DIV/0!</v>
      </c>
    </row>
    <row r="499" spans="1:28" ht="22.5" hidden="1" customHeight="1" thickTop="1" thickBot="1">
      <c r="A499" s="1772">
        <v>1</v>
      </c>
      <c r="B499" s="1773" t="s">
        <v>127</v>
      </c>
      <c r="C499" s="1773" t="s">
        <v>209</v>
      </c>
      <c r="D499" s="1773" t="s">
        <v>181</v>
      </c>
      <c r="E499" s="1773" t="s">
        <v>134</v>
      </c>
      <c r="F499" s="1773" t="s">
        <v>139</v>
      </c>
      <c r="G499" s="1773" t="s">
        <v>1889</v>
      </c>
      <c r="H499" s="1773"/>
      <c r="I499" s="1773"/>
      <c r="J499" s="1773"/>
      <c r="K499" s="1776" t="s">
        <v>2043</v>
      </c>
      <c r="L499" s="1774"/>
      <c r="M499" s="1774"/>
      <c r="N499" s="1774"/>
      <c r="O499" s="1774">
        <f t="shared" si="859"/>
        <v>0</v>
      </c>
      <c r="P499" s="1777"/>
      <c r="Q499" s="1775" t="e">
        <f t="shared" si="857"/>
        <v>#DIV/0!</v>
      </c>
      <c r="R499" s="1777"/>
      <c r="S499" s="1775" t="e">
        <f>+R499/#REF!</f>
        <v>#REF!</v>
      </c>
      <c r="T499" s="1777"/>
      <c r="U499" s="1775" t="e">
        <f>+T499/#REF!</f>
        <v>#REF!</v>
      </c>
      <c r="V499" s="1777"/>
      <c r="W499" s="1775" t="e">
        <f>+V499/#REF!</f>
        <v>#REF!</v>
      </c>
      <c r="X499" s="1777"/>
      <c r="Y499" s="1777"/>
      <c r="Z499" s="1777"/>
      <c r="AA499" s="1777">
        <f t="shared" si="860"/>
        <v>0</v>
      </c>
      <c r="AB499" s="1877" t="e">
        <f t="shared" si="858"/>
        <v>#DIV/0!</v>
      </c>
    </row>
    <row r="500" spans="1:28" ht="22.5" hidden="1" customHeight="1" thickTop="1" thickBot="1">
      <c r="A500" s="1772">
        <v>1</v>
      </c>
      <c r="B500" s="1773" t="s">
        <v>127</v>
      </c>
      <c r="C500" s="1773" t="s">
        <v>209</v>
      </c>
      <c r="D500" s="1773" t="s">
        <v>181</v>
      </c>
      <c r="E500" s="1773" t="s">
        <v>134</v>
      </c>
      <c r="F500" s="1773" t="s">
        <v>139</v>
      </c>
      <c r="G500" s="1773" t="s">
        <v>1701</v>
      </c>
      <c r="H500" s="1773"/>
      <c r="I500" s="1773"/>
      <c r="J500" s="1773"/>
      <c r="K500" s="1776" t="s">
        <v>2044</v>
      </c>
      <c r="L500" s="1774"/>
      <c r="M500" s="1774"/>
      <c r="N500" s="1774"/>
      <c r="O500" s="1774">
        <f t="shared" si="859"/>
        <v>0</v>
      </c>
      <c r="P500" s="1777"/>
      <c r="Q500" s="1775" t="e">
        <f t="shared" si="857"/>
        <v>#DIV/0!</v>
      </c>
      <c r="R500" s="1777"/>
      <c r="S500" s="1775" t="e">
        <f>+R500/#REF!</f>
        <v>#REF!</v>
      </c>
      <c r="T500" s="1777"/>
      <c r="U500" s="1775" t="e">
        <f>+T500/#REF!</f>
        <v>#REF!</v>
      </c>
      <c r="V500" s="1777"/>
      <c r="W500" s="1775" t="e">
        <f>+V500/#REF!</f>
        <v>#REF!</v>
      </c>
      <c r="X500" s="1777"/>
      <c r="Y500" s="1777"/>
      <c r="Z500" s="1777"/>
      <c r="AA500" s="1777">
        <f t="shared" si="860"/>
        <v>0</v>
      </c>
      <c r="AB500" s="1877" t="e">
        <f t="shared" si="858"/>
        <v>#DIV/0!</v>
      </c>
    </row>
    <row r="501" spans="1:28" ht="22.5" hidden="1" customHeight="1" thickTop="1" thickBot="1">
      <c r="A501" s="1772">
        <v>1</v>
      </c>
      <c r="B501" s="1773" t="s">
        <v>127</v>
      </c>
      <c r="C501" s="1773" t="s">
        <v>209</v>
      </c>
      <c r="D501" s="1773" t="s">
        <v>181</v>
      </c>
      <c r="E501" s="1773" t="s">
        <v>134</v>
      </c>
      <c r="F501" s="1773" t="s">
        <v>139</v>
      </c>
      <c r="G501" s="1773" t="s">
        <v>1892</v>
      </c>
      <c r="H501" s="1773"/>
      <c r="I501" s="1773"/>
      <c r="J501" s="1773"/>
      <c r="K501" s="1776" t="s">
        <v>2045</v>
      </c>
      <c r="L501" s="1774"/>
      <c r="M501" s="1774"/>
      <c r="N501" s="1774"/>
      <c r="O501" s="1774">
        <f t="shared" si="859"/>
        <v>0</v>
      </c>
      <c r="P501" s="1777"/>
      <c r="Q501" s="1775" t="e">
        <f t="shared" si="857"/>
        <v>#DIV/0!</v>
      </c>
      <c r="R501" s="1777"/>
      <c r="S501" s="1775" t="e">
        <f>+R501/#REF!</f>
        <v>#REF!</v>
      </c>
      <c r="T501" s="1777"/>
      <c r="U501" s="1775" t="e">
        <f>+T501/#REF!</f>
        <v>#REF!</v>
      </c>
      <c r="V501" s="1777"/>
      <c r="W501" s="1775" t="e">
        <f>+V501/#REF!</f>
        <v>#REF!</v>
      </c>
      <c r="X501" s="1777"/>
      <c r="Y501" s="1777"/>
      <c r="Z501" s="1777"/>
      <c r="AA501" s="1777">
        <f t="shared" si="860"/>
        <v>0</v>
      </c>
      <c r="AB501" s="1877" t="e">
        <f t="shared" si="858"/>
        <v>#DIV/0!</v>
      </c>
    </row>
    <row r="502" spans="1:28" ht="22.5" hidden="1" customHeight="1" thickTop="1" thickBot="1">
      <c r="A502" s="1772">
        <v>1</v>
      </c>
      <c r="B502" s="1773" t="s">
        <v>127</v>
      </c>
      <c r="C502" s="1773" t="s">
        <v>209</v>
      </c>
      <c r="D502" s="1773" t="s">
        <v>181</v>
      </c>
      <c r="E502" s="1773" t="s">
        <v>134</v>
      </c>
      <c r="F502" s="1773" t="s">
        <v>139</v>
      </c>
      <c r="G502" s="1773" t="s">
        <v>1894</v>
      </c>
      <c r="H502" s="1773"/>
      <c r="I502" s="1773"/>
      <c r="J502" s="1773"/>
      <c r="K502" s="1776" t="s">
        <v>2046</v>
      </c>
      <c r="L502" s="1774"/>
      <c r="M502" s="1774"/>
      <c r="N502" s="1774"/>
      <c r="O502" s="1774">
        <f t="shared" si="859"/>
        <v>0</v>
      </c>
      <c r="P502" s="1777"/>
      <c r="Q502" s="1775" t="e">
        <f t="shared" si="857"/>
        <v>#DIV/0!</v>
      </c>
      <c r="R502" s="1777"/>
      <c r="S502" s="1775" t="e">
        <f>+R502/#REF!</f>
        <v>#REF!</v>
      </c>
      <c r="T502" s="1777"/>
      <c r="U502" s="1775" t="e">
        <f>+T502/#REF!</f>
        <v>#REF!</v>
      </c>
      <c r="V502" s="1777"/>
      <c r="W502" s="1775" t="e">
        <f>+V502/#REF!</f>
        <v>#REF!</v>
      </c>
      <c r="X502" s="1777"/>
      <c r="Y502" s="1777"/>
      <c r="Z502" s="1777"/>
      <c r="AA502" s="1777">
        <f t="shared" si="860"/>
        <v>0</v>
      </c>
      <c r="AB502" s="1877" t="e">
        <f t="shared" si="858"/>
        <v>#DIV/0!</v>
      </c>
    </row>
    <row r="503" spans="1:28" ht="22.5" hidden="1" customHeight="1" thickTop="1" thickBot="1">
      <c r="A503" s="1772">
        <v>1</v>
      </c>
      <c r="B503" s="1773" t="s">
        <v>127</v>
      </c>
      <c r="C503" s="1773" t="s">
        <v>209</v>
      </c>
      <c r="D503" s="1773" t="s">
        <v>181</v>
      </c>
      <c r="E503" s="1773" t="s">
        <v>134</v>
      </c>
      <c r="F503" s="1773" t="s">
        <v>139</v>
      </c>
      <c r="G503" s="1773" t="s">
        <v>1896</v>
      </c>
      <c r="H503" s="1773"/>
      <c r="I503" s="1773"/>
      <c r="J503" s="1773"/>
      <c r="K503" s="1776" t="s">
        <v>2047</v>
      </c>
      <c r="L503" s="1774"/>
      <c r="M503" s="1774"/>
      <c r="N503" s="1774"/>
      <c r="O503" s="1774">
        <f t="shared" si="859"/>
        <v>0</v>
      </c>
      <c r="P503" s="1777"/>
      <c r="Q503" s="1775" t="e">
        <f t="shared" si="857"/>
        <v>#DIV/0!</v>
      </c>
      <c r="R503" s="1777"/>
      <c r="S503" s="1775" t="e">
        <f>+R503/#REF!</f>
        <v>#REF!</v>
      </c>
      <c r="T503" s="1777"/>
      <c r="U503" s="1775" t="e">
        <f>+T503/#REF!</f>
        <v>#REF!</v>
      </c>
      <c r="V503" s="1777"/>
      <c r="W503" s="1775" t="e">
        <f>+V503/#REF!</f>
        <v>#REF!</v>
      </c>
      <c r="X503" s="1777"/>
      <c r="Y503" s="1777"/>
      <c r="Z503" s="1777"/>
      <c r="AA503" s="1777">
        <f t="shared" si="860"/>
        <v>0</v>
      </c>
      <c r="AB503" s="1877" t="e">
        <f t="shared" si="858"/>
        <v>#DIV/0!</v>
      </c>
    </row>
    <row r="504" spans="1:28" ht="22.5" hidden="1" customHeight="1" thickTop="1" thickBot="1">
      <c r="A504" s="1772">
        <v>1</v>
      </c>
      <c r="B504" s="1773" t="s">
        <v>127</v>
      </c>
      <c r="C504" s="1773" t="s">
        <v>209</v>
      </c>
      <c r="D504" s="1773" t="s">
        <v>181</v>
      </c>
      <c r="E504" s="1773" t="s">
        <v>134</v>
      </c>
      <c r="F504" s="1773" t="s">
        <v>139</v>
      </c>
      <c r="G504" s="1773" t="s">
        <v>1898</v>
      </c>
      <c r="H504" s="1773"/>
      <c r="I504" s="1773"/>
      <c r="J504" s="1773"/>
      <c r="K504" s="1776" t="s">
        <v>2048</v>
      </c>
      <c r="L504" s="1774"/>
      <c r="M504" s="1774"/>
      <c r="N504" s="1774"/>
      <c r="O504" s="1774">
        <f t="shared" si="859"/>
        <v>0</v>
      </c>
      <c r="P504" s="1777"/>
      <c r="Q504" s="1775" t="e">
        <f t="shared" si="857"/>
        <v>#DIV/0!</v>
      </c>
      <c r="R504" s="1777"/>
      <c r="S504" s="1775" t="e">
        <f>+R504/#REF!</f>
        <v>#REF!</v>
      </c>
      <c r="T504" s="1777"/>
      <c r="U504" s="1775" t="e">
        <f>+T504/#REF!</f>
        <v>#REF!</v>
      </c>
      <c r="V504" s="1777"/>
      <c r="W504" s="1775" t="e">
        <f>+V504/#REF!</f>
        <v>#REF!</v>
      </c>
      <c r="X504" s="1777"/>
      <c r="Y504" s="1777"/>
      <c r="Z504" s="1777"/>
      <c r="AA504" s="1777">
        <f t="shared" si="860"/>
        <v>0</v>
      </c>
      <c r="AB504" s="1877" t="e">
        <f t="shared" si="858"/>
        <v>#DIV/0!</v>
      </c>
    </row>
    <row r="505" spans="1:28" ht="22.5" hidden="1" customHeight="1" thickTop="1" thickBot="1">
      <c r="A505" s="1772">
        <v>1</v>
      </c>
      <c r="B505" s="1773" t="s">
        <v>127</v>
      </c>
      <c r="C505" s="1773" t="s">
        <v>209</v>
      </c>
      <c r="D505" s="1773" t="s">
        <v>181</v>
      </c>
      <c r="E505" s="1773" t="s">
        <v>134</v>
      </c>
      <c r="F505" s="1773" t="s">
        <v>139</v>
      </c>
      <c r="G505" s="1773" t="s">
        <v>1900</v>
      </c>
      <c r="H505" s="1773"/>
      <c r="I505" s="1773"/>
      <c r="J505" s="1773"/>
      <c r="K505" s="1776" t="s">
        <v>2049</v>
      </c>
      <c r="L505" s="1774"/>
      <c r="M505" s="1774"/>
      <c r="N505" s="1774"/>
      <c r="O505" s="1774">
        <f t="shared" si="859"/>
        <v>0</v>
      </c>
      <c r="P505" s="1777"/>
      <c r="Q505" s="1775" t="e">
        <f t="shared" si="857"/>
        <v>#DIV/0!</v>
      </c>
      <c r="R505" s="1777"/>
      <c r="S505" s="1775" t="e">
        <f>+R505/#REF!</f>
        <v>#REF!</v>
      </c>
      <c r="T505" s="1777"/>
      <c r="U505" s="1775" t="e">
        <f>+T505/#REF!</f>
        <v>#REF!</v>
      </c>
      <c r="V505" s="1777"/>
      <c r="W505" s="1775" t="e">
        <f>+V505/#REF!</f>
        <v>#REF!</v>
      </c>
      <c r="X505" s="1777"/>
      <c r="Y505" s="1777"/>
      <c r="Z505" s="1777"/>
      <c r="AA505" s="1777">
        <f t="shared" si="860"/>
        <v>0</v>
      </c>
      <c r="AB505" s="1877" t="e">
        <f t="shared" si="858"/>
        <v>#DIV/0!</v>
      </c>
    </row>
    <row r="506" spans="1:28" ht="22.5" hidden="1" customHeight="1" thickTop="1" thickBot="1">
      <c r="A506" s="1772">
        <v>1</v>
      </c>
      <c r="B506" s="1773" t="s">
        <v>127</v>
      </c>
      <c r="C506" s="1773" t="s">
        <v>209</v>
      </c>
      <c r="D506" s="1773" t="s">
        <v>181</v>
      </c>
      <c r="E506" s="1773" t="s">
        <v>134</v>
      </c>
      <c r="F506" s="1773" t="s">
        <v>139</v>
      </c>
      <c r="G506" s="1773" t="s">
        <v>1902</v>
      </c>
      <c r="H506" s="1773"/>
      <c r="I506" s="1773"/>
      <c r="J506" s="1773"/>
      <c r="K506" s="1776" t="s">
        <v>2050</v>
      </c>
      <c r="L506" s="1774"/>
      <c r="M506" s="1774"/>
      <c r="N506" s="1774"/>
      <c r="O506" s="1774">
        <f t="shared" si="859"/>
        <v>0</v>
      </c>
      <c r="P506" s="1777"/>
      <c r="Q506" s="1775" t="e">
        <f t="shared" si="857"/>
        <v>#DIV/0!</v>
      </c>
      <c r="R506" s="1777"/>
      <c r="S506" s="1775" t="e">
        <f>+R506/#REF!</f>
        <v>#REF!</v>
      </c>
      <c r="T506" s="1777"/>
      <c r="U506" s="1775" t="e">
        <f>+T506/#REF!</f>
        <v>#REF!</v>
      </c>
      <c r="V506" s="1777"/>
      <c r="W506" s="1775" t="e">
        <f>+V506/#REF!</f>
        <v>#REF!</v>
      </c>
      <c r="X506" s="1777"/>
      <c r="Y506" s="1777"/>
      <c r="Z506" s="1777"/>
      <c r="AA506" s="1777">
        <f t="shared" si="860"/>
        <v>0</v>
      </c>
      <c r="AB506" s="1877" t="e">
        <f t="shared" si="858"/>
        <v>#DIV/0!</v>
      </c>
    </row>
    <row r="507" spans="1:28" ht="22.5" hidden="1" customHeight="1" thickTop="1" thickBot="1">
      <c r="A507" s="1772">
        <v>1</v>
      </c>
      <c r="B507" s="1773" t="s">
        <v>127</v>
      </c>
      <c r="C507" s="1773" t="s">
        <v>209</v>
      </c>
      <c r="D507" s="1773" t="s">
        <v>181</v>
      </c>
      <c r="E507" s="1773" t="s">
        <v>134</v>
      </c>
      <c r="F507" s="1773" t="s">
        <v>139</v>
      </c>
      <c r="G507" s="1773" t="s">
        <v>1904</v>
      </c>
      <c r="H507" s="1773"/>
      <c r="I507" s="1773"/>
      <c r="J507" s="1773"/>
      <c r="K507" s="1776" t="s">
        <v>2051</v>
      </c>
      <c r="L507" s="1774"/>
      <c r="M507" s="1774"/>
      <c r="N507" s="1774"/>
      <c r="O507" s="1774">
        <f t="shared" si="859"/>
        <v>0</v>
      </c>
      <c r="P507" s="1777"/>
      <c r="Q507" s="1775" t="e">
        <f t="shared" si="857"/>
        <v>#DIV/0!</v>
      </c>
      <c r="R507" s="1777"/>
      <c r="S507" s="1775" t="e">
        <f>+R507/#REF!</f>
        <v>#REF!</v>
      </c>
      <c r="T507" s="1777"/>
      <c r="U507" s="1775" t="e">
        <f>+T507/#REF!</f>
        <v>#REF!</v>
      </c>
      <c r="V507" s="1777"/>
      <c r="W507" s="1775" t="e">
        <f>+V507/#REF!</f>
        <v>#REF!</v>
      </c>
      <c r="X507" s="1777"/>
      <c r="Y507" s="1777"/>
      <c r="Z507" s="1777"/>
      <c r="AA507" s="1777">
        <f t="shared" si="860"/>
        <v>0</v>
      </c>
      <c r="AB507" s="1877" t="e">
        <f t="shared" si="858"/>
        <v>#DIV/0!</v>
      </c>
    </row>
    <row r="508" spans="1:28" ht="22.5" hidden="1" customHeight="1" thickTop="1" thickBot="1">
      <c r="A508" s="1772">
        <v>1</v>
      </c>
      <c r="B508" s="1773" t="s">
        <v>127</v>
      </c>
      <c r="C508" s="1773" t="s">
        <v>209</v>
      </c>
      <c r="D508" s="1773" t="s">
        <v>181</v>
      </c>
      <c r="E508" s="1773" t="s">
        <v>134</v>
      </c>
      <c r="F508" s="1773" t="s">
        <v>139</v>
      </c>
      <c r="G508" s="1773" t="s">
        <v>1906</v>
      </c>
      <c r="H508" s="1773"/>
      <c r="I508" s="1773"/>
      <c r="J508" s="1773"/>
      <c r="K508" s="1776" t="s">
        <v>2052</v>
      </c>
      <c r="L508" s="1774"/>
      <c r="M508" s="1774"/>
      <c r="N508" s="1774"/>
      <c r="O508" s="1774">
        <f t="shared" si="859"/>
        <v>0</v>
      </c>
      <c r="P508" s="1777"/>
      <c r="Q508" s="1775" t="e">
        <f t="shared" si="857"/>
        <v>#DIV/0!</v>
      </c>
      <c r="R508" s="1777"/>
      <c r="S508" s="1775" t="e">
        <f>+R508/#REF!</f>
        <v>#REF!</v>
      </c>
      <c r="T508" s="1777"/>
      <c r="U508" s="1775" t="e">
        <f>+T508/#REF!</f>
        <v>#REF!</v>
      </c>
      <c r="V508" s="1777"/>
      <c r="W508" s="1775" t="e">
        <f>+V508/#REF!</f>
        <v>#REF!</v>
      </c>
      <c r="X508" s="1777"/>
      <c r="Y508" s="1777"/>
      <c r="Z508" s="1777"/>
      <c r="AA508" s="1777">
        <f t="shared" si="860"/>
        <v>0</v>
      </c>
      <c r="AB508" s="1877" t="e">
        <f t="shared" si="858"/>
        <v>#DIV/0!</v>
      </c>
    </row>
    <row r="509" spans="1:28" ht="22.5" hidden="1" customHeight="1" thickTop="1" thickBot="1">
      <c r="A509" s="1772">
        <v>1</v>
      </c>
      <c r="B509" s="1773" t="s">
        <v>127</v>
      </c>
      <c r="C509" s="1773" t="s">
        <v>209</v>
      </c>
      <c r="D509" s="1773" t="s">
        <v>181</v>
      </c>
      <c r="E509" s="1773" t="s">
        <v>134</v>
      </c>
      <c r="F509" s="1773" t="s">
        <v>139</v>
      </c>
      <c r="G509" s="1773" t="s">
        <v>1986</v>
      </c>
      <c r="H509" s="1773"/>
      <c r="I509" s="1773"/>
      <c r="J509" s="1773"/>
      <c r="K509" s="1776" t="s">
        <v>2053</v>
      </c>
      <c r="L509" s="1774"/>
      <c r="M509" s="1774"/>
      <c r="N509" s="1774"/>
      <c r="O509" s="1774">
        <f t="shared" si="859"/>
        <v>0</v>
      </c>
      <c r="P509" s="1777"/>
      <c r="Q509" s="1775" t="e">
        <f t="shared" si="857"/>
        <v>#DIV/0!</v>
      </c>
      <c r="R509" s="1777"/>
      <c r="S509" s="1775" t="e">
        <f>+R509/#REF!</f>
        <v>#REF!</v>
      </c>
      <c r="T509" s="1777"/>
      <c r="U509" s="1775" t="e">
        <f>+T509/#REF!</f>
        <v>#REF!</v>
      </c>
      <c r="V509" s="1777"/>
      <c r="W509" s="1775" t="e">
        <f>+V509/#REF!</f>
        <v>#REF!</v>
      </c>
      <c r="X509" s="1777"/>
      <c r="Y509" s="1777"/>
      <c r="Z509" s="1777"/>
      <c r="AA509" s="1777">
        <f t="shared" si="860"/>
        <v>0</v>
      </c>
      <c r="AB509" s="1877" t="e">
        <f t="shared" si="858"/>
        <v>#DIV/0!</v>
      </c>
    </row>
    <row r="510" spans="1:28" s="1754" customFormat="1" ht="22.5" hidden="1" customHeight="1" thickTop="1" thickBot="1">
      <c r="A510" s="1749">
        <v>1</v>
      </c>
      <c r="B510" s="1750" t="s">
        <v>127</v>
      </c>
      <c r="C510" s="1750" t="s">
        <v>209</v>
      </c>
      <c r="D510" s="1750" t="s">
        <v>193</v>
      </c>
      <c r="E510" s="1750"/>
      <c r="F510" s="1750"/>
      <c r="G510" s="1750"/>
      <c r="H510" s="1750"/>
      <c r="I510" s="1750"/>
      <c r="J510" s="1750"/>
      <c r="K510" s="1751" t="s">
        <v>2054</v>
      </c>
      <c r="L510" s="1752">
        <f>+L511+L512</f>
        <v>0</v>
      </c>
      <c r="M510" s="1752">
        <f t="shared" ref="M510:N510" si="864">+M511+M512</f>
        <v>0</v>
      </c>
      <c r="N510" s="1752">
        <f t="shared" si="864"/>
        <v>0</v>
      </c>
      <c r="O510" s="1752">
        <f t="shared" si="859"/>
        <v>0</v>
      </c>
      <c r="P510" s="1804">
        <f t="shared" ref="P510:V510" si="865">+P511+P512</f>
        <v>0</v>
      </c>
      <c r="Q510" s="1753" t="e">
        <f t="shared" si="857"/>
        <v>#DIV/0!</v>
      </c>
      <c r="R510" s="1804">
        <f t="shared" si="865"/>
        <v>0</v>
      </c>
      <c r="S510" s="1753" t="e">
        <f t="shared" ref="S510" si="866">+R510/L510</f>
        <v>#DIV/0!</v>
      </c>
      <c r="T510" s="1804">
        <f t="shared" si="865"/>
        <v>0</v>
      </c>
      <c r="U510" s="1753" t="e">
        <f t="shared" ref="U510" si="867">+T510/L510</f>
        <v>#DIV/0!</v>
      </c>
      <c r="V510" s="1804">
        <f t="shared" si="865"/>
        <v>0</v>
      </c>
      <c r="W510" s="1753" t="e">
        <f>+V510/#REF!</f>
        <v>#REF!</v>
      </c>
      <c r="X510" s="1804">
        <f t="shared" ref="X510:Z510" si="868">+X511+X512</f>
        <v>0</v>
      </c>
      <c r="Y510" s="1804">
        <f t="shared" si="868"/>
        <v>0</v>
      </c>
      <c r="Z510" s="1804">
        <f t="shared" si="868"/>
        <v>0</v>
      </c>
      <c r="AA510" s="1804">
        <f t="shared" si="860"/>
        <v>0</v>
      </c>
      <c r="AB510" s="1873" t="e">
        <f t="shared" si="858"/>
        <v>#DIV/0!</v>
      </c>
    </row>
    <row r="511" spans="1:28" ht="22.5" hidden="1" customHeight="1" thickTop="1" thickBot="1">
      <c r="A511" s="1772">
        <v>1</v>
      </c>
      <c r="B511" s="1773" t="s">
        <v>127</v>
      </c>
      <c r="C511" s="1773" t="s">
        <v>209</v>
      </c>
      <c r="D511" s="1773" t="s">
        <v>193</v>
      </c>
      <c r="E511" s="1773" t="s">
        <v>129</v>
      </c>
      <c r="F511" s="1773"/>
      <c r="G511" s="1773"/>
      <c r="H511" s="1773"/>
      <c r="I511" s="1773"/>
      <c r="J511" s="1773"/>
      <c r="K511" s="1776" t="s">
        <v>2055</v>
      </c>
      <c r="L511" s="1774"/>
      <c r="M511" s="1774"/>
      <c r="N511" s="1774"/>
      <c r="O511" s="1774">
        <f t="shared" si="859"/>
        <v>0</v>
      </c>
      <c r="P511" s="1777"/>
      <c r="Q511" s="1775" t="e">
        <f t="shared" si="857"/>
        <v>#DIV/0!</v>
      </c>
      <c r="R511" s="1777"/>
      <c r="S511" s="1775" t="e">
        <f>+R511/#REF!</f>
        <v>#REF!</v>
      </c>
      <c r="T511" s="1777"/>
      <c r="U511" s="1775" t="e">
        <f>+T511/#REF!</f>
        <v>#REF!</v>
      </c>
      <c r="V511" s="1777"/>
      <c r="W511" s="1775" t="e">
        <f>+V511/#REF!</f>
        <v>#REF!</v>
      </c>
      <c r="X511" s="1777"/>
      <c r="Y511" s="1777"/>
      <c r="Z511" s="1777"/>
      <c r="AA511" s="1777">
        <f t="shared" si="860"/>
        <v>0</v>
      </c>
      <c r="AB511" s="1877" t="e">
        <f t="shared" si="858"/>
        <v>#DIV/0!</v>
      </c>
    </row>
    <row r="512" spans="1:28" ht="22.5" hidden="1" customHeight="1" thickTop="1" thickBot="1">
      <c r="A512" s="1772">
        <v>1</v>
      </c>
      <c r="B512" s="1773" t="s">
        <v>127</v>
      </c>
      <c r="C512" s="1773" t="s">
        <v>209</v>
      </c>
      <c r="D512" s="1773" t="s">
        <v>193</v>
      </c>
      <c r="E512" s="1773" t="s">
        <v>134</v>
      </c>
      <c r="F512" s="1773"/>
      <c r="G512" s="1773"/>
      <c r="H512" s="1773"/>
      <c r="I512" s="1773"/>
      <c r="J512" s="1773"/>
      <c r="K512" s="1776" t="s">
        <v>2056</v>
      </c>
      <c r="L512" s="1774"/>
      <c r="M512" s="1774"/>
      <c r="N512" s="1774"/>
      <c r="O512" s="1774">
        <f t="shared" si="859"/>
        <v>0</v>
      </c>
      <c r="P512" s="1777"/>
      <c r="Q512" s="1775" t="e">
        <f t="shared" si="857"/>
        <v>#DIV/0!</v>
      </c>
      <c r="R512" s="1777"/>
      <c r="S512" s="1775" t="e">
        <f>+R512/#REF!</f>
        <v>#REF!</v>
      </c>
      <c r="T512" s="1777"/>
      <c r="U512" s="1775" t="e">
        <f>+T512/#REF!</f>
        <v>#REF!</v>
      </c>
      <c r="V512" s="1777"/>
      <c r="W512" s="1775" t="e">
        <f>+V512/#REF!</f>
        <v>#REF!</v>
      </c>
      <c r="X512" s="1777"/>
      <c r="Y512" s="1777"/>
      <c r="Z512" s="1777"/>
      <c r="AA512" s="1777">
        <f t="shared" si="860"/>
        <v>0</v>
      </c>
      <c r="AB512" s="1877" t="e">
        <f t="shared" si="858"/>
        <v>#DIV/0!</v>
      </c>
    </row>
    <row r="513" spans="1:28" s="1742" customFormat="1" ht="22.5" customHeight="1" thickTop="1" thickBot="1">
      <c r="A513" s="1814">
        <v>1</v>
      </c>
      <c r="B513" s="1814">
        <v>2</v>
      </c>
      <c r="C513" s="1737"/>
      <c r="D513" s="1737"/>
      <c r="E513" s="1737"/>
      <c r="F513" s="1737"/>
      <c r="G513" s="1737"/>
      <c r="H513" s="1737"/>
      <c r="I513" s="1737"/>
      <c r="J513" s="1737"/>
      <c r="K513" s="1739" t="s">
        <v>2057</v>
      </c>
      <c r="L513" s="1740">
        <f>+L514+L518</f>
        <v>2061100000</v>
      </c>
      <c r="M513" s="1740">
        <f t="shared" ref="M513:N513" si="869">+M514+M518</f>
        <v>300000000</v>
      </c>
      <c r="N513" s="1740">
        <f t="shared" si="869"/>
        <v>0</v>
      </c>
      <c r="O513" s="1740">
        <f t="shared" si="859"/>
        <v>2361100000</v>
      </c>
      <c r="P513" s="1740">
        <f t="shared" ref="P513:V513" si="870">+P514+P518</f>
        <v>2361100000</v>
      </c>
      <c r="Q513" s="1741">
        <f t="shared" ref="Q513:Q532" si="871">+P513/L513</f>
        <v>1.1455533453010529</v>
      </c>
      <c r="R513" s="1740">
        <f t="shared" si="870"/>
        <v>0</v>
      </c>
      <c r="S513" s="1741">
        <f t="shared" ref="S513:S514" si="872">+R513/L513</f>
        <v>0</v>
      </c>
      <c r="T513" s="1740">
        <f t="shared" si="870"/>
        <v>0</v>
      </c>
      <c r="U513" s="1741">
        <f t="shared" ref="U513:U514" si="873">+T513/L513</f>
        <v>0</v>
      </c>
      <c r="V513" s="1815">
        <f t="shared" si="870"/>
        <v>0</v>
      </c>
      <c r="W513" s="1741" t="e">
        <f>+V513/#REF!</f>
        <v>#REF!</v>
      </c>
      <c r="X513" s="1815">
        <f t="shared" ref="X513:Y513" si="874">+X514+X518</f>
        <v>2361100000</v>
      </c>
      <c r="Y513" s="1815">
        <f t="shared" si="874"/>
        <v>1500000000</v>
      </c>
      <c r="Z513" s="1815">
        <f>+Z514+Z518</f>
        <v>850900000</v>
      </c>
      <c r="AA513" s="1815">
        <f t="shared" si="860"/>
        <v>2350900000</v>
      </c>
      <c r="AB513" s="1871">
        <f t="shared" si="858"/>
        <v>0.9956799796704926</v>
      </c>
    </row>
    <row r="514" spans="1:28" s="1748" customFormat="1" ht="22.5" customHeight="1" thickTop="1" thickBot="1">
      <c r="A514" s="1743">
        <v>1</v>
      </c>
      <c r="B514" s="1743">
        <v>2</v>
      </c>
      <c r="C514" s="1744" t="s">
        <v>127</v>
      </c>
      <c r="D514" s="1744"/>
      <c r="E514" s="1744"/>
      <c r="F514" s="1744"/>
      <c r="G514" s="1744"/>
      <c r="H514" s="1744"/>
      <c r="I514" s="1744"/>
      <c r="J514" s="1744"/>
      <c r="K514" s="1745" t="s">
        <v>2058</v>
      </c>
      <c r="L514" s="1746">
        <f>SUM(L515:L517)</f>
        <v>2061100000</v>
      </c>
      <c r="M514" s="1746">
        <f t="shared" ref="M514:N514" si="875">SUM(M515:M517)</f>
        <v>300000000</v>
      </c>
      <c r="N514" s="1746">
        <f t="shared" si="875"/>
        <v>0</v>
      </c>
      <c r="O514" s="1746">
        <f t="shared" si="859"/>
        <v>2361100000</v>
      </c>
      <c r="P514" s="1746">
        <f t="shared" ref="P514:V514" si="876">SUM(P515:P517)</f>
        <v>2361100000</v>
      </c>
      <c r="Q514" s="1747">
        <f t="shared" si="871"/>
        <v>1.1455533453010529</v>
      </c>
      <c r="R514" s="1746">
        <f t="shared" si="876"/>
        <v>0</v>
      </c>
      <c r="S514" s="1747">
        <f t="shared" si="872"/>
        <v>0</v>
      </c>
      <c r="T514" s="1746">
        <f t="shared" si="876"/>
        <v>0</v>
      </c>
      <c r="U514" s="1747">
        <f t="shared" si="873"/>
        <v>0</v>
      </c>
      <c r="V514" s="1803">
        <f t="shared" si="876"/>
        <v>0</v>
      </c>
      <c r="W514" s="1747" t="e">
        <f>+V514/#REF!</f>
        <v>#REF!</v>
      </c>
      <c r="X514" s="1803">
        <f t="shared" ref="X514:Z514" si="877">SUM(X515:X517)</f>
        <v>2361100000</v>
      </c>
      <c r="Y514" s="1803">
        <f t="shared" si="877"/>
        <v>1500000000</v>
      </c>
      <c r="Z514" s="1803">
        <f t="shared" si="877"/>
        <v>850900000</v>
      </c>
      <c r="AA514" s="1803">
        <f t="shared" si="860"/>
        <v>2350900000</v>
      </c>
      <c r="AB514" s="1872">
        <f t="shared" si="858"/>
        <v>0.9956799796704926</v>
      </c>
    </row>
    <row r="515" spans="1:28" ht="22.5" customHeight="1" thickTop="1" thickBot="1">
      <c r="A515" s="1772">
        <v>1</v>
      </c>
      <c r="B515" s="1772">
        <v>2</v>
      </c>
      <c r="C515" s="1773" t="s">
        <v>127</v>
      </c>
      <c r="D515" s="1773" t="s">
        <v>129</v>
      </c>
      <c r="E515" s="1773"/>
      <c r="F515" s="1773"/>
      <c r="G515" s="1773"/>
      <c r="H515" s="1773"/>
      <c r="I515" s="1773"/>
      <c r="J515" s="1773"/>
      <c r="K515" s="1917" t="s">
        <v>156</v>
      </c>
      <c r="L515" s="1927">
        <v>2061100000</v>
      </c>
      <c r="M515" s="1927">
        <v>300000000</v>
      </c>
      <c r="N515" s="1927"/>
      <c r="O515" s="1927">
        <f t="shared" si="859"/>
        <v>2361100000</v>
      </c>
      <c r="P515" s="1918">
        <v>2361100000</v>
      </c>
      <c r="Q515" s="1775">
        <v>1</v>
      </c>
      <c r="R515" s="1774">
        <f>+L515*S515</f>
        <v>0</v>
      </c>
      <c r="S515" s="1775">
        <v>0</v>
      </c>
      <c r="T515" s="1774">
        <f>+L515*U515</f>
        <v>0</v>
      </c>
      <c r="U515" s="1775">
        <v>0</v>
      </c>
      <c r="V515" s="1777">
        <f>+L515*W515</f>
        <v>0</v>
      </c>
      <c r="W515" s="1775">
        <v>0</v>
      </c>
      <c r="X515" s="1777">
        <f>+P515</f>
        <v>2361100000</v>
      </c>
      <c r="Y515" s="1777">
        <f>+'[8]INGRESOS CRA OCT2022'!P66</f>
        <v>1500000000</v>
      </c>
      <c r="Z515" s="1777">
        <f>+'[8]INGRESOS CRA OCT2022'!Y66</f>
        <v>850900000</v>
      </c>
      <c r="AA515" s="1870">
        <f t="shared" si="860"/>
        <v>2350900000</v>
      </c>
      <c r="AB515" s="1877">
        <f t="shared" si="858"/>
        <v>0.9956799796704926</v>
      </c>
    </row>
    <row r="516" spans="1:28" ht="22.5" hidden="1" customHeight="1" thickTop="1" thickBot="1">
      <c r="A516" s="1772">
        <v>1</v>
      </c>
      <c r="B516" s="1772">
        <v>2</v>
      </c>
      <c r="C516" s="1773" t="s">
        <v>127</v>
      </c>
      <c r="D516" s="1773" t="s">
        <v>134</v>
      </c>
      <c r="E516" s="1773"/>
      <c r="F516" s="1773"/>
      <c r="G516" s="1773"/>
      <c r="H516" s="1773"/>
      <c r="I516" s="1773"/>
      <c r="J516" s="1773"/>
      <c r="K516" s="1776" t="s">
        <v>157</v>
      </c>
      <c r="L516" s="1774"/>
      <c r="M516" s="1774"/>
      <c r="N516" s="1774"/>
      <c r="O516" s="1774">
        <f t="shared" si="859"/>
        <v>0</v>
      </c>
      <c r="P516" s="1777"/>
      <c r="Q516" s="1775"/>
      <c r="R516" s="1777"/>
      <c r="S516" s="1775"/>
      <c r="T516" s="1777"/>
      <c r="U516" s="1775"/>
      <c r="V516" s="1777"/>
      <c r="W516" s="1775"/>
      <c r="X516" s="1777"/>
      <c r="Y516" s="1777"/>
      <c r="Z516" s="1777"/>
      <c r="AA516" s="1777">
        <f t="shared" si="860"/>
        <v>0</v>
      </c>
      <c r="AB516" s="1877" t="e">
        <f t="shared" si="858"/>
        <v>#DIV/0!</v>
      </c>
    </row>
    <row r="517" spans="1:28" ht="22.5" hidden="1" customHeight="1" thickTop="1" thickBot="1">
      <c r="A517" s="1772">
        <v>1</v>
      </c>
      <c r="B517" s="1772">
        <v>2</v>
      </c>
      <c r="C517" s="1773" t="s">
        <v>127</v>
      </c>
      <c r="D517" s="1773" t="s">
        <v>139</v>
      </c>
      <c r="E517" s="1773"/>
      <c r="F517" s="1773"/>
      <c r="G517" s="1773"/>
      <c r="H517" s="1773"/>
      <c r="I517" s="1773"/>
      <c r="J517" s="1773"/>
      <c r="K517" s="1776" t="s">
        <v>158</v>
      </c>
      <c r="L517" s="1774"/>
      <c r="M517" s="1774">
        <f t="shared" ref="M517" si="878">+M518+M522+M523</f>
        <v>0</v>
      </c>
      <c r="N517" s="1774"/>
      <c r="O517" s="1774">
        <f t="shared" si="859"/>
        <v>0</v>
      </c>
      <c r="P517" s="1777"/>
      <c r="Q517" s="1775"/>
      <c r="R517" s="1777"/>
      <c r="S517" s="1775"/>
      <c r="T517" s="1777"/>
      <c r="U517" s="1775"/>
      <c r="V517" s="1777"/>
      <c r="W517" s="1775"/>
      <c r="X517" s="1777"/>
      <c r="Y517" s="1777"/>
      <c r="Z517" s="1777"/>
      <c r="AA517" s="1777">
        <f t="shared" si="860"/>
        <v>0</v>
      </c>
      <c r="AB517" s="1877" t="e">
        <f t="shared" si="858"/>
        <v>#DIV/0!</v>
      </c>
    </row>
    <row r="518" spans="1:28" s="1748" customFormat="1" ht="22.5" customHeight="1" thickTop="1" thickBot="1">
      <c r="A518" s="1743">
        <v>1</v>
      </c>
      <c r="B518" s="1743">
        <v>2</v>
      </c>
      <c r="C518" s="1744" t="s">
        <v>209</v>
      </c>
      <c r="D518" s="1744"/>
      <c r="E518" s="1744"/>
      <c r="F518" s="1744"/>
      <c r="G518" s="1744"/>
      <c r="H518" s="1744"/>
      <c r="I518" s="1744"/>
      <c r="J518" s="1744"/>
      <c r="K518" s="1923" t="s">
        <v>952</v>
      </c>
      <c r="L518" s="1922">
        <v>0</v>
      </c>
      <c r="M518" s="1922"/>
      <c r="N518" s="1922"/>
      <c r="O518" s="1922">
        <f t="shared" si="859"/>
        <v>0</v>
      </c>
      <c r="P518" s="1746">
        <f>+L518*Q518</f>
        <v>0</v>
      </c>
      <c r="Q518" s="1747">
        <v>0</v>
      </c>
      <c r="R518" s="1922">
        <f>+L518*S518</f>
        <v>0</v>
      </c>
      <c r="S518" s="1747">
        <v>1</v>
      </c>
      <c r="T518" s="1746">
        <f>+L518*U518</f>
        <v>0</v>
      </c>
      <c r="U518" s="1747">
        <v>0</v>
      </c>
      <c r="V518" s="1803">
        <f>+L518*W518</f>
        <v>0</v>
      </c>
      <c r="W518" s="1747">
        <v>0</v>
      </c>
      <c r="X518" s="1803">
        <f>+O518</f>
        <v>0</v>
      </c>
      <c r="Y518" s="1803">
        <f>+'[8]INGRESOS CRA OCT2022'!P67</f>
        <v>0</v>
      </c>
      <c r="Z518" s="1803"/>
      <c r="AA518" s="1921">
        <f t="shared" si="860"/>
        <v>0</v>
      </c>
      <c r="AB518" s="1872" t="e">
        <f t="shared" si="858"/>
        <v>#DIV/0!</v>
      </c>
    </row>
    <row r="519" spans="1:28" s="1742" customFormat="1" ht="19.5" customHeight="1" thickTop="1" thickBot="1">
      <c r="A519" s="1814">
        <v>1</v>
      </c>
      <c r="B519" s="1814">
        <v>3</v>
      </c>
      <c r="C519" s="1737"/>
      <c r="D519" s="1737"/>
      <c r="E519" s="1737"/>
      <c r="F519" s="1737"/>
      <c r="G519" s="1737"/>
      <c r="H519" s="1737"/>
      <c r="I519" s="1737"/>
      <c r="J519" s="1737"/>
      <c r="K519" s="1739" t="s">
        <v>2059</v>
      </c>
      <c r="L519" s="1740">
        <f>+L520+L524</f>
        <v>0</v>
      </c>
      <c r="M519" s="1740">
        <f t="shared" ref="M519:N519" si="879">+M520+M524</f>
        <v>0</v>
      </c>
      <c r="N519" s="1740">
        <f t="shared" si="879"/>
        <v>0</v>
      </c>
      <c r="O519" s="1740">
        <f t="shared" si="859"/>
        <v>0</v>
      </c>
      <c r="P519" s="1815">
        <f t="shared" ref="P519:V519" si="880">+P520+P524</f>
        <v>0</v>
      </c>
      <c r="Q519" s="1741" t="e">
        <f t="shared" si="871"/>
        <v>#DIV/0!</v>
      </c>
      <c r="R519" s="1815">
        <f t="shared" si="880"/>
        <v>0</v>
      </c>
      <c r="S519" s="1741" t="e">
        <f>+R519/#REF!</f>
        <v>#REF!</v>
      </c>
      <c r="T519" s="1815">
        <f t="shared" si="880"/>
        <v>0</v>
      </c>
      <c r="U519" s="1741" t="e">
        <f>+T519/#REF!</f>
        <v>#REF!</v>
      </c>
      <c r="V519" s="1815">
        <f t="shared" si="880"/>
        <v>0</v>
      </c>
      <c r="W519" s="1741" t="e">
        <f>+V519/#REF!</f>
        <v>#REF!</v>
      </c>
      <c r="X519" s="1815">
        <f t="shared" ref="X519:Z519" si="881">+X520+X524</f>
        <v>0</v>
      </c>
      <c r="Y519" s="1815">
        <f t="shared" si="881"/>
        <v>0</v>
      </c>
      <c r="Z519" s="1815">
        <f t="shared" si="881"/>
        <v>0</v>
      </c>
      <c r="AA519" s="1815">
        <f t="shared" si="860"/>
        <v>0</v>
      </c>
      <c r="AB519" s="1871" t="e">
        <f t="shared" si="858"/>
        <v>#DIV/0!</v>
      </c>
    </row>
    <row r="520" spans="1:28" s="1748" customFormat="1" ht="18.75" customHeight="1" thickTop="1" thickBot="1">
      <c r="A520" s="1743">
        <v>1</v>
      </c>
      <c r="B520" s="1743">
        <v>3</v>
      </c>
      <c r="C520" s="1744" t="s">
        <v>127</v>
      </c>
      <c r="D520" s="1744"/>
      <c r="E520" s="1744"/>
      <c r="F520" s="1744"/>
      <c r="G520" s="1744"/>
      <c r="H520" s="1744"/>
      <c r="I520" s="1744"/>
      <c r="J520" s="1744"/>
      <c r="K520" s="1745" t="s">
        <v>159</v>
      </c>
      <c r="L520" s="1746">
        <f>SUM(L521:L523)</f>
        <v>0</v>
      </c>
      <c r="M520" s="1746">
        <f t="shared" ref="M520:N520" si="882">SUM(M521:M523)</f>
        <v>0</v>
      </c>
      <c r="N520" s="1746">
        <f t="shared" si="882"/>
        <v>0</v>
      </c>
      <c r="O520" s="1746">
        <f t="shared" si="859"/>
        <v>0</v>
      </c>
      <c r="P520" s="1803">
        <f t="shared" ref="P520:V520" si="883">SUM(P521:P523)</f>
        <v>0</v>
      </c>
      <c r="Q520" s="1747" t="e">
        <f t="shared" si="871"/>
        <v>#DIV/0!</v>
      </c>
      <c r="R520" s="1803">
        <f t="shared" si="883"/>
        <v>0</v>
      </c>
      <c r="S520" s="1747" t="e">
        <f>+R520/#REF!</f>
        <v>#REF!</v>
      </c>
      <c r="T520" s="1803">
        <f t="shared" si="883"/>
        <v>0</v>
      </c>
      <c r="U520" s="1747" t="e">
        <f>+T520/#REF!</f>
        <v>#REF!</v>
      </c>
      <c r="V520" s="1803">
        <f t="shared" si="883"/>
        <v>0</v>
      </c>
      <c r="W520" s="1747" t="e">
        <f>+V520/#REF!</f>
        <v>#REF!</v>
      </c>
      <c r="X520" s="1803">
        <f t="shared" ref="X520:Z520" si="884">SUM(X521:X523)</f>
        <v>0</v>
      </c>
      <c r="Y520" s="1803">
        <f t="shared" si="884"/>
        <v>0</v>
      </c>
      <c r="Z520" s="1803">
        <f t="shared" si="884"/>
        <v>0</v>
      </c>
      <c r="AA520" s="1803">
        <f t="shared" si="860"/>
        <v>0</v>
      </c>
      <c r="AB520" s="1872" t="e">
        <f t="shared" ref="AB520:AB532" si="885">+AA520/X520</f>
        <v>#DIV/0!</v>
      </c>
    </row>
    <row r="521" spans="1:28" ht="16.5" customHeight="1" thickTop="1" thickBot="1">
      <c r="A521" s="1772">
        <v>1</v>
      </c>
      <c r="B521" s="1772">
        <v>3</v>
      </c>
      <c r="C521" s="1773" t="s">
        <v>127</v>
      </c>
      <c r="D521" s="1773" t="s">
        <v>129</v>
      </c>
      <c r="E521" s="1773"/>
      <c r="F521" s="1773"/>
      <c r="G521" s="1773"/>
      <c r="H521" s="1773"/>
      <c r="I521" s="1773"/>
      <c r="J521" s="1773"/>
      <c r="K521" s="1776" t="s">
        <v>160</v>
      </c>
      <c r="L521" s="1774"/>
      <c r="M521" s="1774"/>
      <c r="N521" s="1774"/>
      <c r="O521" s="1774">
        <f t="shared" ref="O521:O532" si="886">+L521+M521-N521</f>
        <v>0</v>
      </c>
      <c r="P521" s="1777"/>
      <c r="Q521" s="1775" t="e">
        <f t="shared" si="871"/>
        <v>#DIV/0!</v>
      </c>
      <c r="R521" s="1777"/>
      <c r="S521" s="1775" t="e">
        <f>+R521/#REF!</f>
        <v>#REF!</v>
      </c>
      <c r="T521" s="1777"/>
      <c r="U521" s="1775" t="e">
        <f>+T521/#REF!</f>
        <v>#REF!</v>
      </c>
      <c r="V521" s="1777"/>
      <c r="W521" s="1775" t="e">
        <f>+V521/#REF!</f>
        <v>#REF!</v>
      </c>
      <c r="X521" s="1777"/>
      <c r="Y521" s="1777"/>
      <c r="Z521" s="1777"/>
      <c r="AA521" s="1777">
        <f t="shared" ref="AA521:AA532" si="887">+Y521+Z521</f>
        <v>0</v>
      </c>
      <c r="AB521" s="1877" t="e">
        <f t="shared" si="885"/>
        <v>#DIV/0!</v>
      </c>
    </row>
    <row r="522" spans="1:28" ht="14.25" customHeight="1" thickTop="1" thickBot="1">
      <c r="A522" s="1772">
        <v>1</v>
      </c>
      <c r="B522" s="1772">
        <v>3</v>
      </c>
      <c r="C522" s="1773" t="s">
        <v>127</v>
      </c>
      <c r="D522" s="1773" t="s">
        <v>134</v>
      </c>
      <c r="E522" s="1773"/>
      <c r="F522" s="1773"/>
      <c r="G522" s="1773"/>
      <c r="H522" s="1773"/>
      <c r="I522" s="1773"/>
      <c r="J522" s="1773"/>
      <c r="K522" s="1776" t="s">
        <v>161</v>
      </c>
      <c r="L522" s="1774"/>
      <c r="M522" s="1774"/>
      <c r="N522" s="1774"/>
      <c r="O522" s="1774">
        <f t="shared" si="886"/>
        <v>0</v>
      </c>
      <c r="P522" s="1777"/>
      <c r="Q522" s="1775" t="e">
        <f t="shared" si="871"/>
        <v>#DIV/0!</v>
      </c>
      <c r="R522" s="1777"/>
      <c r="S522" s="1775" t="e">
        <f>+R522/#REF!</f>
        <v>#REF!</v>
      </c>
      <c r="T522" s="1777"/>
      <c r="U522" s="1775" t="e">
        <f>+T522/#REF!</f>
        <v>#REF!</v>
      </c>
      <c r="V522" s="1777"/>
      <c r="W522" s="1775" t="e">
        <f>+V522/#REF!</f>
        <v>#REF!</v>
      </c>
      <c r="X522" s="1777"/>
      <c r="Y522" s="1777"/>
      <c r="Z522" s="1777"/>
      <c r="AA522" s="1777">
        <f t="shared" si="887"/>
        <v>0</v>
      </c>
      <c r="AB522" s="1877" t="e">
        <f t="shared" si="885"/>
        <v>#DIV/0!</v>
      </c>
    </row>
    <row r="523" spans="1:28" ht="16.5" customHeight="1" thickTop="1" thickBot="1">
      <c r="A523" s="1772">
        <v>1</v>
      </c>
      <c r="B523" s="1772">
        <v>3</v>
      </c>
      <c r="C523" s="1773" t="s">
        <v>127</v>
      </c>
      <c r="D523" s="1773" t="s">
        <v>139</v>
      </c>
      <c r="E523" s="1773"/>
      <c r="F523" s="1773"/>
      <c r="G523" s="1773"/>
      <c r="H523" s="1773"/>
      <c r="I523" s="1773"/>
      <c r="J523" s="1773"/>
      <c r="K523" s="1776" t="s">
        <v>162</v>
      </c>
      <c r="L523" s="1774"/>
      <c r="M523" s="1774"/>
      <c r="N523" s="1774"/>
      <c r="O523" s="1774">
        <f t="shared" si="886"/>
        <v>0</v>
      </c>
      <c r="P523" s="1777"/>
      <c r="Q523" s="1775" t="e">
        <f t="shared" si="871"/>
        <v>#DIV/0!</v>
      </c>
      <c r="R523" s="1777"/>
      <c r="S523" s="1775" t="e">
        <f>+R523/#REF!</f>
        <v>#REF!</v>
      </c>
      <c r="T523" s="1777"/>
      <c r="U523" s="1775" t="e">
        <f>+T523/#REF!</f>
        <v>#REF!</v>
      </c>
      <c r="V523" s="1777"/>
      <c r="W523" s="1775" t="e">
        <f>+V523/#REF!</f>
        <v>#REF!</v>
      </c>
      <c r="X523" s="1777"/>
      <c r="Y523" s="1777"/>
      <c r="Z523" s="1777"/>
      <c r="AA523" s="1777">
        <f t="shared" si="887"/>
        <v>0</v>
      </c>
      <c r="AB523" s="1877" t="e">
        <f t="shared" si="885"/>
        <v>#DIV/0!</v>
      </c>
    </row>
    <row r="524" spans="1:28" s="1748" customFormat="1" ht="25.5" customHeight="1" thickTop="1" thickBot="1">
      <c r="A524" s="1743">
        <v>1</v>
      </c>
      <c r="B524" s="1743">
        <v>3</v>
      </c>
      <c r="C524" s="1744" t="s">
        <v>209</v>
      </c>
      <c r="D524" s="1744"/>
      <c r="E524" s="1744"/>
      <c r="F524" s="1744"/>
      <c r="G524" s="1744"/>
      <c r="H524" s="1744"/>
      <c r="I524" s="1744"/>
      <c r="J524" s="1744"/>
      <c r="K524" s="1745" t="s">
        <v>163</v>
      </c>
      <c r="L524" s="1746"/>
      <c r="M524" s="1746"/>
      <c r="N524" s="1746"/>
      <c r="O524" s="1746">
        <f t="shared" si="886"/>
        <v>0</v>
      </c>
      <c r="P524" s="1803"/>
      <c r="Q524" s="1747" t="e">
        <f t="shared" si="871"/>
        <v>#DIV/0!</v>
      </c>
      <c r="R524" s="1803"/>
      <c r="S524" s="1747" t="e">
        <f>+R524/#REF!</f>
        <v>#REF!</v>
      </c>
      <c r="T524" s="1803"/>
      <c r="U524" s="1747" t="e">
        <f>+T524/#REF!</f>
        <v>#REF!</v>
      </c>
      <c r="V524" s="1803"/>
      <c r="W524" s="1747" t="e">
        <f>+V524/#REF!</f>
        <v>#REF!</v>
      </c>
      <c r="X524" s="1803"/>
      <c r="Y524" s="1803"/>
      <c r="Z524" s="1803"/>
      <c r="AA524" s="1803">
        <f t="shared" si="887"/>
        <v>0</v>
      </c>
      <c r="AB524" s="1872" t="e">
        <f t="shared" si="885"/>
        <v>#DIV/0!</v>
      </c>
    </row>
    <row r="525" spans="1:28" s="1742" customFormat="1" ht="21" customHeight="1" thickTop="1" thickBot="1">
      <c r="A525" s="1814">
        <v>1</v>
      </c>
      <c r="B525" s="1814">
        <v>4</v>
      </c>
      <c r="C525" s="1737"/>
      <c r="D525" s="1737"/>
      <c r="E525" s="1737"/>
      <c r="F525" s="1737"/>
      <c r="G525" s="1737"/>
      <c r="H525" s="1737"/>
      <c r="I525" s="1737"/>
      <c r="J525" s="1737"/>
      <c r="K525" s="1739" t="s">
        <v>164</v>
      </c>
      <c r="L525" s="1922">
        <v>5221806239</v>
      </c>
      <c r="M525" s="1740"/>
      <c r="N525" s="1740"/>
      <c r="O525" s="1740">
        <f t="shared" si="886"/>
        <v>5221806239</v>
      </c>
      <c r="P525" s="1815"/>
      <c r="Q525" s="1741">
        <f t="shared" si="871"/>
        <v>0</v>
      </c>
      <c r="R525" s="1815">
        <v>5221806239</v>
      </c>
      <c r="S525" s="1741" t="e">
        <f>+R525/#REF!</f>
        <v>#REF!</v>
      </c>
      <c r="T525" s="1815"/>
      <c r="U525" s="1741" t="e">
        <f>+T525/#REF!</f>
        <v>#REF!</v>
      </c>
      <c r="V525" s="1815"/>
      <c r="W525" s="1741" t="e">
        <f>+V525/#REF!</f>
        <v>#REF!</v>
      </c>
      <c r="X525" s="1815"/>
      <c r="Y525" s="1815"/>
      <c r="Z525" s="1815">
        <v>5173560845</v>
      </c>
      <c r="AA525" s="1815">
        <f t="shared" si="887"/>
        <v>5173560845</v>
      </c>
      <c r="AB525" s="1871" t="e">
        <f t="shared" si="885"/>
        <v>#DIV/0!</v>
      </c>
    </row>
    <row r="526" spans="1:28" s="1742" customFormat="1" ht="16.5" customHeight="1" thickTop="1" thickBot="1">
      <c r="A526" s="1814">
        <v>1</v>
      </c>
      <c r="B526" s="1814" t="s">
        <v>2060</v>
      </c>
      <c r="C526" s="1737"/>
      <c r="D526" s="1737"/>
      <c r="E526" s="1737"/>
      <c r="F526" s="1737"/>
      <c r="G526" s="1737"/>
      <c r="H526" s="1737"/>
      <c r="I526" s="1737"/>
      <c r="J526" s="1737"/>
      <c r="K526" s="1739" t="s">
        <v>165</v>
      </c>
      <c r="L526" s="1740">
        <f>+L527+L531+L532</f>
        <v>0</v>
      </c>
      <c r="M526" s="1740">
        <f t="shared" ref="M526:N526" si="888">+M527+M531+M532</f>
        <v>0</v>
      </c>
      <c r="N526" s="1740">
        <f t="shared" si="888"/>
        <v>0</v>
      </c>
      <c r="O526" s="1740">
        <f t="shared" si="886"/>
        <v>0</v>
      </c>
      <c r="P526" s="1815">
        <f t="shared" ref="P526:V526" si="889">+P527+P531+P532</f>
        <v>0</v>
      </c>
      <c r="Q526" s="1741" t="e">
        <f t="shared" si="871"/>
        <v>#DIV/0!</v>
      </c>
      <c r="R526" s="1815">
        <f t="shared" si="889"/>
        <v>0</v>
      </c>
      <c r="S526" s="1741" t="e">
        <f>+R526/#REF!</f>
        <v>#REF!</v>
      </c>
      <c r="T526" s="1815">
        <f t="shared" si="889"/>
        <v>0</v>
      </c>
      <c r="U526" s="1741" t="e">
        <f>+T526/#REF!</f>
        <v>#REF!</v>
      </c>
      <c r="V526" s="1815">
        <f t="shared" si="889"/>
        <v>0</v>
      </c>
      <c r="W526" s="1741" t="e">
        <f>+V526/#REF!</f>
        <v>#REF!</v>
      </c>
      <c r="X526" s="1815">
        <f t="shared" ref="X526:Z526" si="890">+X527+X531+X532</f>
        <v>0</v>
      </c>
      <c r="Y526" s="1815">
        <f t="shared" si="890"/>
        <v>0</v>
      </c>
      <c r="Z526" s="1815">
        <f t="shared" si="890"/>
        <v>0</v>
      </c>
      <c r="AA526" s="1815">
        <f t="shared" si="887"/>
        <v>0</v>
      </c>
      <c r="AB526" s="1871" t="e">
        <f t="shared" si="885"/>
        <v>#DIV/0!</v>
      </c>
    </row>
    <row r="527" spans="1:28" s="1748" customFormat="1" ht="20.25" customHeight="1" thickTop="1" thickBot="1">
      <c r="A527" s="1743">
        <v>1</v>
      </c>
      <c r="B527" s="1743" t="s">
        <v>2060</v>
      </c>
      <c r="C527" s="1744" t="s">
        <v>127</v>
      </c>
      <c r="D527" s="1744"/>
      <c r="E527" s="1744"/>
      <c r="F527" s="1744"/>
      <c r="G527" s="1744"/>
      <c r="H527" s="1744"/>
      <c r="I527" s="1744"/>
      <c r="J527" s="1744"/>
      <c r="K527" s="1745" t="s">
        <v>166</v>
      </c>
      <c r="L527" s="1746">
        <f>SUM(L528:L530)</f>
        <v>0</v>
      </c>
      <c r="M527" s="1746">
        <f t="shared" ref="M527:N527" si="891">SUM(M528:M530)</f>
        <v>0</v>
      </c>
      <c r="N527" s="1746">
        <f t="shared" si="891"/>
        <v>0</v>
      </c>
      <c r="O527" s="1746">
        <f t="shared" si="886"/>
        <v>0</v>
      </c>
      <c r="P527" s="1803">
        <f t="shared" ref="P527:V527" si="892">SUM(P528:P530)</f>
        <v>0</v>
      </c>
      <c r="Q527" s="1747" t="e">
        <f t="shared" si="871"/>
        <v>#DIV/0!</v>
      </c>
      <c r="R527" s="1803">
        <f t="shared" si="892"/>
        <v>0</v>
      </c>
      <c r="S527" s="1747" t="e">
        <f>+R527/#REF!</f>
        <v>#REF!</v>
      </c>
      <c r="T527" s="1803">
        <f t="shared" si="892"/>
        <v>0</v>
      </c>
      <c r="U527" s="1747" t="e">
        <f>+T527/#REF!</f>
        <v>#REF!</v>
      </c>
      <c r="V527" s="1803">
        <f t="shared" si="892"/>
        <v>0</v>
      </c>
      <c r="W527" s="1747" t="e">
        <f>+V527/#REF!</f>
        <v>#REF!</v>
      </c>
      <c r="X527" s="1803">
        <f t="shared" ref="X527:Z527" si="893">SUM(X528:X530)</f>
        <v>0</v>
      </c>
      <c r="Y527" s="1803">
        <f t="shared" si="893"/>
        <v>0</v>
      </c>
      <c r="Z527" s="1803">
        <f t="shared" si="893"/>
        <v>0</v>
      </c>
      <c r="AA527" s="1803">
        <f t="shared" si="887"/>
        <v>0</v>
      </c>
      <c r="AB527" s="1872" t="e">
        <f t="shared" si="885"/>
        <v>#DIV/0!</v>
      </c>
    </row>
    <row r="528" spans="1:28" ht="26.25" customHeight="1" thickTop="1" thickBot="1">
      <c r="A528" s="1772">
        <v>1</v>
      </c>
      <c r="B528" s="1773" t="s">
        <v>2060</v>
      </c>
      <c r="C528" s="1773" t="s">
        <v>127</v>
      </c>
      <c r="D528" s="1773" t="s">
        <v>129</v>
      </c>
      <c r="E528" s="1773"/>
      <c r="F528" s="1773"/>
      <c r="G528" s="1773"/>
      <c r="H528" s="1773"/>
      <c r="I528" s="1773"/>
      <c r="J528" s="1773"/>
      <c r="K528" s="1776" t="s">
        <v>2061</v>
      </c>
      <c r="L528" s="1774"/>
      <c r="M528" s="1774"/>
      <c r="N528" s="1774"/>
      <c r="O528" s="1774">
        <f t="shared" si="886"/>
        <v>0</v>
      </c>
      <c r="P528" s="1777"/>
      <c r="Q528" s="1775" t="e">
        <f t="shared" si="871"/>
        <v>#DIV/0!</v>
      </c>
      <c r="R528" s="1777"/>
      <c r="S528" s="1775" t="e">
        <f>+R528/#REF!</f>
        <v>#REF!</v>
      </c>
      <c r="T528" s="1777"/>
      <c r="U528" s="1775" t="e">
        <f>+T528/#REF!</f>
        <v>#REF!</v>
      </c>
      <c r="V528" s="1777"/>
      <c r="W528" s="1775" t="e">
        <f>+V528/#REF!</f>
        <v>#REF!</v>
      </c>
      <c r="X528" s="1777"/>
      <c r="Y528" s="1777"/>
      <c r="Z528" s="1777"/>
      <c r="AA528" s="1777">
        <f t="shared" si="887"/>
        <v>0</v>
      </c>
      <c r="AB528" s="1877" t="e">
        <f t="shared" si="885"/>
        <v>#DIV/0!</v>
      </c>
    </row>
    <row r="529" spans="1:28" ht="26.25" customHeight="1" thickTop="1" thickBot="1">
      <c r="A529" s="1772">
        <v>1</v>
      </c>
      <c r="B529" s="1773" t="s">
        <v>2060</v>
      </c>
      <c r="C529" s="1773" t="s">
        <v>127</v>
      </c>
      <c r="D529" s="1773" t="s">
        <v>134</v>
      </c>
      <c r="E529" s="1773"/>
      <c r="F529" s="1773"/>
      <c r="G529" s="1773"/>
      <c r="H529" s="1773"/>
      <c r="I529" s="1773"/>
      <c r="J529" s="1773"/>
      <c r="K529" s="1776" t="s">
        <v>2062</v>
      </c>
      <c r="L529" s="1774"/>
      <c r="M529" s="1774"/>
      <c r="N529" s="1774"/>
      <c r="O529" s="1774">
        <f t="shared" si="886"/>
        <v>0</v>
      </c>
      <c r="P529" s="1777"/>
      <c r="Q529" s="1775" t="e">
        <f t="shared" si="871"/>
        <v>#DIV/0!</v>
      </c>
      <c r="R529" s="1777"/>
      <c r="S529" s="1775" t="e">
        <f>+R529/#REF!</f>
        <v>#REF!</v>
      </c>
      <c r="T529" s="1777"/>
      <c r="U529" s="1775" t="e">
        <f>+T529/#REF!</f>
        <v>#REF!</v>
      </c>
      <c r="V529" s="1777"/>
      <c r="W529" s="1775" t="e">
        <f>+V529/#REF!</f>
        <v>#REF!</v>
      </c>
      <c r="X529" s="1777"/>
      <c r="Y529" s="1777"/>
      <c r="Z529" s="1777"/>
      <c r="AA529" s="1777">
        <f t="shared" si="887"/>
        <v>0</v>
      </c>
      <c r="AB529" s="1877" t="e">
        <f t="shared" si="885"/>
        <v>#DIV/0!</v>
      </c>
    </row>
    <row r="530" spans="1:28" ht="19.5" customHeight="1" thickTop="1" thickBot="1">
      <c r="A530" s="1772">
        <v>1</v>
      </c>
      <c r="B530" s="1773" t="s">
        <v>2060</v>
      </c>
      <c r="C530" s="1773" t="s">
        <v>127</v>
      </c>
      <c r="D530" s="1773" t="s">
        <v>139</v>
      </c>
      <c r="E530" s="1773"/>
      <c r="F530" s="1773"/>
      <c r="G530" s="1773"/>
      <c r="H530" s="1773"/>
      <c r="I530" s="1773"/>
      <c r="J530" s="1773"/>
      <c r="K530" s="1776" t="s">
        <v>2063</v>
      </c>
      <c r="L530" s="1774"/>
      <c r="M530" s="1774"/>
      <c r="N530" s="1774"/>
      <c r="O530" s="1774">
        <f t="shared" si="886"/>
        <v>0</v>
      </c>
      <c r="P530" s="1777"/>
      <c r="Q530" s="1775" t="e">
        <f t="shared" si="871"/>
        <v>#DIV/0!</v>
      </c>
      <c r="R530" s="1777"/>
      <c r="S530" s="1775" t="e">
        <f>+R530/#REF!</f>
        <v>#REF!</v>
      </c>
      <c r="T530" s="1777"/>
      <c r="U530" s="1775" t="e">
        <f>+T530/#REF!</f>
        <v>#REF!</v>
      </c>
      <c r="V530" s="1777"/>
      <c r="W530" s="1775" t="e">
        <f>+V530/#REF!</f>
        <v>#REF!</v>
      </c>
      <c r="X530" s="1777"/>
      <c r="Y530" s="1777"/>
      <c r="Z530" s="1777"/>
      <c r="AA530" s="1777">
        <f t="shared" si="887"/>
        <v>0</v>
      </c>
      <c r="AB530" s="1877" t="e">
        <f t="shared" si="885"/>
        <v>#DIV/0!</v>
      </c>
    </row>
    <row r="531" spans="1:28" s="1748" customFormat="1" ht="24" customHeight="1" thickTop="1" thickBot="1">
      <c r="A531" s="1743">
        <v>1</v>
      </c>
      <c r="B531" s="1743" t="s">
        <v>2060</v>
      </c>
      <c r="C531" s="1744" t="s">
        <v>209</v>
      </c>
      <c r="D531" s="1744"/>
      <c r="E531" s="1744"/>
      <c r="F531" s="1744"/>
      <c r="G531" s="1744"/>
      <c r="H531" s="1744"/>
      <c r="I531" s="1744"/>
      <c r="J531" s="1744"/>
      <c r="K531" s="1745" t="s">
        <v>167</v>
      </c>
      <c r="L531" s="1746"/>
      <c r="M531" s="1746"/>
      <c r="N531" s="1746"/>
      <c r="O531" s="1746">
        <f t="shared" si="886"/>
        <v>0</v>
      </c>
      <c r="P531" s="1803"/>
      <c r="Q531" s="1747" t="e">
        <f t="shared" si="871"/>
        <v>#DIV/0!</v>
      </c>
      <c r="R531" s="1803"/>
      <c r="S531" s="1747" t="e">
        <f>+R531/#REF!</f>
        <v>#REF!</v>
      </c>
      <c r="T531" s="1803"/>
      <c r="U531" s="1747" t="e">
        <f>+T531/#REF!</f>
        <v>#REF!</v>
      </c>
      <c r="V531" s="1803"/>
      <c r="W531" s="1747" t="e">
        <f>+V531/#REF!</f>
        <v>#REF!</v>
      </c>
      <c r="X531" s="1803"/>
      <c r="Y531" s="1803"/>
      <c r="Z531" s="1803"/>
      <c r="AA531" s="1803">
        <f t="shared" si="887"/>
        <v>0</v>
      </c>
      <c r="AB531" s="1872" t="e">
        <f t="shared" si="885"/>
        <v>#DIV/0!</v>
      </c>
    </row>
    <row r="532" spans="1:28" s="1748" customFormat="1" ht="16.5" customHeight="1" thickTop="1" thickBot="1">
      <c r="A532" s="1743">
        <v>1</v>
      </c>
      <c r="B532" s="1743" t="s">
        <v>2060</v>
      </c>
      <c r="C532" s="1744" t="s">
        <v>1622</v>
      </c>
      <c r="D532" s="1744"/>
      <c r="E532" s="1744"/>
      <c r="F532" s="1744"/>
      <c r="G532" s="1744"/>
      <c r="H532" s="1744"/>
      <c r="I532" s="1744"/>
      <c r="J532" s="1744"/>
      <c r="K532" s="1745" t="s">
        <v>168</v>
      </c>
      <c r="L532" s="1746"/>
      <c r="M532" s="1746"/>
      <c r="N532" s="1746"/>
      <c r="O532" s="1746">
        <f t="shared" si="886"/>
        <v>0</v>
      </c>
      <c r="P532" s="1803"/>
      <c r="Q532" s="1747" t="e">
        <f t="shared" si="871"/>
        <v>#DIV/0!</v>
      </c>
      <c r="R532" s="1803"/>
      <c r="S532" s="1747" t="e">
        <f>+R532/#REF!</f>
        <v>#REF!</v>
      </c>
      <c r="T532" s="1803"/>
      <c r="U532" s="1747" t="e">
        <f>+T532/#REF!</f>
        <v>#REF!</v>
      </c>
      <c r="V532" s="1803"/>
      <c r="W532" s="1747" t="e">
        <f>+V532/#REF!</f>
        <v>#REF!</v>
      </c>
      <c r="X532" s="1803"/>
      <c r="Y532" s="1803"/>
      <c r="Z532" s="1803"/>
      <c r="AA532" s="1803">
        <f t="shared" si="887"/>
        <v>0</v>
      </c>
      <c r="AB532" s="1872" t="e">
        <f t="shared" si="885"/>
        <v>#DIV/0!</v>
      </c>
    </row>
    <row r="533" spans="1:28" ht="22.5" customHeight="1" thickTop="1">
      <c r="A533" s="1816"/>
      <c r="B533" s="1816"/>
      <c r="C533" s="1817"/>
      <c r="D533" s="1817"/>
      <c r="E533" s="1817"/>
      <c r="F533" s="1817"/>
      <c r="G533" s="1817"/>
      <c r="H533" s="1817"/>
      <c r="I533" s="1817"/>
      <c r="J533" s="1817"/>
      <c r="K533" s="1818"/>
      <c r="L533" s="1819"/>
      <c r="M533" s="1819"/>
      <c r="N533" s="1819"/>
      <c r="O533" s="1819"/>
      <c r="P533" s="1820"/>
      <c r="Q533" s="1820"/>
      <c r="R533" s="1820"/>
      <c r="S533" s="1820"/>
      <c r="T533" s="1820"/>
      <c r="U533" s="1820"/>
      <c r="V533" s="1820"/>
    </row>
    <row r="534" spans="1:28" ht="22.5" customHeight="1">
      <c r="A534" s="1819" t="s">
        <v>2064</v>
      </c>
      <c r="B534" s="1817"/>
      <c r="C534" s="1817"/>
      <c r="D534" s="1817"/>
      <c r="E534" s="1817"/>
      <c r="F534" s="1817"/>
      <c r="G534" s="1817"/>
      <c r="H534" s="1817"/>
      <c r="I534" s="1817"/>
      <c r="J534" s="1817"/>
      <c r="K534" s="1818" t="s">
        <v>2065</v>
      </c>
      <c r="L534" s="1821">
        <f>SUBTOTAL(9,P534:V534)</f>
        <v>164212926417</v>
      </c>
      <c r="P534" s="1819">
        <v>8676222917.625</v>
      </c>
      <c r="Q534" s="1820"/>
      <c r="R534" s="1819">
        <v>143527228881.57501</v>
      </c>
      <c r="S534" s="1820"/>
      <c r="T534" s="1819">
        <v>4953759397.8000002</v>
      </c>
      <c r="U534" s="1820"/>
      <c r="V534" s="1819">
        <v>7055715220</v>
      </c>
    </row>
    <row r="535" spans="1:28" ht="22.5" customHeight="1">
      <c r="A535" s="1816"/>
      <c r="B535" s="1816"/>
      <c r="C535" s="1817"/>
      <c r="D535" s="1817"/>
      <c r="E535" s="1817"/>
      <c r="F535" s="1817"/>
      <c r="G535" s="1817"/>
      <c r="H535" s="1817"/>
      <c r="I535" s="1817"/>
      <c r="J535" s="1817"/>
      <c r="K535" s="1818"/>
      <c r="L535" s="1820">
        <f>+L534-L7</f>
        <v>0.420013427734375</v>
      </c>
      <c r="M535" s="1820"/>
      <c r="N535" s="1820"/>
      <c r="O535" s="1820"/>
      <c r="P535" s="1820">
        <f>+P534-P7</f>
        <v>-658134918.375</v>
      </c>
      <c r="R535" s="1820">
        <f>+R534-R7</f>
        <v>-11912277256.445007</v>
      </c>
      <c r="S535" s="1820"/>
      <c r="T535" s="1820">
        <f>+T534-T7</f>
        <v>358134918.74600029</v>
      </c>
      <c r="U535" s="1820"/>
      <c r="V535" s="1820">
        <f>+V534-V7</f>
        <v>0</v>
      </c>
    </row>
    <row r="536" spans="1:28" ht="22.5" customHeight="1">
      <c r="A536" s="1816"/>
      <c r="B536" s="1816"/>
      <c r="C536" s="1817"/>
      <c r="D536" s="1817"/>
      <c r="E536" s="1817"/>
      <c r="F536" s="1817"/>
      <c r="G536" s="1817"/>
      <c r="H536" s="1817"/>
      <c r="I536" s="1817"/>
      <c r="J536" s="1817"/>
      <c r="K536" s="1818"/>
      <c r="L536" s="1819"/>
      <c r="M536" s="1819"/>
      <c r="N536" s="1819"/>
      <c r="O536" s="1819"/>
      <c r="P536" s="1820"/>
      <c r="Q536" s="1820"/>
      <c r="R536" s="1820"/>
      <c r="S536" s="1820"/>
      <c r="T536" s="1820"/>
      <c r="U536" s="1820"/>
      <c r="V536" s="1820"/>
    </row>
    <row r="537" spans="1:28" ht="22.5" customHeight="1">
      <c r="A537" s="1816"/>
      <c r="B537" s="1817"/>
      <c r="C537" s="1817"/>
      <c r="D537" s="1817"/>
      <c r="E537" s="1817"/>
      <c r="F537" s="1817"/>
      <c r="G537" s="1817"/>
      <c r="H537" s="1817"/>
      <c r="I537" s="1817"/>
      <c r="J537" s="1817"/>
      <c r="K537" s="1818"/>
      <c r="L537" s="1819"/>
      <c r="M537" s="1819"/>
      <c r="N537" s="1819"/>
      <c r="O537" s="1819"/>
      <c r="P537" s="1820"/>
      <c r="Q537" s="1820"/>
      <c r="R537" s="1820"/>
      <c r="S537" s="1820"/>
      <c r="T537" s="1820"/>
      <c r="U537" s="1820"/>
      <c r="V537" s="1820"/>
    </row>
    <row r="538" spans="1:28" ht="22.5" customHeight="1">
      <c r="A538" s="1816"/>
      <c r="B538" s="1816"/>
      <c r="C538" s="1817"/>
      <c r="D538" s="1817"/>
      <c r="E538" s="1817"/>
      <c r="F538" s="1817"/>
      <c r="G538" s="1817"/>
      <c r="H538" s="1817"/>
      <c r="I538" s="1817"/>
      <c r="J538" s="1817"/>
      <c r="K538" s="1818"/>
      <c r="L538" s="1819"/>
      <c r="M538" s="1819"/>
      <c r="N538" s="1819"/>
      <c r="O538" s="1819"/>
      <c r="P538" s="1820"/>
      <c r="Q538" s="1820"/>
      <c r="R538" s="1820"/>
      <c r="S538" s="1820"/>
      <c r="T538" s="1820"/>
      <c r="U538" s="1820"/>
      <c r="V538" s="1820"/>
    </row>
    <row r="539" spans="1:28" ht="22.5" customHeight="1">
      <c r="A539" s="1816"/>
      <c r="B539" s="1817"/>
      <c r="C539" s="1817"/>
      <c r="D539" s="1817"/>
      <c r="E539" s="1817"/>
      <c r="F539" s="1817"/>
      <c r="G539" s="1817"/>
      <c r="H539" s="1817"/>
      <c r="I539" s="1817"/>
      <c r="J539" s="1817"/>
      <c r="K539" s="1818"/>
      <c r="L539" s="1819"/>
      <c r="M539" s="1819"/>
      <c r="N539" s="1819"/>
      <c r="O539" s="1819"/>
      <c r="P539" s="1820"/>
      <c r="Q539" s="1820"/>
      <c r="R539" s="1820"/>
      <c r="S539" s="1820"/>
      <c r="T539" s="1820"/>
      <c r="U539" s="1820"/>
      <c r="V539" s="1820"/>
    </row>
    <row r="540" spans="1:28" ht="22.5" customHeight="1">
      <c r="A540" s="1816"/>
      <c r="B540" s="1816"/>
      <c r="C540" s="1817"/>
      <c r="D540" s="1817"/>
      <c r="E540" s="1817"/>
      <c r="F540" s="1817"/>
      <c r="G540" s="1817"/>
      <c r="H540" s="1817"/>
      <c r="I540" s="1817"/>
      <c r="J540" s="1817"/>
      <c r="K540" s="1818"/>
      <c r="L540" s="1819"/>
      <c r="M540" s="1819"/>
      <c r="N540" s="1819"/>
      <c r="O540" s="1819"/>
      <c r="P540" s="1820"/>
      <c r="Q540" s="1820"/>
      <c r="R540" s="1820"/>
      <c r="S540" s="1820"/>
      <c r="T540" s="1820"/>
      <c r="U540" s="1820"/>
      <c r="V540" s="1820"/>
    </row>
    <row r="541" spans="1:28" ht="22.5" customHeight="1">
      <c r="A541" s="1816"/>
      <c r="B541" s="1817"/>
      <c r="C541" s="1817"/>
      <c r="D541" s="1817"/>
      <c r="E541" s="1817"/>
      <c r="F541" s="1817"/>
      <c r="G541" s="1817"/>
      <c r="H541" s="1817"/>
      <c r="I541" s="1817"/>
      <c r="J541" s="1817"/>
      <c r="K541" s="1818"/>
      <c r="L541" s="1819"/>
      <c r="M541" s="1819"/>
      <c r="N541" s="1819"/>
      <c r="O541" s="1819"/>
      <c r="P541" s="1820"/>
      <c r="Q541" s="1820"/>
      <c r="R541" s="1820"/>
      <c r="S541" s="1820"/>
      <c r="T541" s="1820"/>
      <c r="U541" s="1820"/>
      <c r="V541" s="1820"/>
    </row>
    <row r="542" spans="1:28" ht="22.5" customHeight="1">
      <c r="A542" s="1816"/>
      <c r="B542" s="1816"/>
      <c r="C542" s="1817"/>
      <c r="D542" s="1817"/>
      <c r="E542" s="1817"/>
      <c r="F542" s="1817"/>
      <c r="G542" s="1817"/>
      <c r="H542" s="1817"/>
      <c r="I542" s="1817"/>
      <c r="J542" s="1817"/>
      <c r="K542" s="1818"/>
      <c r="L542" s="1819"/>
      <c r="M542" s="1819"/>
      <c r="N542" s="1819"/>
      <c r="O542" s="1819"/>
      <c r="P542" s="1820"/>
      <c r="Q542" s="1820"/>
      <c r="R542" s="1820"/>
      <c r="S542" s="1820"/>
      <c r="T542" s="1820"/>
      <c r="U542" s="1820"/>
      <c r="V542" s="1820"/>
    </row>
    <row r="543" spans="1:28" ht="22.5" customHeight="1">
      <c r="A543" s="1816"/>
      <c r="B543" s="1817"/>
      <c r="C543" s="1817"/>
      <c r="D543" s="1817"/>
      <c r="E543" s="1817"/>
      <c r="F543" s="1817"/>
      <c r="G543" s="1817"/>
      <c r="H543" s="1817"/>
      <c r="I543" s="1817"/>
      <c r="J543" s="1817"/>
      <c r="K543" s="1818"/>
      <c r="L543" s="1819"/>
      <c r="M543" s="1819"/>
      <c r="N543" s="1819"/>
      <c r="O543" s="1819"/>
      <c r="P543" s="1820"/>
      <c r="Q543" s="1820"/>
      <c r="R543" s="1820"/>
      <c r="S543" s="1820"/>
      <c r="T543" s="1820"/>
      <c r="U543" s="1820"/>
      <c r="V543" s="1820"/>
    </row>
    <row r="544" spans="1:28" ht="22.5" customHeight="1">
      <c r="A544" s="1816"/>
      <c r="B544" s="1816"/>
      <c r="C544" s="1817"/>
      <c r="D544" s="1817"/>
      <c r="E544" s="1817"/>
      <c r="F544" s="1817"/>
      <c r="G544" s="1817"/>
      <c r="H544" s="1817"/>
      <c r="I544" s="1817"/>
      <c r="J544" s="1817"/>
      <c r="K544" s="1818"/>
      <c r="L544" s="1819"/>
      <c r="M544" s="1819"/>
      <c r="N544" s="1819"/>
      <c r="O544" s="1819"/>
      <c r="P544" s="1820"/>
      <c r="Q544" s="1820"/>
      <c r="R544" s="1820"/>
      <c r="S544" s="1820"/>
      <c r="T544" s="1820"/>
      <c r="U544" s="1820"/>
      <c r="V544" s="1820"/>
    </row>
    <row r="545" spans="1:22" ht="22.5" customHeight="1">
      <c r="A545" s="1816"/>
      <c r="B545" s="1817"/>
      <c r="C545" s="1817"/>
      <c r="D545" s="1817"/>
      <c r="E545" s="1817"/>
      <c r="F545" s="1817"/>
      <c r="G545" s="1817"/>
      <c r="H545" s="1817"/>
      <c r="I545" s="1817"/>
      <c r="J545" s="1817"/>
      <c r="K545" s="1818"/>
      <c r="L545" s="1819"/>
      <c r="M545" s="1819"/>
      <c r="N545" s="1819"/>
      <c r="O545" s="1819"/>
      <c r="P545" s="1820"/>
      <c r="Q545" s="1820"/>
      <c r="R545" s="1820"/>
      <c r="S545" s="1820"/>
      <c r="T545" s="1820"/>
      <c r="U545" s="1820"/>
      <c r="V545" s="1820"/>
    </row>
    <row r="546" spans="1:22" ht="22.5" customHeight="1">
      <c r="A546" s="1816"/>
      <c r="B546" s="1816"/>
      <c r="C546" s="1817"/>
      <c r="D546" s="1817"/>
      <c r="E546" s="1817"/>
      <c r="F546" s="1817"/>
      <c r="G546" s="1817"/>
      <c r="H546" s="1817"/>
      <c r="I546" s="1817"/>
      <c r="J546" s="1817"/>
      <c r="K546" s="1818"/>
      <c r="L546" s="1819"/>
      <c r="M546" s="1819"/>
      <c r="N546" s="1819"/>
      <c r="O546" s="1819"/>
      <c r="P546" s="1820"/>
      <c r="Q546" s="1820"/>
      <c r="R546" s="1820"/>
      <c r="S546" s="1820"/>
      <c r="T546" s="1820"/>
      <c r="U546" s="1820"/>
      <c r="V546" s="1820"/>
    </row>
    <row r="547" spans="1:22" ht="22.5" customHeight="1">
      <c r="A547" s="1816"/>
      <c r="B547" s="1817"/>
      <c r="C547" s="1817"/>
      <c r="D547" s="1817"/>
      <c r="E547" s="1817"/>
      <c r="F547" s="1817"/>
      <c r="G547" s="1817"/>
      <c r="H547" s="1817"/>
      <c r="I547" s="1817"/>
      <c r="J547" s="1817"/>
      <c r="K547" s="1818"/>
      <c r="L547" s="1819"/>
      <c r="M547" s="1819"/>
      <c r="N547" s="1819"/>
      <c r="O547" s="1819"/>
      <c r="P547" s="1820"/>
      <c r="Q547" s="1820"/>
      <c r="R547" s="1820"/>
      <c r="S547" s="1820"/>
      <c r="T547" s="1820"/>
      <c r="U547" s="1820"/>
      <c r="V547" s="1820"/>
    </row>
    <row r="548" spans="1:22" ht="22.5" customHeight="1">
      <c r="A548" s="1816"/>
      <c r="B548" s="1817"/>
      <c r="C548" s="1817"/>
      <c r="D548" s="1817"/>
      <c r="E548" s="1817"/>
      <c r="F548" s="1817"/>
      <c r="G548" s="1817"/>
      <c r="H548" s="1817"/>
      <c r="I548" s="1817"/>
      <c r="J548" s="1817"/>
      <c r="K548" s="1818"/>
      <c r="L548" s="1819"/>
      <c r="M548" s="1819"/>
      <c r="N548" s="1819"/>
      <c r="O548" s="1819"/>
      <c r="P548" s="1820"/>
      <c r="Q548" s="1820"/>
      <c r="R548" s="1820"/>
      <c r="S548" s="1820"/>
      <c r="T548" s="1820"/>
      <c r="U548" s="1820"/>
      <c r="V548" s="1820"/>
    </row>
    <row r="549" spans="1:22" ht="22.5" customHeight="1">
      <c r="A549" s="1816"/>
      <c r="B549" s="1817"/>
      <c r="C549" s="1817"/>
      <c r="D549" s="1817"/>
      <c r="E549" s="1817"/>
      <c r="F549" s="1817"/>
      <c r="G549" s="1817"/>
      <c r="H549" s="1817"/>
      <c r="I549" s="1817"/>
      <c r="J549" s="1817"/>
      <c r="K549" s="1818"/>
      <c r="L549" s="1819"/>
      <c r="M549" s="1819"/>
      <c r="N549" s="1819"/>
      <c r="O549" s="1819"/>
      <c r="P549" s="1820"/>
      <c r="Q549" s="1820"/>
      <c r="R549" s="1820"/>
      <c r="S549" s="1820"/>
      <c r="T549" s="1820"/>
      <c r="U549" s="1820"/>
      <c r="V549" s="1820"/>
    </row>
    <row r="550" spans="1:22" ht="22.5" customHeight="1">
      <c r="A550" s="1816"/>
      <c r="B550" s="1817"/>
      <c r="C550" s="1817"/>
      <c r="D550" s="1817"/>
      <c r="E550" s="1817"/>
      <c r="F550" s="1817"/>
      <c r="G550" s="1817"/>
      <c r="H550" s="1817"/>
      <c r="I550" s="1817"/>
      <c r="J550" s="1817"/>
      <c r="K550" s="1818"/>
      <c r="L550" s="1819"/>
      <c r="M550" s="1819"/>
      <c r="N550" s="1819"/>
      <c r="O550" s="1819"/>
      <c r="P550" s="1820"/>
      <c r="Q550" s="1820"/>
      <c r="R550" s="1820"/>
      <c r="S550" s="1820"/>
      <c r="T550" s="1820"/>
      <c r="U550" s="1820"/>
      <c r="V550" s="1820"/>
    </row>
    <row r="551" spans="1:22" ht="22.5" customHeight="1">
      <c r="A551" s="1816"/>
      <c r="B551" s="1817"/>
      <c r="C551" s="1817"/>
      <c r="D551" s="1817"/>
      <c r="E551" s="1817"/>
      <c r="F551" s="1817"/>
      <c r="G551" s="1817"/>
      <c r="H551" s="1817"/>
      <c r="I551" s="1817"/>
      <c r="J551" s="1817"/>
      <c r="K551" s="1818"/>
      <c r="L551" s="1819"/>
      <c r="M551" s="1819"/>
      <c r="N551" s="1819"/>
      <c r="O551" s="1819"/>
      <c r="P551" s="1820"/>
      <c r="Q551" s="1820"/>
      <c r="R551" s="1820"/>
      <c r="S551" s="1820"/>
      <c r="T551" s="1820"/>
      <c r="U551" s="1820"/>
      <c r="V551" s="1820"/>
    </row>
    <row r="552" spans="1:22" ht="22.5" customHeight="1">
      <c r="A552" s="1816"/>
      <c r="B552" s="1817"/>
      <c r="C552" s="1817"/>
      <c r="D552" s="1817"/>
      <c r="E552" s="1817"/>
      <c r="F552" s="1817"/>
      <c r="G552" s="1817"/>
      <c r="H552" s="1817"/>
      <c r="I552" s="1817"/>
      <c r="J552" s="1817"/>
      <c r="K552" s="1818"/>
      <c r="L552" s="1819"/>
      <c r="M552" s="1819"/>
      <c r="N552" s="1819"/>
      <c r="O552" s="1819"/>
      <c r="P552" s="1820"/>
      <c r="Q552" s="1820"/>
      <c r="R552" s="1820"/>
      <c r="S552" s="1820"/>
      <c r="T552" s="1820"/>
      <c r="U552" s="1820"/>
      <c r="V552" s="1820"/>
    </row>
    <row r="553" spans="1:22" ht="22.5" customHeight="1">
      <c r="A553" s="1816"/>
      <c r="B553" s="1817"/>
      <c r="C553" s="1817"/>
      <c r="D553" s="1817"/>
      <c r="E553" s="1817"/>
      <c r="F553" s="1817"/>
      <c r="G553" s="1817"/>
      <c r="H553" s="1817"/>
      <c r="I553" s="1817"/>
      <c r="J553" s="1817"/>
      <c r="K553" s="1818"/>
      <c r="L553" s="1819"/>
      <c r="M553" s="1819"/>
      <c r="N553" s="1819"/>
      <c r="O553" s="1819"/>
      <c r="P553" s="1820"/>
      <c r="Q553" s="1820"/>
      <c r="R553" s="1820"/>
      <c r="S553" s="1820"/>
      <c r="T553" s="1820"/>
      <c r="U553" s="1820"/>
      <c r="V553" s="1820"/>
    </row>
    <row r="554" spans="1:22" ht="22.5" customHeight="1">
      <c r="A554" s="1816"/>
      <c r="B554" s="1817"/>
      <c r="C554" s="1817"/>
      <c r="D554" s="1817"/>
      <c r="E554" s="1817"/>
      <c r="F554" s="1817"/>
      <c r="G554" s="1817"/>
      <c r="H554" s="1817"/>
      <c r="I554" s="1817"/>
      <c r="J554" s="1817"/>
      <c r="K554" s="1818"/>
      <c r="L554" s="1819"/>
      <c r="M554" s="1819"/>
      <c r="N554" s="1819"/>
      <c r="O554" s="1819"/>
      <c r="P554" s="1820"/>
      <c r="Q554" s="1820"/>
      <c r="R554" s="1820"/>
      <c r="S554" s="1820"/>
      <c r="T554" s="1820"/>
      <c r="U554" s="1820"/>
      <c r="V554" s="1820"/>
    </row>
    <row r="555" spans="1:22" ht="22.5" customHeight="1">
      <c r="A555" s="1816"/>
      <c r="B555" s="1817"/>
      <c r="C555" s="1817"/>
      <c r="D555" s="1817"/>
      <c r="E555" s="1817"/>
      <c r="F555" s="1817"/>
      <c r="G555" s="1817"/>
      <c r="H555" s="1817"/>
      <c r="I555" s="1817"/>
      <c r="J555" s="1817"/>
      <c r="K555" s="1818"/>
      <c r="L555" s="1819"/>
      <c r="M555" s="1819"/>
      <c r="N555" s="1819"/>
      <c r="O555" s="1819"/>
      <c r="P555" s="1820"/>
      <c r="Q555" s="1820"/>
      <c r="R555" s="1820"/>
      <c r="S555" s="1820"/>
      <c r="T555" s="1820"/>
      <c r="U555" s="1820"/>
      <c r="V555" s="1820"/>
    </row>
    <row r="556" spans="1:22" ht="22.5" customHeight="1">
      <c r="A556" s="1816"/>
      <c r="B556" s="1817"/>
      <c r="C556" s="1817"/>
      <c r="D556" s="1817"/>
      <c r="E556" s="1817"/>
      <c r="F556" s="1817"/>
      <c r="G556" s="1817"/>
      <c r="H556" s="1817"/>
      <c r="I556" s="1817"/>
      <c r="J556" s="1817"/>
      <c r="K556" s="1818"/>
      <c r="L556" s="1819"/>
      <c r="M556" s="1819"/>
      <c r="N556" s="1819"/>
      <c r="O556" s="1819"/>
      <c r="P556" s="1820"/>
      <c r="Q556" s="1820"/>
      <c r="R556" s="1820"/>
      <c r="S556" s="1820"/>
      <c r="T556" s="1820"/>
      <c r="U556" s="1820"/>
      <c r="V556" s="1820"/>
    </row>
    <row r="557" spans="1:22" ht="22.5" customHeight="1">
      <c r="A557" s="1816"/>
      <c r="B557" s="1817"/>
      <c r="C557" s="1817"/>
      <c r="D557" s="1817"/>
      <c r="E557" s="1817"/>
      <c r="F557" s="1817"/>
      <c r="G557" s="1817"/>
      <c r="H557" s="1817"/>
      <c r="I557" s="1817"/>
      <c r="J557" s="1817"/>
      <c r="K557" s="1818"/>
      <c r="L557" s="1819"/>
      <c r="M557" s="1819"/>
      <c r="N557" s="1819"/>
      <c r="O557" s="1819"/>
      <c r="P557" s="1820"/>
      <c r="Q557" s="1820"/>
      <c r="R557" s="1820"/>
      <c r="S557" s="1820"/>
      <c r="T557" s="1820"/>
      <c r="U557" s="1820"/>
      <c r="V557" s="1820"/>
    </row>
    <row r="558" spans="1:22" ht="22.5" customHeight="1">
      <c r="A558" s="1816"/>
      <c r="B558" s="1817"/>
      <c r="C558" s="1817"/>
      <c r="D558" s="1817"/>
      <c r="E558" s="1817"/>
      <c r="F558" s="1817"/>
      <c r="G558" s="1817"/>
      <c r="H558" s="1817"/>
      <c r="I558" s="1817"/>
      <c r="J558" s="1817"/>
      <c r="K558" s="1818"/>
      <c r="L558" s="1819"/>
      <c r="M558" s="1819"/>
      <c r="N558" s="1819"/>
      <c r="O558" s="1819"/>
      <c r="P558" s="1820"/>
      <c r="Q558" s="1820"/>
      <c r="R558" s="1820"/>
      <c r="S558" s="1820"/>
      <c r="T558" s="1820"/>
      <c r="U558" s="1820"/>
      <c r="V558" s="1820"/>
    </row>
    <row r="559" spans="1:22" ht="22.5" customHeight="1">
      <c r="A559" s="1816"/>
      <c r="B559" s="1817"/>
      <c r="C559" s="1817"/>
      <c r="D559" s="1817"/>
      <c r="E559" s="1817"/>
      <c r="F559" s="1817"/>
      <c r="G559" s="1817"/>
      <c r="H559" s="1817"/>
      <c r="I559" s="1817"/>
      <c r="J559" s="1817"/>
      <c r="K559" s="1818"/>
      <c r="L559" s="1819"/>
      <c r="M559" s="1819"/>
      <c r="N559" s="1819"/>
      <c r="O559" s="1819"/>
      <c r="P559" s="1820"/>
      <c r="Q559" s="1820"/>
      <c r="R559" s="1820"/>
      <c r="S559" s="1820"/>
      <c r="T559" s="1820"/>
      <c r="U559" s="1820"/>
      <c r="V559" s="1820"/>
    </row>
    <row r="560" spans="1:22" ht="22.5" customHeight="1">
      <c r="A560" s="1816"/>
      <c r="B560" s="1817"/>
      <c r="C560" s="1817"/>
      <c r="D560" s="1817"/>
      <c r="E560" s="1817"/>
      <c r="F560" s="1817"/>
      <c r="G560" s="1817"/>
      <c r="H560" s="1817"/>
      <c r="I560" s="1817"/>
      <c r="J560" s="1817"/>
      <c r="K560" s="1818"/>
      <c r="L560" s="1819"/>
      <c r="M560" s="1819"/>
      <c r="N560" s="1819"/>
      <c r="O560" s="1819"/>
      <c r="P560" s="1820"/>
      <c r="Q560" s="1820"/>
      <c r="R560" s="1820"/>
      <c r="S560" s="1820"/>
      <c r="T560" s="1820"/>
      <c r="U560" s="1820"/>
      <c r="V560" s="1820"/>
    </row>
    <row r="561" spans="1:22" ht="22.5" customHeight="1">
      <c r="A561" s="1816"/>
      <c r="B561" s="1817"/>
      <c r="C561" s="1817"/>
      <c r="D561" s="1817"/>
      <c r="E561" s="1817"/>
      <c r="F561" s="1817"/>
      <c r="G561" s="1817"/>
      <c r="H561" s="1817"/>
      <c r="I561" s="1817"/>
      <c r="J561" s="1817"/>
      <c r="K561" s="1818"/>
      <c r="L561" s="1819"/>
      <c r="M561" s="1819"/>
      <c r="N561" s="1819"/>
      <c r="O561" s="1819"/>
      <c r="P561" s="1820"/>
      <c r="Q561" s="1820"/>
      <c r="R561" s="1820"/>
      <c r="S561" s="1820"/>
      <c r="T561" s="1820"/>
      <c r="U561" s="1820"/>
      <c r="V561" s="1820"/>
    </row>
    <row r="562" spans="1:22" ht="22.5" customHeight="1">
      <c r="A562" s="1816"/>
      <c r="B562" s="1817"/>
      <c r="C562" s="1817"/>
      <c r="D562" s="1817"/>
      <c r="E562" s="1817"/>
      <c r="F562" s="1817"/>
      <c r="G562" s="1817"/>
      <c r="H562" s="1817"/>
      <c r="I562" s="1817"/>
      <c r="J562" s="1817"/>
      <c r="K562" s="1818"/>
      <c r="L562" s="1819"/>
      <c r="M562" s="1819"/>
      <c r="N562" s="1819"/>
      <c r="O562" s="1819"/>
      <c r="P562" s="1820"/>
      <c r="Q562" s="1820"/>
      <c r="R562" s="1820"/>
      <c r="S562" s="1820"/>
      <c r="T562" s="1820"/>
      <c r="U562" s="1820"/>
      <c r="V562" s="1820"/>
    </row>
    <row r="563" spans="1:22" ht="22.5" customHeight="1">
      <c r="A563" s="1816"/>
      <c r="B563" s="1817"/>
      <c r="C563" s="1817"/>
      <c r="D563" s="1817"/>
      <c r="E563" s="1817"/>
      <c r="F563" s="1817"/>
      <c r="G563" s="1817"/>
      <c r="H563" s="1817"/>
      <c r="I563" s="1817"/>
      <c r="J563" s="1817"/>
      <c r="K563" s="1818"/>
      <c r="L563" s="1819"/>
      <c r="M563" s="1819"/>
      <c r="N563" s="1819"/>
      <c r="O563" s="1819"/>
      <c r="P563" s="1820"/>
      <c r="Q563" s="1820"/>
      <c r="R563" s="1820"/>
      <c r="S563" s="1820"/>
      <c r="T563" s="1820"/>
      <c r="U563" s="1820"/>
      <c r="V563" s="1820"/>
    </row>
    <row r="564" spans="1:22" ht="22.5" customHeight="1">
      <c r="A564" s="1816"/>
      <c r="B564" s="1817"/>
      <c r="C564" s="1817"/>
      <c r="D564" s="1817"/>
      <c r="E564" s="1817"/>
      <c r="F564" s="1817"/>
      <c r="G564" s="1817"/>
      <c r="H564" s="1817"/>
      <c r="I564" s="1817"/>
      <c r="J564" s="1817"/>
      <c r="K564" s="1818"/>
      <c r="L564" s="1819"/>
      <c r="M564" s="1819"/>
      <c r="N564" s="1819"/>
      <c r="O564" s="1819"/>
      <c r="P564" s="1820"/>
      <c r="Q564" s="1820"/>
      <c r="R564" s="1820"/>
      <c r="S564" s="1820"/>
      <c r="T564" s="1820"/>
      <c r="U564" s="1820"/>
      <c r="V564" s="1820"/>
    </row>
    <row r="565" spans="1:22" ht="22.5" customHeight="1">
      <c r="A565" s="1816"/>
      <c r="B565" s="1817"/>
      <c r="C565" s="1817"/>
      <c r="D565" s="1817"/>
      <c r="E565" s="1817"/>
      <c r="F565" s="1817"/>
      <c r="G565" s="1817"/>
      <c r="H565" s="1817"/>
      <c r="I565" s="1817"/>
      <c r="J565" s="1817"/>
      <c r="K565" s="1818"/>
      <c r="L565" s="1819"/>
      <c r="M565" s="1819"/>
      <c r="N565" s="1819"/>
      <c r="O565" s="1819"/>
      <c r="P565" s="1820"/>
      <c r="Q565" s="1820"/>
      <c r="R565" s="1820"/>
      <c r="S565" s="1820"/>
      <c r="T565" s="1820"/>
      <c r="U565" s="1820"/>
      <c r="V565" s="1820"/>
    </row>
    <row r="566" spans="1:22" ht="22.5" customHeight="1">
      <c r="A566" s="1816"/>
      <c r="B566" s="1817"/>
      <c r="C566" s="1817"/>
      <c r="D566" s="1817"/>
      <c r="E566" s="1817"/>
      <c r="F566" s="1817"/>
      <c r="G566" s="1817"/>
      <c r="H566" s="1817"/>
      <c r="I566" s="1817"/>
      <c r="J566" s="1817"/>
      <c r="K566" s="1818"/>
      <c r="L566" s="1819"/>
      <c r="M566" s="1819"/>
      <c r="N566" s="1819"/>
      <c r="O566" s="1819"/>
      <c r="P566" s="1820"/>
      <c r="Q566" s="1820"/>
      <c r="R566" s="1820"/>
      <c r="S566" s="1820"/>
      <c r="T566" s="1820"/>
      <c r="U566" s="1820"/>
      <c r="V566" s="1820"/>
    </row>
    <row r="567" spans="1:22" ht="22.5" customHeight="1">
      <c r="A567" s="1816"/>
      <c r="B567" s="1817"/>
      <c r="C567" s="1817"/>
      <c r="D567" s="1817"/>
      <c r="E567" s="1817"/>
      <c r="F567" s="1817"/>
      <c r="G567" s="1817"/>
      <c r="H567" s="1817"/>
      <c r="I567" s="1817"/>
      <c r="J567" s="1817"/>
      <c r="K567" s="1818"/>
      <c r="L567" s="1819"/>
      <c r="M567" s="1819"/>
      <c r="N567" s="1819"/>
      <c r="O567" s="1819"/>
      <c r="P567" s="1820"/>
      <c r="Q567" s="1820"/>
      <c r="R567" s="1820"/>
      <c r="S567" s="1820"/>
      <c r="T567" s="1820"/>
      <c r="U567" s="1820"/>
      <c r="V567" s="1820"/>
    </row>
    <row r="568" spans="1:22" ht="22.5" customHeight="1">
      <c r="A568" s="1816"/>
      <c r="B568" s="1817"/>
      <c r="C568" s="1817"/>
      <c r="D568" s="1817"/>
      <c r="E568" s="1817"/>
      <c r="F568" s="1817"/>
      <c r="G568" s="1817"/>
      <c r="H568" s="1817"/>
      <c r="I568" s="1817"/>
      <c r="J568" s="1817"/>
      <c r="K568" s="1818"/>
      <c r="L568" s="1819"/>
      <c r="M568" s="1819"/>
      <c r="N568" s="1819"/>
      <c r="O568" s="1819"/>
      <c r="P568" s="1820"/>
      <c r="Q568" s="1820"/>
      <c r="R568" s="1820"/>
      <c r="S568" s="1820"/>
      <c r="T568" s="1820"/>
      <c r="U568" s="1820"/>
      <c r="V568" s="1820"/>
    </row>
    <row r="569" spans="1:22" ht="22.5" customHeight="1">
      <c r="A569" s="1816"/>
      <c r="B569" s="1817"/>
      <c r="C569" s="1817"/>
      <c r="D569" s="1817"/>
      <c r="E569" s="1817"/>
      <c r="F569" s="1817"/>
      <c r="G569" s="1817"/>
      <c r="H569" s="1817"/>
      <c r="I569" s="1817"/>
      <c r="J569" s="1817"/>
      <c r="K569" s="1818"/>
      <c r="L569" s="1819"/>
      <c r="M569" s="1819"/>
      <c r="N569" s="1819"/>
      <c r="O569" s="1819"/>
      <c r="P569" s="1820"/>
      <c r="Q569" s="1820"/>
      <c r="R569" s="1820"/>
      <c r="S569" s="1820"/>
      <c r="T569" s="1820"/>
      <c r="U569" s="1820"/>
      <c r="V569" s="1820"/>
    </row>
    <row r="570" spans="1:22" ht="22.5" customHeight="1">
      <c r="A570" s="1816"/>
      <c r="B570" s="1817"/>
      <c r="C570" s="1817"/>
      <c r="D570" s="1817"/>
      <c r="E570" s="1817"/>
      <c r="F570" s="1817"/>
      <c r="G570" s="1817"/>
      <c r="H570" s="1817"/>
      <c r="I570" s="1817"/>
      <c r="J570" s="1817"/>
      <c r="K570" s="1818"/>
      <c r="L570" s="1819"/>
      <c r="M570" s="1819"/>
      <c r="N570" s="1819"/>
      <c r="O570" s="1819"/>
      <c r="P570" s="1820"/>
      <c r="Q570" s="1820"/>
      <c r="R570" s="1820"/>
      <c r="S570" s="1820"/>
      <c r="T570" s="1820"/>
      <c r="U570" s="1820"/>
      <c r="V570" s="1820"/>
    </row>
    <row r="571" spans="1:22" ht="22.5" customHeight="1">
      <c r="A571" s="1816"/>
      <c r="B571" s="1817"/>
      <c r="C571" s="1817"/>
      <c r="D571" s="1817"/>
      <c r="E571" s="1817"/>
      <c r="F571" s="1817"/>
      <c r="G571" s="1817"/>
      <c r="H571" s="1817"/>
      <c r="I571" s="1817"/>
      <c r="J571" s="1817"/>
      <c r="K571" s="1818"/>
      <c r="L571" s="1819"/>
      <c r="M571" s="1819"/>
      <c r="N571" s="1819"/>
      <c r="O571" s="1819"/>
      <c r="P571" s="1820"/>
      <c r="Q571" s="1820"/>
      <c r="R571" s="1820"/>
      <c r="S571" s="1820"/>
      <c r="T571" s="1820"/>
      <c r="U571" s="1820"/>
      <c r="V571" s="1820"/>
    </row>
    <row r="572" spans="1:22" ht="22.5" customHeight="1">
      <c r="A572" s="1816"/>
      <c r="B572" s="1817"/>
      <c r="C572" s="1817"/>
      <c r="D572" s="1817"/>
      <c r="E572" s="1817"/>
      <c r="F572" s="1817"/>
      <c r="G572" s="1817"/>
      <c r="H572" s="1817"/>
      <c r="I572" s="1817"/>
      <c r="J572" s="1817"/>
      <c r="K572" s="1818"/>
      <c r="L572" s="1819"/>
      <c r="M572" s="1819"/>
      <c r="N572" s="1819"/>
      <c r="O572" s="1819"/>
      <c r="P572" s="1820"/>
      <c r="Q572" s="1820"/>
      <c r="R572" s="1820"/>
      <c r="S572" s="1820"/>
      <c r="T572" s="1820"/>
      <c r="U572" s="1820"/>
      <c r="V572" s="1820"/>
    </row>
    <row r="573" spans="1:22" ht="22.5" customHeight="1">
      <c r="A573" s="1816"/>
      <c r="B573" s="1817"/>
      <c r="C573" s="1817"/>
      <c r="D573" s="1817"/>
      <c r="E573" s="1817"/>
      <c r="F573" s="1817"/>
      <c r="G573" s="1817"/>
      <c r="H573" s="1817"/>
      <c r="I573" s="1817"/>
      <c r="J573" s="1817"/>
      <c r="K573" s="1818"/>
      <c r="L573" s="1819"/>
      <c r="M573" s="1819"/>
      <c r="N573" s="1819"/>
      <c r="O573" s="1819"/>
      <c r="P573" s="1820"/>
      <c r="Q573" s="1820"/>
      <c r="R573" s="1820"/>
      <c r="S573" s="1820"/>
      <c r="T573" s="1820"/>
      <c r="U573" s="1820"/>
      <c r="V573" s="1820"/>
    </row>
    <row r="574" spans="1:22" ht="22.5" customHeight="1">
      <c r="A574" s="1816"/>
      <c r="B574" s="1817"/>
      <c r="C574" s="1817"/>
      <c r="D574" s="1817"/>
      <c r="E574" s="1817"/>
      <c r="F574" s="1817"/>
      <c r="G574" s="1817"/>
      <c r="H574" s="1817"/>
      <c r="I574" s="1817"/>
      <c r="J574" s="1817"/>
      <c r="K574" s="1818"/>
      <c r="L574" s="1819"/>
      <c r="M574" s="1819"/>
      <c r="N574" s="1819"/>
      <c r="O574" s="1819"/>
      <c r="P574" s="1820"/>
      <c r="Q574" s="1820"/>
      <c r="R574" s="1820"/>
      <c r="S574" s="1820"/>
      <c r="T574" s="1820"/>
      <c r="U574" s="1820"/>
      <c r="V574" s="1820"/>
    </row>
    <row r="575" spans="1:22" ht="22.5" customHeight="1">
      <c r="A575" s="1816"/>
      <c r="B575" s="1817"/>
      <c r="C575" s="1817"/>
      <c r="D575" s="1817"/>
      <c r="E575" s="1817"/>
      <c r="F575" s="1817"/>
      <c r="G575" s="1817"/>
      <c r="H575" s="1817"/>
      <c r="I575" s="1817"/>
      <c r="J575" s="1817"/>
      <c r="K575" s="1818"/>
      <c r="L575" s="1819"/>
      <c r="M575" s="1819"/>
      <c r="N575" s="1819"/>
      <c r="O575" s="1819"/>
      <c r="P575" s="1820"/>
      <c r="Q575" s="1820"/>
      <c r="R575" s="1820"/>
      <c r="S575" s="1820"/>
      <c r="T575" s="1820"/>
      <c r="U575" s="1820"/>
      <c r="V575" s="1820"/>
    </row>
    <row r="576" spans="1:22" ht="22.5" customHeight="1">
      <c r="A576" s="1816"/>
      <c r="B576" s="1817"/>
      <c r="C576" s="1817"/>
      <c r="D576" s="1817"/>
      <c r="E576" s="1817"/>
      <c r="F576" s="1817"/>
      <c r="G576" s="1817"/>
      <c r="H576" s="1817"/>
      <c r="I576" s="1817"/>
      <c r="J576" s="1817"/>
      <c r="K576" s="1818"/>
      <c r="L576" s="1819"/>
      <c r="M576" s="1819"/>
      <c r="N576" s="1819"/>
      <c r="O576" s="1819"/>
      <c r="P576" s="1820"/>
      <c r="Q576" s="1820"/>
      <c r="R576" s="1820"/>
      <c r="S576" s="1820"/>
      <c r="T576" s="1820"/>
      <c r="U576" s="1820"/>
      <c r="V576" s="1820"/>
    </row>
    <row r="577" spans="1:22" ht="22.5" customHeight="1">
      <c r="A577" s="1816"/>
      <c r="B577" s="1817"/>
      <c r="C577" s="1817"/>
      <c r="D577" s="1817"/>
      <c r="E577" s="1817"/>
      <c r="F577" s="1817"/>
      <c r="G577" s="1817"/>
      <c r="H577" s="1817"/>
      <c r="I577" s="1817"/>
      <c r="J577" s="1817"/>
      <c r="K577" s="1818"/>
      <c r="L577" s="1819"/>
      <c r="M577" s="1819"/>
      <c r="N577" s="1819"/>
      <c r="O577" s="1819"/>
      <c r="P577" s="1820"/>
      <c r="Q577" s="1820"/>
      <c r="R577" s="1820"/>
      <c r="S577" s="1820"/>
      <c r="T577" s="1820"/>
      <c r="U577" s="1820"/>
      <c r="V577" s="1820"/>
    </row>
    <row r="578" spans="1:22" ht="22.5" customHeight="1">
      <c r="A578" s="1816"/>
      <c r="B578" s="1817"/>
      <c r="C578" s="1817"/>
      <c r="D578" s="1817"/>
      <c r="E578" s="1817"/>
      <c r="F578" s="1817"/>
      <c r="G578" s="1817"/>
      <c r="H578" s="1817"/>
      <c r="I578" s="1817"/>
      <c r="J578" s="1817"/>
      <c r="K578" s="1818"/>
      <c r="L578" s="1819"/>
      <c r="M578" s="1819"/>
      <c r="N578" s="1819"/>
      <c r="O578" s="1819"/>
      <c r="P578" s="1820"/>
      <c r="Q578" s="1820"/>
      <c r="R578" s="1820"/>
      <c r="S578" s="1820"/>
      <c r="T578" s="1820"/>
      <c r="U578" s="1820"/>
      <c r="V578" s="1820"/>
    </row>
    <row r="579" spans="1:22" ht="22.5" customHeight="1">
      <c r="A579" s="1816"/>
      <c r="B579" s="1817"/>
      <c r="C579" s="1817"/>
      <c r="D579" s="1817"/>
      <c r="E579" s="1817"/>
      <c r="F579" s="1817"/>
      <c r="G579" s="1817"/>
      <c r="H579" s="1817"/>
      <c r="I579" s="1817"/>
      <c r="J579" s="1817"/>
      <c r="K579" s="1818"/>
      <c r="L579" s="1819"/>
      <c r="M579" s="1819"/>
      <c r="N579" s="1819"/>
      <c r="O579" s="1819"/>
      <c r="P579" s="1820"/>
      <c r="Q579" s="1820"/>
      <c r="R579" s="1820"/>
      <c r="S579" s="1820"/>
      <c r="T579" s="1820"/>
      <c r="U579" s="1820"/>
      <c r="V579" s="1820"/>
    </row>
    <row r="580" spans="1:22" ht="22.5" customHeight="1">
      <c r="A580" s="1816"/>
      <c r="B580" s="1817"/>
      <c r="C580" s="1817"/>
      <c r="D580" s="1817"/>
      <c r="E580" s="1817"/>
      <c r="F580" s="1817"/>
      <c r="G580" s="1817"/>
      <c r="H580" s="1817"/>
      <c r="I580" s="1817"/>
      <c r="J580" s="1817"/>
      <c r="K580" s="1818"/>
      <c r="L580" s="1819"/>
      <c r="M580" s="1819"/>
      <c r="N580" s="1819"/>
      <c r="O580" s="1819"/>
      <c r="P580" s="1820"/>
      <c r="Q580" s="1820"/>
      <c r="R580" s="1820"/>
      <c r="S580" s="1820"/>
      <c r="T580" s="1820"/>
      <c r="U580" s="1820"/>
      <c r="V580" s="1820"/>
    </row>
    <row r="581" spans="1:22" ht="22.5" customHeight="1">
      <c r="A581" s="1816"/>
      <c r="B581" s="1817"/>
      <c r="C581" s="1817"/>
      <c r="D581" s="1817"/>
      <c r="E581" s="1817"/>
      <c r="F581" s="1817"/>
      <c r="G581" s="1817"/>
      <c r="H581" s="1817"/>
      <c r="I581" s="1817"/>
      <c r="J581" s="1817"/>
      <c r="K581" s="1818"/>
      <c r="L581" s="1819"/>
      <c r="M581" s="1819"/>
      <c r="N581" s="1819"/>
      <c r="O581" s="1819"/>
      <c r="P581" s="1820"/>
      <c r="Q581" s="1820"/>
      <c r="R581" s="1820"/>
      <c r="S581" s="1820"/>
      <c r="T581" s="1820"/>
      <c r="U581" s="1820"/>
      <c r="V581" s="1820"/>
    </row>
    <row r="582" spans="1:22" ht="22.5" customHeight="1">
      <c r="A582" s="1816"/>
      <c r="B582" s="1817"/>
      <c r="C582" s="1817"/>
      <c r="D582" s="1817"/>
      <c r="E582" s="1817"/>
      <c r="F582" s="1817"/>
      <c r="G582" s="1817"/>
      <c r="H582" s="1817"/>
      <c r="I582" s="1817"/>
      <c r="J582" s="1817"/>
      <c r="K582" s="1818"/>
      <c r="L582" s="1819"/>
      <c r="M582" s="1819"/>
      <c r="N582" s="1819"/>
      <c r="O582" s="1819"/>
      <c r="P582" s="1820"/>
      <c r="Q582" s="1820"/>
      <c r="R582" s="1820"/>
      <c r="S582" s="1820"/>
      <c r="T582" s="1820"/>
      <c r="U582" s="1820"/>
      <c r="V582" s="1820"/>
    </row>
    <row r="583" spans="1:22" ht="22.5" customHeight="1">
      <c r="A583" s="1816"/>
      <c r="B583" s="1817"/>
      <c r="C583" s="1817"/>
      <c r="D583" s="1817"/>
      <c r="E583" s="1817"/>
      <c r="F583" s="1817"/>
      <c r="G583" s="1817"/>
      <c r="H583" s="1817"/>
      <c r="I583" s="1817"/>
      <c r="J583" s="1817"/>
      <c r="K583" s="1818"/>
      <c r="L583" s="1819"/>
      <c r="M583" s="1819"/>
      <c r="N583" s="1819"/>
      <c r="O583" s="1819"/>
      <c r="P583" s="1820"/>
      <c r="Q583" s="1820"/>
      <c r="R583" s="1820"/>
      <c r="S583" s="1820"/>
      <c r="T583" s="1820"/>
      <c r="U583" s="1820"/>
      <c r="V583" s="1820"/>
    </row>
    <row r="584" spans="1:22" ht="22.5" customHeight="1">
      <c r="A584" s="1816"/>
      <c r="B584" s="1817"/>
      <c r="C584" s="1817"/>
      <c r="D584" s="1817"/>
      <c r="E584" s="1817"/>
      <c r="F584" s="1817"/>
      <c r="G584" s="1817"/>
      <c r="H584" s="1817"/>
      <c r="I584" s="1817"/>
      <c r="J584" s="1817"/>
      <c r="K584" s="1818"/>
      <c r="L584" s="1819"/>
      <c r="M584" s="1819"/>
      <c r="N584" s="1819"/>
      <c r="O584" s="1819"/>
      <c r="P584" s="1820"/>
      <c r="Q584" s="1820"/>
      <c r="R584" s="1820"/>
      <c r="S584" s="1820"/>
      <c r="T584" s="1820"/>
      <c r="U584" s="1820"/>
      <c r="V584" s="1820"/>
    </row>
    <row r="585" spans="1:22" ht="22.5" customHeight="1">
      <c r="A585" s="1816"/>
      <c r="B585" s="1817"/>
      <c r="C585" s="1817"/>
      <c r="D585" s="1817"/>
      <c r="E585" s="1817"/>
      <c r="F585" s="1817"/>
      <c r="G585" s="1817"/>
      <c r="H585" s="1817"/>
      <c r="I585" s="1817"/>
      <c r="J585" s="1817"/>
      <c r="K585" s="1818"/>
      <c r="L585" s="1819"/>
      <c r="M585" s="1819"/>
      <c r="N585" s="1819"/>
      <c r="O585" s="1819"/>
      <c r="P585" s="1820"/>
      <c r="Q585" s="1820"/>
      <c r="R585" s="1820"/>
      <c r="S585" s="1820"/>
      <c r="T585" s="1820"/>
      <c r="U585" s="1820"/>
      <c r="V585" s="1820"/>
    </row>
    <row r="586" spans="1:22" ht="22.5" customHeight="1">
      <c r="A586" s="1816"/>
      <c r="B586" s="1817"/>
      <c r="C586" s="1817"/>
      <c r="D586" s="1817"/>
      <c r="E586" s="1817"/>
      <c r="F586" s="1817"/>
      <c r="G586" s="1817"/>
      <c r="H586" s="1817"/>
      <c r="I586" s="1817"/>
      <c r="J586" s="1817"/>
      <c r="K586" s="1818"/>
      <c r="L586" s="1819"/>
      <c r="M586" s="1819"/>
      <c r="N586" s="1819"/>
      <c r="O586" s="1819"/>
      <c r="P586" s="1820"/>
      <c r="Q586" s="1820"/>
      <c r="R586" s="1820"/>
      <c r="S586" s="1820"/>
      <c r="T586" s="1820"/>
      <c r="U586" s="1820"/>
      <c r="V586" s="1820"/>
    </row>
    <row r="587" spans="1:22" ht="22.5" customHeight="1">
      <c r="A587" s="1816"/>
      <c r="B587" s="1817"/>
      <c r="C587" s="1817"/>
      <c r="D587" s="1817"/>
      <c r="E587" s="1817"/>
      <c r="F587" s="1817"/>
      <c r="G587" s="1817"/>
      <c r="H587" s="1817"/>
      <c r="I587" s="1817"/>
      <c r="J587" s="1817"/>
      <c r="K587" s="1818"/>
      <c r="L587" s="1819"/>
      <c r="M587" s="1819"/>
      <c r="N587" s="1819"/>
      <c r="O587" s="1819"/>
      <c r="P587" s="1820"/>
      <c r="Q587" s="1820"/>
      <c r="R587" s="1820"/>
      <c r="S587" s="1820"/>
      <c r="T587" s="1820"/>
      <c r="U587" s="1820"/>
      <c r="V587" s="1820"/>
    </row>
    <row r="588" spans="1:22" ht="22.5" customHeight="1">
      <c r="A588" s="1816"/>
      <c r="B588" s="1817"/>
      <c r="C588" s="1817"/>
      <c r="D588" s="1817"/>
      <c r="E588" s="1817"/>
      <c r="F588" s="1817"/>
      <c r="G588" s="1817"/>
      <c r="H588" s="1817"/>
      <c r="I588" s="1817"/>
      <c r="J588" s="1817"/>
      <c r="K588" s="1818"/>
      <c r="L588" s="1819"/>
      <c r="M588" s="1819"/>
      <c r="N588" s="1819"/>
      <c r="O588" s="1819"/>
      <c r="P588" s="1820"/>
      <c r="Q588" s="1820"/>
      <c r="R588" s="1820"/>
      <c r="S588" s="1820"/>
      <c r="T588" s="1820"/>
      <c r="U588" s="1820"/>
      <c r="V588" s="1820"/>
    </row>
    <row r="589" spans="1:22" ht="22.5" customHeight="1">
      <c r="A589" s="1816"/>
      <c r="B589" s="1817"/>
      <c r="C589" s="1817"/>
      <c r="D589" s="1817"/>
      <c r="E589" s="1817"/>
      <c r="F589" s="1817"/>
      <c r="G589" s="1817"/>
      <c r="H589" s="1817"/>
      <c r="I589" s="1817"/>
      <c r="J589" s="1817"/>
      <c r="K589" s="1818"/>
      <c r="L589" s="1819"/>
      <c r="M589" s="1819"/>
      <c r="N589" s="1819"/>
      <c r="O589" s="1819"/>
      <c r="P589" s="1822"/>
      <c r="Q589" s="1822"/>
      <c r="R589" s="1822"/>
      <c r="S589" s="1822"/>
      <c r="T589" s="1822"/>
      <c r="U589" s="1822"/>
      <c r="V589" s="1822"/>
    </row>
    <row r="590" spans="1:22" ht="22.5" customHeight="1">
      <c r="A590" s="1816"/>
      <c r="B590" s="1817"/>
      <c r="C590" s="1817"/>
      <c r="D590" s="1817"/>
      <c r="E590" s="1817"/>
      <c r="F590" s="1817"/>
      <c r="G590" s="1817"/>
      <c r="H590" s="1817"/>
      <c r="I590" s="1817"/>
      <c r="J590" s="1817"/>
      <c r="K590" s="1818"/>
      <c r="L590" s="1819"/>
      <c r="M590" s="1819"/>
      <c r="N590" s="1819"/>
      <c r="O590" s="1819"/>
      <c r="P590" s="1822"/>
      <c r="Q590" s="1822"/>
      <c r="R590" s="1822"/>
      <c r="S590" s="1822"/>
      <c r="T590" s="1822"/>
      <c r="U590" s="1822"/>
      <c r="V590" s="1822"/>
    </row>
    <row r="591" spans="1:22" ht="22.5" customHeight="1">
      <c r="A591" s="1816"/>
      <c r="B591" s="1817"/>
      <c r="C591" s="1817"/>
      <c r="D591" s="1817"/>
      <c r="E591" s="1817"/>
      <c r="F591" s="1817"/>
      <c r="G591" s="1817"/>
      <c r="H591" s="1817"/>
      <c r="I591" s="1817"/>
      <c r="J591" s="1817"/>
      <c r="K591" s="1818"/>
      <c r="L591" s="1819"/>
      <c r="M591" s="1819"/>
      <c r="N591" s="1819"/>
      <c r="O591" s="1819"/>
      <c r="P591" s="1822"/>
      <c r="Q591" s="1822"/>
      <c r="R591" s="1822"/>
      <c r="S591" s="1822"/>
      <c r="T591" s="1822"/>
      <c r="U591" s="1822"/>
      <c r="V591" s="1822"/>
    </row>
    <row r="592" spans="1:22" ht="22.5" customHeight="1">
      <c r="A592" s="1816"/>
      <c r="B592" s="1817"/>
      <c r="C592" s="1817"/>
      <c r="D592" s="1817"/>
      <c r="E592" s="1817"/>
      <c r="F592" s="1817"/>
      <c r="G592" s="1817"/>
      <c r="H592" s="1817"/>
      <c r="I592" s="1817"/>
      <c r="J592" s="1817"/>
      <c r="K592" s="1818"/>
      <c r="L592" s="1819"/>
      <c r="M592" s="1819"/>
      <c r="N592" s="1819"/>
      <c r="O592" s="1819"/>
      <c r="P592" s="1822"/>
      <c r="Q592" s="1822"/>
      <c r="R592" s="1822"/>
      <c r="S592" s="1822"/>
      <c r="T592" s="1822"/>
      <c r="U592" s="1822"/>
      <c r="V592" s="1822"/>
    </row>
    <row r="593" spans="1:22" ht="22.5" customHeight="1">
      <c r="A593" s="1816"/>
      <c r="B593" s="1817"/>
      <c r="C593" s="1817"/>
      <c r="D593" s="1817"/>
      <c r="E593" s="1817"/>
      <c r="F593" s="1817"/>
      <c r="G593" s="1817"/>
      <c r="H593" s="1817"/>
      <c r="I593" s="1817"/>
      <c r="J593" s="1817"/>
      <c r="K593" s="1818"/>
      <c r="L593" s="1819"/>
      <c r="M593" s="1819"/>
      <c r="N593" s="1819"/>
      <c r="O593" s="1819"/>
      <c r="P593" s="1822"/>
      <c r="Q593" s="1822"/>
      <c r="R593" s="1822"/>
      <c r="S593" s="1822"/>
      <c r="T593" s="1822"/>
      <c r="U593" s="1822"/>
      <c r="V593" s="1822"/>
    </row>
    <row r="594" spans="1:22" ht="22.5" customHeight="1">
      <c r="A594" s="1816"/>
      <c r="B594" s="1817"/>
      <c r="C594" s="1817"/>
      <c r="D594" s="1817"/>
      <c r="E594" s="1817"/>
      <c r="F594" s="1817"/>
      <c r="G594" s="1817"/>
      <c r="H594" s="1817"/>
      <c r="I594" s="1817"/>
      <c r="J594" s="1817"/>
      <c r="K594" s="1818"/>
      <c r="L594" s="1819"/>
      <c r="M594" s="1819"/>
      <c r="N594" s="1819"/>
      <c r="O594" s="1819"/>
      <c r="P594" s="1822"/>
      <c r="Q594" s="1822"/>
      <c r="R594" s="1822"/>
      <c r="S594" s="1822"/>
      <c r="T594" s="1822"/>
      <c r="U594" s="1822"/>
      <c r="V594" s="1822"/>
    </row>
    <row r="595" spans="1:22" ht="22.5" customHeight="1">
      <c r="A595" s="1816"/>
      <c r="B595" s="1817"/>
      <c r="C595" s="1817"/>
      <c r="D595" s="1817"/>
      <c r="E595" s="1817"/>
      <c r="F595" s="1817"/>
      <c r="G595" s="1817"/>
      <c r="H595" s="1817"/>
      <c r="I595" s="1817"/>
      <c r="J595" s="1817"/>
      <c r="K595" s="1818"/>
      <c r="L595" s="1819"/>
      <c r="M595" s="1819"/>
      <c r="N595" s="1819"/>
      <c r="O595" s="1819"/>
      <c r="P595" s="1822"/>
      <c r="Q595" s="1822"/>
      <c r="R595" s="1822"/>
      <c r="S595" s="1822"/>
      <c r="T595" s="1822"/>
      <c r="U595" s="1822"/>
      <c r="V595" s="1822"/>
    </row>
    <row r="596" spans="1:22" ht="22.5" customHeight="1">
      <c r="A596" s="1816"/>
      <c r="B596" s="1817"/>
      <c r="C596" s="1817"/>
      <c r="D596" s="1817"/>
      <c r="E596" s="1817"/>
      <c r="F596" s="1817"/>
      <c r="G596" s="1817"/>
      <c r="H596" s="1817"/>
      <c r="I596" s="1817"/>
      <c r="J596" s="1817"/>
      <c r="K596" s="1818"/>
      <c r="L596" s="1819"/>
      <c r="M596" s="1819"/>
      <c r="N596" s="1819"/>
      <c r="O596" s="1819"/>
      <c r="P596" s="1822"/>
      <c r="Q596" s="1822"/>
      <c r="R596" s="1822"/>
      <c r="S596" s="1822"/>
      <c r="T596" s="1822"/>
      <c r="U596" s="1822"/>
      <c r="V596" s="1822"/>
    </row>
    <row r="597" spans="1:22" ht="22.5" customHeight="1">
      <c r="A597" s="1816"/>
      <c r="B597" s="1817"/>
      <c r="C597" s="1817"/>
      <c r="D597" s="1817"/>
      <c r="E597" s="1817"/>
      <c r="F597" s="1817"/>
      <c r="G597" s="1817"/>
      <c r="H597" s="1817"/>
      <c r="I597" s="1817"/>
      <c r="J597" s="1817"/>
      <c r="K597" s="1818"/>
      <c r="L597" s="1819"/>
      <c r="M597" s="1819"/>
      <c r="N597" s="1819"/>
      <c r="O597" s="1819"/>
      <c r="P597" s="1822"/>
      <c r="Q597" s="1822"/>
      <c r="R597" s="1822"/>
      <c r="S597" s="1822"/>
      <c r="T597" s="1822"/>
      <c r="U597" s="1822"/>
      <c r="V597" s="1822"/>
    </row>
    <row r="598" spans="1:22" ht="22.5" customHeight="1">
      <c r="A598" s="1816"/>
      <c r="B598" s="1817"/>
      <c r="C598" s="1817"/>
      <c r="D598" s="1817"/>
      <c r="E598" s="1817"/>
      <c r="F598" s="1817"/>
      <c r="G598" s="1817"/>
      <c r="H598" s="1817"/>
      <c r="I598" s="1817"/>
      <c r="J598" s="1817"/>
      <c r="K598" s="1818"/>
      <c r="L598" s="1819"/>
      <c r="M598" s="1819"/>
      <c r="N598" s="1819"/>
      <c r="O598" s="1819"/>
      <c r="P598" s="1822"/>
      <c r="Q598" s="1822"/>
      <c r="R598" s="1822"/>
      <c r="S598" s="1822"/>
      <c r="T598" s="1822"/>
      <c r="U598" s="1822"/>
      <c r="V598" s="1822"/>
    </row>
    <row r="599" spans="1:22" ht="22.5" customHeight="1">
      <c r="A599" s="1816"/>
      <c r="B599" s="1817"/>
      <c r="C599" s="1817"/>
      <c r="D599" s="1817"/>
      <c r="E599" s="1817"/>
      <c r="F599" s="1817"/>
      <c r="G599" s="1817"/>
      <c r="H599" s="1817"/>
      <c r="I599" s="1817"/>
      <c r="J599" s="1817"/>
      <c r="K599" s="1818"/>
      <c r="L599" s="1819"/>
      <c r="M599" s="1819"/>
      <c r="N599" s="1819"/>
      <c r="O599" s="1819"/>
      <c r="P599" s="1822"/>
      <c r="Q599" s="1822"/>
      <c r="R599" s="1822"/>
      <c r="S599" s="1822"/>
      <c r="T599" s="1822"/>
      <c r="U599" s="1822"/>
      <c r="V599" s="1822"/>
    </row>
    <row r="600" spans="1:22" ht="22.5" customHeight="1">
      <c r="A600" s="1816"/>
      <c r="B600" s="1817"/>
      <c r="C600" s="1817"/>
      <c r="D600" s="1817"/>
      <c r="E600" s="1817"/>
      <c r="F600" s="1817"/>
      <c r="G600" s="1817"/>
      <c r="H600" s="1817"/>
      <c r="I600" s="1817"/>
      <c r="J600" s="1817"/>
      <c r="K600" s="1818"/>
      <c r="L600" s="1819"/>
      <c r="M600" s="1819"/>
      <c r="N600" s="1819"/>
      <c r="O600" s="1819"/>
      <c r="P600" s="1822"/>
      <c r="Q600" s="1822"/>
      <c r="R600" s="1822"/>
      <c r="S600" s="1822"/>
      <c r="T600" s="1822"/>
      <c r="U600" s="1822"/>
      <c r="V600" s="1822"/>
    </row>
    <row r="601" spans="1:22" ht="22.5" customHeight="1">
      <c r="A601" s="1816"/>
      <c r="B601" s="1817"/>
      <c r="C601" s="1817"/>
      <c r="D601" s="1817"/>
      <c r="E601" s="1817"/>
      <c r="F601" s="1817"/>
      <c r="G601" s="1817"/>
      <c r="H601" s="1817"/>
      <c r="I601" s="1817"/>
      <c r="J601" s="1817"/>
      <c r="K601" s="1818"/>
      <c r="L601" s="1819"/>
      <c r="M601" s="1819"/>
      <c r="N601" s="1819"/>
      <c r="O601" s="1819"/>
      <c r="P601" s="1822"/>
      <c r="Q601" s="1822"/>
      <c r="R601" s="1822"/>
      <c r="S601" s="1822"/>
      <c r="T601" s="1822"/>
      <c r="U601" s="1822"/>
      <c r="V601" s="1822"/>
    </row>
    <row r="602" spans="1:22" ht="22.5" customHeight="1">
      <c r="A602" s="1816"/>
      <c r="B602" s="1817"/>
      <c r="C602" s="1817"/>
      <c r="D602" s="1817"/>
      <c r="E602" s="1817"/>
      <c r="F602" s="1817"/>
      <c r="G602" s="1817"/>
      <c r="H602" s="1817"/>
      <c r="I602" s="1817"/>
      <c r="J602" s="1817"/>
      <c r="K602" s="1818"/>
      <c r="L602" s="1819"/>
      <c r="M602" s="1819"/>
      <c r="N602" s="1819"/>
      <c r="O602" s="1819"/>
      <c r="P602" s="1822"/>
      <c r="Q602" s="1822"/>
      <c r="R602" s="1822"/>
      <c r="S602" s="1822"/>
      <c r="T602" s="1822"/>
      <c r="U602" s="1822"/>
      <c r="V602" s="1822"/>
    </row>
    <row r="603" spans="1:22" ht="22.5" customHeight="1">
      <c r="A603" s="1816"/>
      <c r="B603" s="1817"/>
      <c r="C603" s="1817"/>
      <c r="D603" s="1817"/>
      <c r="E603" s="1817"/>
      <c r="F603" s="1817"/>
      <c r="G603" s="1817"/>
      <c r="H603" s="1817"/>
      <c r="I603" s="1817"/>
      <c r="J603" s="1817"/>
      <c r="K603" s="1818"/>
      <c r="L603" s="1819"/>
      <c r="M603" s="1819"/>
      <c r="N603" s="1819"/>
      <c r="O603" s="1819"/>
      <c r="P603" s="1822"/>
      <c r="Q603" s="1822"/>
      <c r="R603" s="1822"/>
      <c r="S603" s="1822"/>
      <c r="T603" s="1822"/>
      <c r="U603" s="1822"/>
      <c r="V603" s="1822"/>
    </row>
    <row r="604" spans="1:22" ht="22.5" customHeight="1">
      <c r="A604" s="1816"/>
      <c r="B604" s="1817"/>
      <c r="C604" s="1817"/>
      <c r="D604" s="1817"/>
      <c r="E604" s="1817"/>
      <c r="F604" s="1817"/>
      <c r="G604" s="1817"/>
      <c r="H604" s="1817"/>
      <c r="I604" s="1817"/>
      <c r="J604" s="1817"/>
      <c r="K604" s="1818"/>
      <c r="L604" s="1819"/>
      <c r="M604" s="1819"/>
      <c r="N604" s="1819"/>
      <c r="O604" s="1819"/>
      <c r="P604" s="1822"/>
      <c r="Q604" s="1822"/>
      <c r="R604" s="1822"/>
      <c r="S604" s="1822"/>
      <c r="T604" s="1822"/>
      <c r="U604" s="1822"/>
      <c r="V604" s="1822"/>
    </row>
    <row r="605" spans="1:22" ht="22.5" customHeight="1">
      <c r="A605" s="1816"/>
      <c r="B605" s="1817"/>
      <c r="C605" s="1817"/>
      <c r="D605" s="1817"/>
      <c r="E605" s="1817"/>
      <c r="F605" s="1817"/>
      <c r="G605" s="1817"/>
      <c r="H605" s="1817"/>
      <c r="I605" s="1817"/>
      <c r="J605" s="1817"/>
      <c r="K605" s="1818"/>
      <c r="L605" s="1819"/>
      <c r="M605" s="1819"/>
      <c r="N605" s="1819"/>
      <c r="O605" s="1819"/>
      <c r="P605" s="1822"/>
      <c r="Q605" s="1822"/>
      <c r="R605" s="1822"/>
      <c r="S605" s="1822"/>
      <c r="T605" s="1822"/>
      <c r="U605" s="1822"/>
      <c r="V605" s="1822"/>
    </row>
    <row r="606" spans="1:22" ht="22.5" customHeight="1">
      <c r="A606" s="1816"/>
      <c r="B606" s="1817"/>
      <c r="C606" s="1817"/>
      <c r="D606" s="1817"/>
      <c r="E606" s="1817"/>
      <c r="F606" s="1817"/>
      <c r="G606" s="1817"/>
      <c r="H606" s="1817"/>
      <c r="I606" s="1817"/>
      <c r="J606" s="1817"/>
      <c r="K606" s="1818"/>
      <c r="L606" s="1819"/>
      <c r="M606" s="1819"/>
      <c r="N606" s="1819"/>
      <c r="O606" s="1819"/>
      <c r="P606" s="1822"/>
      <c r="Q606" s="1822"/>
      <c r="R606" s="1822"/>
      <c r="S606" s="1822"/>
      <c r="T606" s="1822"/>
      <c r="U606" s="1822"/>
      <c r="V606" s="1822"/>
    </row>
    <row r="607" spans="1:22" ht="22.5" customHeight="1">
      <c r="A607" s="1816"/>
      <c r="B607" s="1817"/>
      <c r="C607" s="1817"/>
      <c r="D607" s="1817"/>
      <c r="E607" s="1817"/>
      <c r="F607" s="1817"/>
      <c r="G607" s="1817"/>
      <c r="H607" s="1817"/>
      <c r="I607" s="1817"/>
      <c r="J607" s="1817"/>
      <c r="K607" s="1818"/>
      <c r="L607" s="1819"/>
      <c r="M607" s="1819"/>
      <c r="N607" s="1819"/>
      <c r="O607" s="1819"/>
      <c r="P607" s="1822"/>
      <c r="Q607" s="1822"/>
      <c r="R607" s="1822"/>
      <c r="S607" s="1822"/>
      <c r="T607" s="1822"/>
      <c r="U607" s="1822"/>
      <c r="V607" s="1822"/>
    </row>
    <row r="608" spans="1:22" ht="22.5" customHeight="1">
      <c r="A608" s="1816"/>
      <c r="B608" s="1817"/>
      <c r="C608" s="1817"/>
      <c r="D608" s="1817"/>
      <c r="E608" s="1817"/>
      <c r="F608" s="1817"/>
      <c r="G608" s="1817"/>
      <c r="H608" s="1817"/>
      <c r="I608" s="1817"/>
      <c r="J608" s="1817"/>
      <c r="K608" s="1818"/>
      <c r="L608" s="1819"/>
      <c r="M608" s="1819"/>
      <c r="N608" s="1819"/>
      <c r="O608" s="1819"/>
      <c r="P608" s="1822"/>
      <c r="Q608" s="1822"/>
      <c r="R608" s="1822"/>
      <c r="S608" s="1822"/>
      <c r="T608" s="1822"/>
      <c r="U608" s="1822"/>
      <c r="V608" s="1822"/>
    </row>
    <row r="609" spans="1:22" ht="22.5" customHeight="1">
      <c r="A609" s="1816"/>
      <c r="B609" s="1817"/>
      <c r="C609" s="1817"/>
      <c r="D609" s="1817"/>
      <c r="E609" s="1817"/>
      <c r="F609" s="1817"/>
      <c r="G609" s="1817"/>
      <c r="H609" s="1817"/>
      <c r="I609" s="1817"/>
      <c r="J609" s="1817"/>
      <c r="K609" s="1818"/>
      <c r="L609" s="1819"/>
      <c r="M609" s="1819"/>
      <c r="N609" s="1819"/>
      <c r="O609" s="1819"/>
      <c r="P609" s="1822"/>
      <c r="Q609" s="1822"/>
      <c r="R609" s="1822"/>
      <c r="S609" s="1822"/>
      <c r="T609" s="1822"/>
      <c r="U609" s="1822"/>
      <c r="V609" s="1822"/>
    </row>
    <row r="610" spans="1:22" ht="22.5" customHeight="1">
      <c r="A610" s="1816"/>
      <c r="B610" s="1817"/>
      <c r="C610" s="1817"/>
      <c r="D610" s="1817"/>
      <c r="E610" s="1817"/>
      <c r="F610" s="1817"/>
      <c r="G610" s="1817"/>
      <c r="H610" s="1817"/>
      <c r="I610" s="1817"/>
      <c r="J610" s="1817"/>
      <c r="K610" s="1818"/>
      <c r="L610" s="1819"/>
      <c r="M610" s="1819"/>
      <c r="N610" s="1819"/>
      <c r="O610" s="1819"/>
      <c r="P610" s="1822"/>
      <c r="Q610" s="1822"/>
      <c r="R610" s="1822"/>
      <c r="S610" s="1822"/>
      <c r="T610" s="1822"/>
      <c r="U610" s="1822"/>
      <c r="V610" s="1822"/>
    </row>
    <row r="611" spans="1:22" ht="22.5" customHeight="1">
      <c r="A611" s="1816"/>
      <c r="B611" s="1817"/>
      <c r="C611" s="1817"/>
      <c r="D611" s="1817"/>
      <c r="E611" s="1817"/>
      <c r="F611" s="1817"/>
      <c r="G611" s="1817"/>
      <c r="H611" s="1817"/>
      <c r="I611" s="1817"/>
      <c r="J611" s="1817"/>
      <c r="K611" s="1818"/>
      <c r="L611" s="1819"/>
      <c r="M611" s="1819"/>
      <c r="N611" s="1819"/>
      <c r="O611" s="1819"/>
      <c r="P611" s="1822"/>
      <c r="Q611" s="1822"/>
      <c r="R611" s="1822"/>
      <c r="S611" s="1822"/>
      <c r="T611" s="1822"/>
      <c r="U611" s="1822"/>
      <c r="V611" s="1822"/>
    </row>
    <row r="612" spans="1:22" ht="22.5" customHeight="1">
      <c r="A612" s="1816"/>
      <c r="B612" s="1817"/>
      <c r="C612" s="1817"/>
      <c r="D612" s="1817"/>
      <c r="E612" s="1817"/>
      <c r="F612" s="1817"/>
      <c r="G612" s="1817"/>
      <c r="H612" s="1817"/>
      <c r="I612" s="1817"/>
      <c r="J612" s="1817"/>
      <c r="K612" s="1818"/>
      <c r="L612" s="1819"/>
      <c r="M612" s="1819"/>
      <c r="N612" s="1819"/>
      <c r="O612" s="1819"/>
      <c r="P612" s="1822"/>
      <c r="Q612" s="1822"/>
      <c r="R612" s="1822"/>
      <c r="S612" s="1822"/>
      <c r="T612" s="1822"/>
      <c r="U612" s="1822"/>
      <c r="V612" s="1822"/>
    </row>
    <row r="613" spans="1:22" ht="22.5" customHeight="1">
      <c r="A613" s="1816"/>
      <c r="B613" s="1817"/>
      <c r="C613" s="1817"/>
      <c r="D613" s="1817"/>
      <c r="E613" s="1817"/>
      <c r="F613" s="1817"/>
      <c r="G613" s="1817"/>
      <c r="H613" s="1817"/>
      <c r="I613" s="1817"/>
      <c r="J613" s="1817"/>
      <c r="K613" s="1818"/>
      <c r="L613" s="1819"/>
      <c r="M613" s="1819"/>
      <c r="N613" s="1819"/>
      <c r="O613" s="1819"/>
      <c r="P613" s="1822"/>
      <c r="Q613" s="1822"/>
      <c r="R613" s="1822"/>
      <c r="S613" s="1822"/>
      <c r="T613" s="1822"/>
      <c r="U613" s="1822"/>
      <c r="V613" s="1822"/>
    </row>
    <row r="614" spans="1:22" ht="22.5" customHeight="1">
      <c r="A614" s="1816"/>
      <c r="B614" s="1817"/>
      <c r="C614" s="1817"/>
      <c r="D614" s="1817"/>
      <c r="E614" s="1817"/>
      <c r="F614" s="1817"/>
      <c r="G614" s="1817"/>
      <c r="H614" s="1817"/>
      <c r="I614" s="1817"/>
      <c r="J614" s="1817"/>
      <c r="K614" s="1818"/>
      <c r="L614" s="1819"/>
      <c r="M614" s="1819"/>
      <c r="N614" s="1819"/>
      <c r="O614" s="1819"/>
      <c r="P614" s="1822"/>
      <c r="Q614" s="1822"/>
      <c r="R614" s="1822"/>
      <c r="S614" s="1822"/>
      <c r="T614" s="1822"/>
      <c r="U614" s="1822"/>
      <c r="V614" s="1822"/>
    </row>
    <row r="615" spans="1:22" ht="22.5" customHeight="1">
      <c r="A615" s="1816"/>
      <c r="B615" s="1817"/>
      <c r="C615" s="1817"/>
      <c r="D615" s="1817"/>
      <c r="E615" s="1817"/>
      <c r="F615" s="1817"/>
      <c r="G615" s="1817"/>
      <c r="H615" s="1817"/>
      <c r="I615" s="1817"/>
      <c r="J615" s="1817"/>
      <c r="K615" s="1818"/>
      <c r="L615" s="1819"/>
      <c r="M615" s="1819"/>
      <c r="N615" s="1819"/>
      <c r="O615" s="1819"/>
      <c r="P615" s="1822"/>
      <c r="Q615" s="1822"/>
      <c r="R615" s="1822"/>
      <c r="S615" s="1822"/>
      <c r="T615" s="1822"/>
      <c r="U615" s="1822"/>
      <c r="V615" s="1822"/>
    </row>
    <row r="616" spans="1:22" ht="22.5" customHeight="1">
      <c r="A616" s="1816"/>
      <c r="B616" s="1817"/>
      <c r="C616" s="1817"/>
      <c r="D616" s="1817"/>
      <c r="E616" s="1817"/>
      <c r="F616" s="1817"/>
      <c r="G616" s="1817"/>
      <c r="H616" s="1817"/>
      <c r="I616" s="1817"/>
      <c r="J616" s="1817"/>
      <c r="K616" s="1818"/>
      <c r="L616" s="1819"/>
      <c r="M616" s="1819"/>
      <c r="N616" s="1819"/>
      <c r="O616" s="1819"/>
      <c r="P616" s="1822"/>
      <c r="Q616" s="1822"/>
      <c r="R616" s="1822"/>
      <c r="S616" s="1822"/>
      <c r="T616" s="1822"/>
      <c r="U616" s="1822"/>
      <c r="V616" s="1822"/>
    </row>
    <row r="617" spans="1:22" ht="22.5" customHeight="1">
      <c r="A617" s="1816"/>
      <c r="B617" s="1817"/>
      <c r="C617" s="1817"/>
      <c r="D617" s="1817"/>
      <c r="E617" s="1817"/>
      <c r="F617" s="1817"/>
      <c r="G617" s="1817"/>
      <c r="H617" s="1817"/>
      <c r="I617" s="1817"/>
      <c r="J617" s="1817"/>
      <c r="K617" s="1818"/>
      <c r="L617" s="1819"/>
      <c r="M617" s="1819"/>
      <c r="N617" s="1819"/>
      <c r="O617" s="1819"/>
      <c r="P617" s="1822"/>
      <c r="Q617" s="1822"/>
      <c r="R617" s="1822"/>
      <c r="S617" s="1822"/>
      <c r="T617" s="1822"/>
      <c r="U617" s="1822"/>
      <c r="V617" s="1822"/>
    </row>
    <row r="618" spans="1:22" ht="22.5" customHeight="1">
      <c r="A618" s="1816"/>
      <c r="B618" s="1817"/>
      <c r="C618" s="1817"/>
      <c r="D618" s="1817"/>
      <c r="E618" s="1817"/>
      <c r="F618" s="1817"/>
      <c r="G618" s="1817"/>
      <c r="H618" s="1817"/>
      <c r="I618" s="1817"/>
      <c r="J618" s="1817"/>
      <c r="K618" s="1818"/>
      <c r="L618" s="1819"/>
      <c r="M618" s="1819"/>
      <c r="N618" s="1819"/>
      <c r="O618" s="1819"/>
      <c r="P618" s="1822"/>
      <c r="Q618" s="1822"/>
      <c r="R618" s="1822"/>
      <c r="S618" s="1822"/>
      <c r="T618" s="1822"/>
      <c r="U618" s="1822"/>
      <c r="V618" s="1822"/>
    </row>
    <row r="619" spans="1:22" ht="22.5" customHeight="1">
      <c r="A619" s="1816"/>
      <c r="B619" s="1817"/>
      <c r="C619" s="1817"/>
      <c r="D619" s="1817"/>
      <c r="E619" s="1817"/>
      <c r="F619" s="1817"/>
      <c r="G619" s="1817"/>
      <c r="H619" s="1817"/>
      <c r="I619" s="1817"/>
      <c r="J619" s="1817"/>
      <c r="K619" s="1818"/>
      <c r="L619" s="1819"/>
      <c r="M619" s="1819"/>
      <c r="N619" s="1819"/>
      <c r="O619" s="1819"/>
      <c r="P619" s="1822"/>
      <c r="Q619" s="1822"/>
      <c r="R619" s="1822"/>
      <c r="S619" s="1822"/>
      <c r="T619" s="1822"/>
      <c r="U619" s="1822"/>
      <c r="V619" s="1822"/>
    </row>
    <row r="620" spans="1:22" ht="22.5" customHeight="1">
      <c r="A620" s="1816"/>
      <c r="B620" s="1817"/>
      <c r="C620" s="1817"/>
      <c r="D620" s="1817"/>
      <c r="E620" s="1817"/>
      <c r="F620" s="1817"/>
      <c r="G620" s="1817"/>
      <c r="H620" s="1817"/>
      <c r="I620" s="1817"/>
      <c r="J620" s="1817"/>
      <c r="K620" s="1818"/>
      <c r="L620" s="1819"/>
      <c r="M620" s="1819"/>
      <c r="N620" s="1819"/>
      <c r="O620" s="1819"/>
      <c r="P620" s="1822"/>
      <c r="Q620" s="1822"/>
      <c r="R620" s="1822"/>
      <c r="S620" s="1822"/>
      <c r="T620" s="1822"/>
      <c r="U620" s="1822"/>
      <c r="V620" s="1822"/>
    </row>
    <row r="621" spans="1:22" ht="22.5" customHeight="1">
      <c r="A621" s="1816"/>
      <c r="B621" s="1817"/>
      <c r="C621" s="1817"/>
      <c r="D621" s="1817"/>
      <c r="E621" s="1817"/>
      <c r="F621" s="1817"/>
      <c r="G621" s="1817"/>
      <c r="H621" s="1817"/>
      <c r="I621" s="1817"/>
      <c r="J621" s="1817"/>
      <c r="K621" s="1818"/>
      <c r="L621" s="1819"/>
      <c r="M621" s="1819"/>
      <c r="N621" s="1819"/>
      <c r="O621" s="1819"/>
      <c r="P621" s="1822"/>
      <c r="Q621" s="1822"/>
      <c r="R621" s="1822"/>
      <c r="S621" s="1822"/>
      <c r="T621" s="1822"/>
      <c r="U621" s="1822"/>
      <c r="V621" s="1822"/>
    </row>
    <row r="622" spans="1:22" ht="22.5" customHeight="1">
      <c r="A622" s="1816"/>
      <c r="B622" s="1817"/>
      <c r="C622" s="1817"/>
      <c r="D622" s="1817"/>
      <c r="E622" s="1817"/>
      <c r="F622" s="1817"/>
      <c r="G622" s="1817"/>
      <c r="H622" s="1817"/>
      <c r="I622" s="1817"/>
      <c r="J622" s="1817"/>
      <c r="K622" s="1818"/>
      <c r="L622" s="1819"/>
      <c r="M622" s="1819"/>
      <c r="N622" s="1819"/>
      <c r="O622" s="1819"/>
      <c r="P622" s="1822"/>
      <c r="Q622" s="1822"/>
      <c r="R622" s="1822"/>
      <c r="S622" s="1822"/>
      <c r="T622" s="1822"/>
      <c r="U622" s="1822"/>
      <c r="V622" s="1822"/>
    </row>
    <row r="623" spans="1:22" ht="22.5" customHeight="1">
      <c r="A623" s="1816"/>
      <c r="B623" s="1817"/>
      <c r="C623" s="1817"/>
      <c r="D623" s="1817"/>
      <c r="E623" s="1817"/>
      <c r="F623" s="1817"/>
      <c r="G623" s="1817"/>
      <c r="H623" s="1817"/>
      <c r="I623" s="1817"/>
      <c r="J623" s="1817"/>
      <c r="K623" s="1818"/>
      <c r="L623" s="1819"/>
      <c r="M623" s="1819"/>
      <c r="N623" s="1819"/>
      <c r="O623" s="1819"/>
      <c r="P623" s="1822"/>
      <c r="Q623" s="1822"/>
      <c r="R623" s="1822"/>
      <c r="S623" s="1822"/>
      <c r="T623" s="1822"/>
      <c r="U623" s="1822"/>
      <c r="V623" s="1822"/>
    </row>
    <row r="624" spans="1:22" ht="22.5" customHeight="1">
      <c r="A624" s="1816"/>
      <c r="B624" s="1817"/>
      <c r="C624" s="1817"/>
      <c r="D624" s="1817"/>
      <c r="E624" s="1817"/>
      <c r="F624" s="1817"/>
      <c r="G624" s="1817"/>
      <c r="H624" s="1817"/>
      <c r="I624" s="1817"/>
      <c r="J624" s="1817"/>
      <c r="K624" s="1818"/>
      <c r="L624" s="1819"/>
      <c r="M624" s="1819"/>
      <c r="N624" s="1819"/>
      <c r="O624" s="1819"/>
      <c r="P624" s="1822"/>
      <c r="Q624" s="1822"/>
      <c r="R624" s="1822"/>
      <c r="S624" s="1822"/>
      <c r="T624" s="1822"/>
      <c r="U624" s="1822"/>
      <c r="V624" s="1822"/>
    </row>
    <row r="625" spans="1:22" ht="22.5" customHeight="1">
      <c r="A625" s="1816"/>
      <c r="B625" s="1817"/>
      <c r="C625" s="1817"/>
      <c r="D625" s="1817"/>
      <c r="E625" s="1817"/>
      <c r="F625" s="1817"/>
      <c r="G625" s="1817"/>
      <c r="H625" s="1817"/>
      <c r="I625" s="1817"/>
      <c r="J625" s="1817"/>
      <c r="K625" s="1818"/>
      <c r="L625" s="1819"/>
      <c r="M625" s="1819"/>
      <c r="N625" s="1819"/>
      <c r="O625" s="1819"/>
      <c r="P625" s="1822"/>
      <c r="Q625" s="1822"/>
      <c r="R625" s="1822"/>
      <c r="S625" s="1822"/>
      <c r="T625" s="1822"/>
      <c r="U625" s="1822"/>
      <c r="V625" s="1822"/>
    </row>
    <row r="626" spans="1:22" ht="22.5" customHeight="1">
      <c r="A626" s="1816"/>
      <c r="B626" s="1817"/>
      <c r="C626" s="1817"/>
      <c r="D626" s="1817"/>
      <c r="E626" s="1817"/>
      <c r="F626" s="1817"/>
      <c r="G626" s="1817"/>
      <c r="H626" s="1817"/>
      <c r="I626" s="1817"/>
      <c r="J626" s="1817"/>
      <c r="K626" s="1818"/>
      <c r="L626" s="1819"/>
      <c r="M626" s="1819"/>
      <c r="N626" s="1819"/>
      <c r="O626" s="1819"/>
      <c r="P626" s="1822"/>
      <c r="Q626" s="1822"/>
      <c r="R626" s="1822"/>
      <c r="S626" s="1822"/>
      <c r="T626" s="1822"/>
      <c r="U626" s="1822"/>
      <c r="V626" s="1822"/>
    </row>
    <row r="627" spans="1:22" ht="22.5" customHeight="1">
      <c r="A627" s="1816"/>
      <c r="B627" s="1817"/>
      <c r="C627" s="1817"/>
      <c r="D627" s="1817"/>
      <c r="E627" s="1817"/>
      <c r="F627" s="1817"/>
      <c r="G627" s="1817"/>
      <c r="H627" s="1817"/>
      <c r="I627" s="1817"/>
      <c r="J627" s="1817"/>
      <c r="K627" s="1818"/>
      <c r="L627" s="1819"/>
      <c r="M627" s="1819"/>
      <c r="N627" s="1819"/>
      <c r="O627" s="1819"/>
      <c r="P627" s="1822"/>
      <c r="Q627" s="1822"/>
      <c r="R627" s="1822"/>
      <c r="S627" s="1822"/>
      <c r="T627" s="1822"/>
      <c r="U627" s="1822"/>
      <c r="V627" s="1822"/>
    </row>
    <row r="628" spans="1:22" ht="22.5" customHeight="1">
      <c r="A628" s="1816"/>
      <c r="B628" s="1817"/>
      <c r="C628" s="1817"/>
      <c r="D628" s="1817"/>
      <c r="E628" s="1817"/>
      <c r="F628" s="1817"/>
      <c r="G628" s="1817"/>
      <c r="H628" s="1817"/>
      <c r="I628" s="1817"/>
      <c r="J628" s="1817"/>
      <c r="K628" s="1818"/>
      <c r="L628" s="1819"/>
      <c r="M628" s="1819"/>
      <c r="N628" s="1819"/>
      <c r="O628" s="1819"/>
      <c r="P628" s="1822"/>
      <c r="Q628" s="1822"/>
      <c r="R628" s="1822"/>
      <c r="S628" s="1822"/>
      <c r="T628" s="1822"/>
      <c r="U628" s="1822"/>
      <c r="V628" s="1822"/>
    </row>
    <row r="629" spans="1:22" ht="22.5" customHeight="1">
      <c r="A629" s="1816"/>
      <c r="B629" s="1817"/>
      <c r="C629" s="1817"/>
      <c r="D629" s="1817"/>
      <c r="E629" s="1817"/>
      <c r="F629" s="1817"/>
      <c r="G629" s="1817"/>
      <c r="H629" s="1817"/>
      <c r="I629" s="1817"/>
      <c r="J629" s="1817"/>
      <c r="K629" s="1818"/>
      <c r="L629" s="1819"/>
      <c r="M629" s="1819"/>
      <c r="N629" s="1819"/>
      <c r="O629" s="1819"/>
      <c r="P629" s="1822"/>
      <c r="Q629" s="1822"/>
      <c r="R629" s="1822"/>
      <c r="S629" s="1822"/>
      <c r="T629" s="1822"/>
      <c r="U629" s="1822"/>
      <c r="V629" s="1822"/>
    </row>
    <row r="630" spans="1:22" ht="22.5" customHeight="1">
      <c r="A630" s="1816"/>
      <c r="B630" s="1817"/>
      <c r="C630" s="1817"/>
      <c r="D630" s="1817"/>
      <c r="E630" s="1817"/>
      <c r="F630" s="1817"/>
      <c r="G630" s="1817"/>
      <c r="H630" s="1817"/>
      <c r="I630" s="1817"/>
      <c r="J630" s="1817"/>
      <c r="K630" s="1818"/>
      <c r="L630" s="1819"/>
      <c r="M630" s="1819"/>
      <c r="N630" s="1819"/>
      <c r="O630" s="1819"/>
      <c r="P630" s="1822"/>
      <c r="Q630" s="1822"/>
      <c r="R630" s="1822"/>
      <c r="S630" s="1822"/>
      <c r="T630" s="1822"/>
      <c r="U630" s="1822"/>
      <c r="V630" s="1822"/>
    </row>
    <row r="631" spans="1:22" ht="22.5" customHeight="1">
      <c r="A631" s="1816"/>
      <c r="B631" s="1817"/>
      <c r="C631" s="1817"/>
      <c r="D631" s="1817"/>
      <c r="E631" s="1817"/>
      <c r="F631" s="1817"/>
      <c r="G631" s="1817"/>
      <c r="H631" s="1817"/>
      <c r="I631" s="1817"/>
      <c r="J631" s="1817"/>
      <c r="K631" s="1818"/>
      <c r="L631" s="1819"/>
      <c r="M631" s="1819"/>
      <c r="N631" s="1819"/>
      <c r="O631" s="1819"/>
      <c r="P631" s="1822"/>
      <c r="Q631" s="1822"/>
      <c r="R631" s="1822"/>
      <c r="S631" s="1822"/>
      <c r="T631" s="1822"/>
      <c r="U631" s="1822"/>
      <c r="V631" s="1822"/>
    </row>
    <row r="632" spans="1:22" ht="22.5" customHeight="1">
      <c r="A632" s="1816"/>
      <c r="B632" s="1817"/>
      <c r="C632" s="1817"/>
      <c r="D632" s="1817"/>
      <c r="E632" s="1817"/>
      <c r="F632" s="1817"/>
      <c r="G632" s="1817"/>
      <c r="H632" s="1817"/>
      <c r="I632" s="1817"/>
      <c r="J632" s="1817"/>
      <c r="K632" s="1818"/>
      <c r="L632" s="1819"/>
      <c r="M632" s="1819"/>
      <c r="N632" s="1819"/>
      <c r="O632" s="1819"/>
      <c r="P632" s="1822"/>
      <c r="Q632" s="1822"/>
      <c r="R632" s="1822"/>
      <c r="S632" s="1822"/>
      <c r="T632" s="1822"/>
      <c r="U632" s="1822"/>
      <c r="V632" s="1822"/>
    </row>
    <row r="633" spans="1:22" ht="22.5" customHeight="1">
      <c r="A633" s="1816"/>
      <c r="B633" s="1817"/>
      <c r="C633" s="1817"/>
      <c r="D633" s="1817"/>
      <c r="E633" s="1817"/>
      <c r="F633" s="1817"/>
      <c r="G633" s="1817"/>
      <c r="H633" s="1817"/>
      <c r="I633" s="1817"/>
      <c r="J633" s="1817"/>
      <c r="K633" s="1818"/>
      <c r="L633" s="1819"/>
      <c r="M633" s="1819"/>
      <c r="N633" s="1819"/>
      <c r="O633" s="1819"/>
      <c r="P633" s="1822"/>
      <c r="Q633" s="1822"/>
      <c r="R633" s="1822"/>
      <c r="S633" s="1822"/>
      <c r="T633" s="1822"/>
      <c r="U633" s="1822"/>
      <c r="V633" s="1822"/>
    </row>
    <row r="634" spans="1:22" ht="22.5" customHeight="1">
      <c r="A634" s="1816"/>
      <c r="B634" s="1817"/>
      <c r="C634" s="1817"/>
      <c r="D634" s="1817"/>
      <c r="E634" s="1817"/>
      <c r="F634" s="1817"/>
      <c r="G634" s="1817"/>
      <c r="H634" s="1817"/>
      <c r="I634" s="1817"/>
      <c r="J634" s="1817"/>
      <c r="K634" s="1818"/>
      <c r="L634" s="1819"/>
      <c r="M634" s="1819"/>
      <c r="N634" s="1819"/>
      <c r="O634" s="1819"/>
      <c r="P634" s="1822"/>
      <c r="Q634" s="1822"/>
      <c r="R634" s="1822"/>
      <c r="S634" s="1822"/>
      <c r="T634" s="1822"/>
      <c r="U634" s="1822"/>
      <c r="V634" s="1822"/>
    </row>
    <row r="635" spans="1:22" ht="22.5" customHeight="1">
      <c r="A635" s="1816"/>
      <c r="B635" s="1817"/>
      <c r="C635" s="1817"/>
      <c r="D635" s="1817"/>
      <c r="E635" s="1817"/>
      <c r="F635" s="1817"/>
      <c r="G635" s="1817"/>
      <c r="H635" s="1817"/>
      <c r="I635" s="1817"/>
      <c r="J635" s="1817"/>
      <c r="K635" s="1818"/>
      <c r="L635" s="1819"/>
      <c r="M635" s="1819"/>
      <c r="N635" s="1819"/>
      <c r="O635" s="1819"/>
      <c r="P635" s="1822"/>
      <c r="Q635" s="1822"/>
      <c r="R635" s="1822"/>
      <c r="S635" s="1822"/>
      <c r="T635" s="1822"/>
      <c r="U635" s="1822"/>
      <c r="V635" s="1822"/>
    </row>
    <row r="636" spans="1:22" ht="22.5" customHeight="1">
      <c r="A636" s="1816"/>
      <c r="B636" s="1817"/>
      <c r="C636" s="1817"/>
      <c r="D636" s="1817"/>
      <c r="E636" s="1817"/>
      <c r="F636" s="1817"/>
      <c r="G636" s="1817"/>
      <c r="H636" s="1817"/>
      <c r="I636" s="1817"/>
      <c r="J636" s="1817"/>
      <c r="K636" s="1818"/>
      <c r="L636" s="1819"/>
      <c r="M636" s="1819"/>
      <c r="N636" s="1819"/>
      <c r="O636" s="1819"/>
      <c r="P636" s="1822"/>
      <c r="Q636" s="1822"/>
      <c r="R636" s="1822"/>
      <c r="S636" s="1822"/>
      <c r="T636" s="1822"/>
      <c r="U636" s="1822"/>
      <c r="V636" s="1822"/>
    </row>
    <row r="637" spans="1:22" ht="22.5" customHeight="1">
      <c r="A637" s="1816"/>
      <c r="B637" s="1817"/>
      <c r="C637" s="1817"/>
      <c r="D637" s="1817"/>
      <c r="E637" s="1817"/>
      <c r="F637" s="1817"/>
      <c r="G637" s="1817"/>
      <c r="H637" s="1817"/>
      <c r="I637" s="1817"/>
      <c r="J637" s="1817"/>
      <c r="K637" s="1818"/>
      <c r="L637" s="1819"/>
      <c r="M637" s="1819"/>
      <c r="N637" s="1819"/>
      <c r="O637" s="1819"/>
      <c r="P637" s="1822"/>
      <c r="Q637" s="1822"/>
      <c r="R637" s="1822"/>
      <c r="S637" s="1822"/>
      <c r="T637" s="1822"/>
      <c r="U637" s="1822"/>
      <c r="V637" s="1822"/>
    </row>
    <row r="638" spans="1:22" ht="22.5" customHeight="1">
      <c r="A638" s="1816"/>
      <c r="B638" s="1817"/>
      <c r="C638" s="1817"/>
      <c r="D638" s="1817"/>
      <c r="E638" s="1817"/>
      <c r="F638" s="1817"/>
      <c r="G638" s="1817"/>
      <c r="H638" s="1817"/>
      <c r="I638" s="1817"/>
      <c r="J638" s="1817"/>
      <c r="K638" s="1818"/>
      <c r="L638" s="1819"/>
      <c r="M638" s="1819"/>
      <c r="N638" s="1819"/>
      <c r="O638" s="1819"/>
      <c r="P638" s="1822"/>
      <c r="Q638" s="1822"/>
      <c r="R638" s="1822"/>
      <c r="S638" s="1822"/>
      <c r="T638" s="1822"/>
      <c r="U638" s="1822"/>
      <c r="V638" s="1822"/>
    </row>
    <row r="639" spans="1:22" ht="22.5" customHeight="1">
      <c r="A639" s="1816"/>
      <c r="B639" s="1817"/>
      <c r="C639" s="1817"/>
      <c r="D639" s="1817"/>
      <c r="E639" s="1817"/>
      <c r="F639" s="1817"/>
      <c r="G639" s="1817"/>
      <c r="H639" s="1817"/>
      <c r="I639" s="1817"/>
      <c r="J639" s="1817"/>
      <c r="K639" s="1818"/>
      <c r="L639" s="1819"/>
      <c r="M639" s="1819"/>
      <c r="N639" s="1819"/>
      <c r="O639" s="1819"/>
      <c r="P639" s="1822"/>
      <c r="Q639" s="1822"/>
      <c r="R639" s="1822"/>
      <c r="S639" s="1822"/>
      <c r="T639" s="1822"/>
      <c r="U639" s="1822"/>
      <c r="V639" s="1822"/>
    </row>
    <row r="640" spans="1:22" ht="22.5" customHeight="1">
      <c r="A640" s="1816"/>
      <c r="B640" s="1817"/>
      <c r="C640" s="1817"/>
      <c r="D640" s="1817"/>
      <c r="E640" s="1817"/>
      <c r="F640" s="1817"/>
      <c r="G640" s="1817"/>
      <c r="H640" s="1817"/>
      <c r="I640" s="1817"/>
      <c r="J640" s="1817"/>
      <c r="K640" s="1818"/>
      <c r="L640" s="1819"/>
      <c r="M640" s="1819"/>
      <c r="N640" s="1819"/>
      <c r="O640" s="1819"/>
      <c r="P640" s="1822"/>
      <c r="Q640" s="1822"/>
      <c r="R640" s="1822"/>
      <c r="S640" s="1822"/>
      <c r="T640" s="1822"/>
      <c r="U640" s="1822"/>
      <c r="V640" s="1822"/>
    </row>
    <row r="641" spans="1:22" ht="22.5" customHeight="1">
      <c r="A641" s="1816"/>
      <c r="B641" s="1817"/>
      <c r="C641" s="1817"/>
      <c r="D641" s="1817"/>
      <c r="E641" s="1817"/>
      <c r="F641" s="1817"/>
      <c r="G641" s="1817"/>
      <c r="H641" s="1817"/>
      <c r="I641" s="1817"/>
      <c r="J641" s="1817"/>
      <c r="K641" s="1818"/>
      <c r="L641" s="1819"/>
      <c r="M641" s="1819"/>
      <c r="N641" s="1819"/>
      <c r="O641" s="1819"/>
      <c r="P641" s="1822"/>
      <c r="Q641" s="1822"/>
      <c r="R641" s="1822"/>
      <c r="S641" s="1822"/>
      <c r="T641" s="1822"/>
      <c r="U641" s="1822"/>
      <c r="V641" s="1822"/>
    </row>
    <row r="642" spans="1:22" ht="22.5" customHeight="1">
      <c r="A642" s="1816"/>
      <c r="B642" s="1817"/>
      <c r="C642" s="1817"/>
      <c r="D642" s="1817"/>
      <c r="E642" s="1817"/>
      <c r="F642" s="1817"/>
      <c r="G642" s="1817"/>
      <c r="H642" s="1817"/>
      <c r="I642" s="1817"/>
      <c r="J642" s="1817"/>
      <c r="K642" s="1818"/>
      <c r="L642" s="1819"/>
      <c r="M642" s="1819"/>
      <c r="N642" s="1819"/>
      <c r="O642" s="1819"/>
      <c r="P642" s="1822"/>
      <c r="Q642" s="1822"/>
      <c r="R642" s="1822"/>
      <c r="S642" s="1822"/>
      <c r="T642" s="1822"/>
      <c r="U642" s="1822"/>
      <c r="V642" s="1822"/>
    </row>
    <row r="643" spans="1:22" ht="22.5" customHeight="1">
      <c r="A643" s="1816"/>
      <c r="B643" s="1817"/>
      <c r="C643" s="1817"/>
      <c r="D643" s="1817"/>
      <c r="E643" s="1817"/>
      <c r="F643" s="1817"/>
      <c r="G643" s="1817"/>
      <c r="H643" s="1817"/>
      <c r="I643" s="1817"/>
      <c r="J643" s="1817"/>
      <c r="K643" s="1818"/>
      <c r="L643" s="1819"/>
      <c r="M643" s="1819"/>
      <c r="N643" s="1819"/>
      <c r="O643" s="1819"/>
      <c r="P643" s="1822"/>
      <c r="Q643" s="1822"/>
      <c r="R643" s="1822"/>
      <c r="S643" s="1822"/>
      <c r="T643" s="1822"/>
      <c r="U643" s="1822"/>
      <c r="V643" s="1822"/>
    </row>
    <row r="644" spans="1:22" ht="22.5" customHeight="1">
      <c r="A644" s="1816"/>
      <c r="B644" s="1817"/>
      <c r="C644" s="1817"/>
      <c r="D644" s="1817"/>
      <c r="E644" s="1817"/>
      <c r="F644" s="1817"/>
      <c r="G644" s="1817"/>
      <c r="H644" s="1817"/>
      <c r="I644" s="1817"/>
      <c r="J644" s="1817"/>
      <c r="K644" s="1818"/>
      <c r="L644" s="1819"/>
      <c r="M644" s="1819"/>
      <c r="N644" s="1819"/>
      <c r="O644" s="1819"/>
      <c r="P644" s="1822"/>
      <c r="Q644" s="1822"/>
      <c r="R644" s="1822"/>
      <c r="S644" s="1822"/>
      <c r="T644" s="1822"/>
      <c r="U644" s="1822"/>
      <c r="V644" s="1822"/>
    </row>
    <row r="645" spans="1:22" ht="22.5" customHeight="1">
      <c r="A645" s="1816"/>
      <c r="B645" s="1817"/>
      <c r="C645" s="1817"/>
      <c r="D645" s="1817"/>
      <c r="E645" s="1817"/>
      <c r="F645" s="1817"/>
      <c r="G645" s="1817"/>
      <c r="H645" s="1817"/>
      <c r="I645" s="1817"/>
      <c r="J645" s="1817"/>
      <c r="K645" s="1818"/>
      <c r="L645" s="1819"/>
      <c r="M645" s="1819"/>
      <c r="N645" s="1819"/>
      <c r="O645" s="1819"/>
      <c r="P645" s="1822"/>
      <c r="Q645" s="1822"/>
      <c r="R645" s="1822"/>
      <c r="S645" s="1822"/>
      <c r="T645" s="1822"/>
      <c r="U645" s="1822"/>
      <c r="V645" s="1822"/>
    </row>
    <row r="646" spans="1:22" ht="22.5" customHeight="1">
      <c r="A646" s="1816"/>
      <c r="B646" s="1817"/>
      <c r="C646" s="1817"/>
      <c r="D646" s="1817"/>
      <c r="E646" s="1817"/>
      <c r="F646" s="1817"/>
      <c r="G646" s="1817"/>
      <c r="H646" s="1817"/>
      <c r="I646" s="1817"/>
      <c r="J646" s="1817"/>
      <c r="K646" s="1818"/>
      <c r="L646" s="1819"/>
      <c r="M646" s="1819"/>
      <c r="N646" s="1819"/>
      <c r="O646" s="1819"/>
      <c r="P646" s="1822"/>
      <c r="Q646" s="1822"/>
      <c r="R646" s="1822"/>
      <c r="S646" s="1822"/>
      <c r="T646" s="1822"/>
      <c r="U646" s="1822"/>
      <c r="V646" s="1822"/>
    </row>
    <row r="647" spans="1:22" ht="22.5" customHeight="1">
      <c r="A647" s="1816"/>
      <c r="B647" s="1817"/>
      <c r="C647" s="1817"/>
      <c r="D647" s="1817"/>
      <c r="E647" s="1817"/>
      <c r="F647" s="1817"/>
      <c r="G647" s="1817"/>
      <c r="H647" s="1817"/>
      <c r="I647" s="1817"/>
      <c r="J647" s="1817"/>
      <c r="K647" s="1818"/>
      <c r="L647" s="1819"/>
      <c r="M647" s="1819"/>
      <c r="N647" s="1819"/>
      <c r="O647" s="1819"/>
      <c r="P647" s="1822"/>
      <c r="Q647" s="1822"/>
      <c r="R647" s="1822"/>
      <c r="S647" s="1822"/>
      <c r="T647" s="1822"/>
      <c r="U647" s="1822"/>
      <c r="V647" s="1822"/>
    </row>
    <row r="648" spans="1:22" ht="22.5" customHeight="1">
      <c r="A648" s="1816"/>
      <c r="B648" s="1817"/>
      <c r="C648" s="1817"/>
      <c r="D648" s="1817"/>
      <c r="E648" s="1817"/>
      <c r="F648" s="1817"/>
      <c r="G648" s="1817"/>
      <c r="H648" s="1817"/>
      <c r="I648" s="1817"/>
      <c r="J648" s="1817"/>
      <c r="K648" s="1818"/>
      <c r="L648" s="1819"/>
      <c r="M648" s="1819"/>
      <c r="N648" s="1819"/>
      <c r="O648" s="1819"/>
      <c r="P648" s="1822"/>
      <c r="Q648" s="1822"/>
      <c r="R648" s="1822"/>
      <c r="S648" s="1822"/>
      <c r="T648" s="1822"/>
      <c r="U648" s="1822"/>
      <c r="V648" s="1822"/>
    </row>
    <row r="649" spans="1:22" ht="22.5" customHeight="1">
      <c r="A649" s="1816"/>
      <c r="B649" s="1817"/>
      <c r="C649" s="1817"/>
      <c r="D649" s="1817"/>
      <c r="E649" s="1817"/>
      <c r="F649" s="1817"/>
      <c r="G649" s="1817"/>
      <c r="H649" s="1817"/>
      <c r="I649" s="1817"/>
      <c r="J649" s="1817"/>
      <c r="K649" s="1818"/>
      <c r="L649" s="1819"/>
      <c r="M649" s="1819"/>
      <c r="N649" s="1819"/>
      <c r="O649" s="1819"/>
      <c r="P649" s="1822"/>
      <c r="Q649" s="1822"/>
      <c r="R649" s="1822"/>
      <c r="S649" s="1822"/>
      <c r="T649" s="1822"/>
      <c r="U649" s="1822"/>
      <c r="V649" s="1822"/>
    </row>
    <row r="650" spans="1:22" ht="22.5" customHeight="1">
      <c r="A650" s="1816"/>
      <c r="B650" s="1817"/>
      <c r="C650" s="1817"/>
      <c r="D650" s="1817"/>
      <c r="E650" s="1817"/>
      <c r="F650" s="1817"/>
      <c r="G650" s="1817"/>
      <c r="H650" s="1817"/>
      <c r="I650" s="1817"/>
      <c r="J650" s="1817"/>
      <c r="K650" s="1818"/>
      <c r="L650" s="1819"/>
      <c r="M650" s="1819"/>
      <c r="N650" s="1819"/>
      <c r="O650" s="1819"/>
      <c r="P650" s="1822"/>
      <c r="Q650" s="1822"/>
      <c r="R650" s="1822"/>
      <c r="S650" s="1822"/>
      <c r="T650" s="1822"/>
      <c r="U650" s="1822"/>
      <c r="V650" s="1822"/>
    </row>
    <row r="651" spans="1:22" ht="22.5" customHeight="1">
      <c r="A651" s="1816"/>
      <c r="B651" s="1817"/>
      <c r="C651" s="1817"/>
      <c r="D651" s="1817"/>
      <c r="E651" s="1817"/>
      <c r="F651" s="1817"/>
      <c r="G651" s="1817"/>
      <c r="H651" s="1817"/>
      <c r="I651" s="1817"/>
      <c r="J651" s="1817"/>
      <c r="K651" s="1818"/>
      <c r="L651" s="1819"/>
      <c r="M651" s="1819"/>
      <c r="N651" s="1819"/>
      <c r="O651" s="1819"/>
      <c r="P651" s="1822"/>
      <c r="Q651" s="1822"/>
      <c r="R651" s="1822"/>
      <c r="S651" s="1822"/>
      <c r="T651" s="1822"/>
      <c r="U651" s="1822"/>
      <c r="V651" s="1822"/>
    </row>
    <row r="652" spans="1:22" ht="22.5" customHeight="1">
      <c r="A652" s="1816"/>
      <c r="B652" s="1817"/>
      <c r="C652" s="1817"/>
      <c r="D652" s="1817"/>
      <c r="E652" s="1817"/>
      <c r="F652" s="1817"/>
      <c r="G652" s="1817"/>
      <c r="H652" s="1817"/>
      <c r="I652" s="1817"/>
      <c r="J652" s="1817"/>
      <c r="K652" s="1818"/>
      <c r="L652" s="1819"/>
      <c r="M652" s="1819"/>
      <c r="N652" s="1819"/>
      <c r="O652" s="1819"/>
      <c r="P652" s="1822"/>
      <c r="Q652" s="1822"/>
      <c r="R652" s="1822"/>
      <c r="S652" s="1822"/>
      <c r="T652" s="1822"/>
      <c r="U652" s="1822"/>
      <c r="V652" s="1822"/>
    </row>
    <row r="653" spans="1:22" ht="22.5" customHeight="1">
      <c r="A653" s="1816"/>
      <c r="B653" s="1817"/>
      <c r="C653" s="1817"/>
      <c r="D653" s="1817"/>
      <c r="E653" s="1817"/>
      <c r="F653" s="1817"/>
      <c r="G653" s="1817"/>
      <c r="H653" s="1817"/>
      <c r="I653" s="1817"/>
      <c r="J653" s="1817"/>
      <c r="K653" s="1818"/>
      <c r="L653" s="1819"/>
      <c r="M653" s="1819"/>
      <c r="N653" s="1819"/>
      <c r="O653" s="1819"/>
      <c r="P653" s="1822"/>
      <c r="Q653" s="1822"/>
      <c r="R653" s="1822"/>
      <c r="S653" s="1822"/>
      <c r="T653" s="1822"/>
      <c r="U653" s="1822"/>
      <c r="V653" s="1822"/>
    </row>
    <row r="654" spans="1:22" ht="22.5" customHeight="1">
      <c r="A654" s="1816"/>
      <c r="B654" s="1817"/>
      <c r="C654" s="1817"/>
      <c r="D654" s="1817"/>
      <c r="E654" s="1817"/>
      <c r="F654" s="1817"/>
      <c r="G654" s="1817"/>
      <c r="H654" s="1817"/>
      <c r="I654" s="1817"/>
      <c r="J654" s="1817"/>
      <c r="K654" s="1818"/>
      <c r="L654" s="1819"/>
      <c r="M654" s="1819"/>
      <c r="N654" s="1819"/>
      <c r="O654" s="1819"/>
      <c r="P654" s="1822"/>
      <c r="Q654" s="1822"/>
      <c r="R654" s="1822"/>
      <c r="S654" s="1822"/>
      <c r="T654" s="1822"/>
      <c r="U654" s="1822"/>
      <c r="V654" s="1822"/>
    </row>
    <row r="655" spans="1:22" ht="22.5" customHeight="1">
      <c r="A655" s="1816"/>
      <c r="B655" s="1817"/>
      <c r="C655" s="1817"/>
      <c r="D655" s="1817"/>
      <c r="E655" s="1817"/>
      <c r="F655" s="1817"/>
      <c r="G655" s="1817"/>
      <c r="H655" s="1817"/>
      <c r="I655" s="1817"/>
      <c r="J655" s="1817"/>
      <c r="K655" s="1818"/>
      <c r="L655" s="1819"/>
      <c r="M655" s="1819"/>
      <c r="N655" s="1819"/>
      <c r="O655" s="1819"/>
      <c r="P655" s="1822"/>
      <c r="Q655" s="1822"/>
      <c r="R655" s="1822"/>
      <c r="S655" s="1822"/>
      <c r="T655" s="1822"/>
      <c r="U655" s="1822"/>
      <c r="V655" s="1822"/>
    </row>
    <row r="656" spans="1:22" ht="22.5" customHeight="1">
      <c r="A656" s="1817"/>
      <c r="B656" s="1817"/>
      <c r="C656" s="1817"/>
      <c r="D656" s="1817"/>
      <c r="E656" s="1817"/>
      <c r="F656" s="1817"/>
      <c r="G656" s="1817"/>
      <c r="H656" s="1817"/>
      <c r="I656" s="1817"/>
      <c r="J656" s="1817"/>
      <c r="K656" s="1818"/>
      <c r="L656" s="1819"/>
      <c r="M656" s="1819"/>
      <c r="N656" s="1819"/>
      <c r="O656" s="1819"/>
      <c r="P656" s="1822"/>
      <c r="Q656" s="1822"/>
      <c r="R656" s="1822"/>
      <c r="S656" s="1822"/>
      <c r="T656" s="1822"/>
      <c r="U656" s="1822"/>
      <c r="V656" s="1822"/>
    </row>
    <row r="657" spans="1:22" ht="22.5" customHeight="1">
      <c r="A657" s="1816"/>
      <c r="B657" s="1817"/>
      <c r="C657" s="1817"/>
      <c r="D657" s="1817"/>
      <c r="E657" s="1817"/>
      <c r="F657" s="1817"/>
      <c r="G657" s="1817"/>
      <c r="H657" s="1817"/>
      <c r="I657" s="1817"/>
      <c r="J657" s="1817"/>
      <c r="K657" s="1818"/>
      <c r="L657" s="1819"/>
      <c r="M657" s="1819"/>
      <c r="N657" s="1819"/>
      <c r="O657" s="1819"/>
      <c r="P657" s="1822"/>
      <c r="Q657" s="1822"/>
      <c r="R657" s="1822"/>
      <c r="S657" s="1822"/>
      <c r="T657" s="1822"/>
      <c r="U657" s="1822"/>
      <c r="V657" s="1822"/>
    </row>
    <row r="658" spans="1:22" ht="22.5" customHeight="1">
      <c r="A658" s="1816"/>
      <c r="B658" s="1817"/>
      <c r="C658" s="1817"/>
      <c r="D658" s="1817"/>
      <c r="E658" s="1817"/>
      <c r="F658" s="1817"/>
      <c r="G658" s="1817"/>
      <c r="H658" s="1817"/>
      <c r="I658" s="1817"/>
      <c r="J658" s="1817"/>
      <c r="K658" s="1818"/>
      <c r="L658" s="1819"/>
      <c r="M658" s="1819"/>
      <c r="N658" s="1819"/>
      <c r="O658" s="1819"/>
      <c r="P658" s="1822"/>
      <c r="Q658" s="1822"/>
      <c r="R658" s="1822"/>
      <c r="S658" s="1822"/>
      <c r="T658" s="1822"/>
      <c r="U658" s="1822"/>
      <c r="V658" s="1822"/>
    </row>
    <row r="659" spans="1:22" ht="22.5" customHeight="1">
      <c r="A659" s="1816"/>
      <c r="B659" s="1817"/>
      <c r="C659" s="1817"/>
      <c r="D659" s="1817"/>
      <c r="E659" s="1817"/>
      <c r="F659" s="1817"/>
      <c r="G659" s="1817"/>
      <c r="H659" s="1817"/>
      <c r="I659" s="1817"/>
      <c r="J659" s="1817"/>
      <c r="K659" s="1818"/>
      <c r="L659" s="1819"/>
      <c r="M659" s="1819"/>
      <c r="N659" s="1819"/>
      <c r="O659" s="1819"/>
      <c r="P659" s="1822"/>
      <c r="Q659" s="1822"/>
      <c r="R659" s="1822"/>
      <c r="S659" s="1822"/>
      <c r="T659" s="1822"/>
      <c r="U659" s="1822"/>
      <c r="V659" s="1822"/>
    </row>
    <row r="660" spans="1:22" ht="22.5" customHeight="1">
      <c r="A660" s="1816"/>
      <c r="B660" s="1817"/>
      <c r="C660" s="1817"/>
      <c r="D660" s="1817"/>
      <c r="E660" s="1817"/>
      <c r="F660" s="1817"/>
      <c r="G660" s="1817"/>
      <c r="H660" s="1817"/>
      <c r="I660" s="1817"/>
      <c r="J660" s="1817"/>
      <c r="K660" s="1818"/>
      <c r="L660" s="1819"/>
      <c r="M660" s="1819"/>
      <c r="N660" s="1819"/>
      <c r="O660" s="1819"/>
      <c r="P660" s="1822"/>
      <c r="Q660" s="1822"/>
      <c r="R660" s="1822"/>
      <c r="S660" s="1822"/>
      <c r="T660" s="1822"/>
      <c r="U660" s="1822"/>
      <c r="V660" s="1822"/>
    </row>
    <row r="661" spans="1:22" ht="22.5" customHeight="1">
      <c r="A661" s="1816"/>
      <c r="B661" s="1817"/>
      <c r="C661" s="1817"/>
      <c r="D661" s="1817"/>
      <c r="E661" s="1817"/>
      <c r="F661" s="1817"/>
      <c r="G661" s="1817"/>
      <c r="H661" s="1817"/>
      <c r="I661" s="1817"/>
      <c r="J661" s="1817"/>
      <c r="K661" s="1818"/>
      <c r="L661" s="1819"/>
      <c r="M661" s="1819"/>
      <c r="N661" s="1819"/>
      <c r="O661" s="1819"/>
      <c r="P661" s="1822"/>
      <c r="Q661" s="1822"/>
      <c r="R661" s="1822"/>
      <c r="S661" s="1822"/>
      <c r="T661" s="1822"/>
      <c r="U661" s="1822"/>
      <c r="V661" s="1822"/>
    </row>
    <row r="662" spans="1:22" ht="22.5" customHeight="1">
      <c r="A662" s="1816"/>
      <c r="B662" s="1817"/>
      <c r="C662" s="1817"/>
      <c r="D662" s="1817"/>
      <c r="E662" s="1817"/>
      <c r="F662" s="1817"/>
      <c r="G662" s="1817"/>
      <c r="H662" s="1817"/>
      <c r="I662" s="1817"/>
      <c r="J662" s="1817"/>
      <c r="K662" s="1818"/>
      <c r="L662" s="1819"/>
      <c r="M662" s="1819"/>
      <c r="N662" s="1819"/>
      <c r="O662" s="1819"/>
      <c r="P662" s="1822"/>
      <c r="Q662" s="1822"/>
      <c r="R662" s="1822"/>
      <c r="S662" s="1822"/>
      <c r="T662" s="1822"/>
      <c r="U662" s="1822"/>
      <c r="V662" s="1822"/>
    </row>
    <row r="663" spans="1:22" ht="22.5" customHeight="1">
      <c r="A663" s="1816"/>
      <c r="B663" s="1817"/>
      <c r="C663" s="1817"/>
      <c r="D663" s="1817"/>
      <c r="E663" s="1817"/>
      <c r="F663" s="1817"/>
      <c r="G663" s="1817"/>
      <c r="H663" s="1817"/>
      <c r="I663" s="1817"/>
      <c r="J663" s="1817"/>
      <c r="K663" s="1818"/>
      <c r="L663" s="1819"/>
      <c r="M663" s="1819"/>
      <c r="N663" s="1819"/>
      <c r="O663" s="1819"/>
      <c r="P663" s="1822"/>
      <c r="Q663" s="1822"/>
      <c r="R663" s="1822"/>
      <c r="S663" s="1822"/>
      <c r="T663" s="1822"/>
      <c r="U663" s="1822"/>
      <c r="V663" s="1822"/>
    </row>
    <row r="664" spans="1:22" ht="22.5" customHeight="1">
      <c r="A664" s="1816"/>
      <c r="B664" s="1817"/>
      <c r="C664" s="1817"/>
      <c r="D664" s="1817"/>
      <c r="E664" s="1817"/>
      <c r="F664" s="1817"/>
      <c r="G664" s="1817"/>
      <c r="H664" s="1817"/>
      <c r="I664" s="1817"/>
      <c r="J664" s="1817"/>
      <c r="K664" s="1818"/>
      <c r="L664" s="1819"/>
      <c r="M664" s="1819"/>
      <c r="N664" s="1819"/>
      <c r="O664" s="1819"/>
      <c r="P664" s="1822"/>
      <c r="Q664" s="1822"/>
      <c r="R664" s="1822"/>
      <c r="S664" s="1822"/>
      <c r="T664" s="1822"/>
      <c r="U664" s="1822"/>
      <c r="V664" s="1822"/>
    </row>
    <row r="665" spans="1:22" ht="22.5" customHeight="1">
      <c r="A665" s="1816"/>
      <c r="B665" s="1817"/>
      <c r="C665" s="1817"/>
      <c r="D665" s="1817"/>
      <c r="E665" s="1817"/>
      <c r="F665" s="1817"/>
      <c r="G665" s="1817"/>
      <c r="H665" s="1817"/>
      <c r="I665" s="1817"/>
      <c r="J665" s="1817"/>
      <c r="K665" s="1818"/>
      <c r="L665" s="1819"/>
      <c r="M665" s="1819"/>
      <c r="N665" s="1819"/>
      <c r="O665" s="1819"/>
      <c r="P665" s="1822"/>
      <c r="Q665" s="1822"/>
      <c r="R665" s="1822"/>
      <c r="S665" s="1822"/>
      <c r="T665" s="1822"/>
      <c r="U665" s="1822"/>
      <c r="V665" s="1822"/>
    </row>
    <row r="666" spans="1:22" ht="22.5" customHeight="1">
      <c r="A666" s="1816"/>
      <c r="B666" s="1817"/>
      <c r="C666" s="1817"/>
      <c r="D666" s="1817"/>
      <c r="E666" s="1817"/>
      <c r="F666" s="1817"/>
      <c r="G666" s="1817"/>
      <c r="H666" s="1817"/>
      <c r="I666" s="1817"/>
      <c r="J666" s="1817"/>
      <c r="K666" s="1818"/>
      <c r="L666" s="1819"/>
      <c r="M666" s="1819"/>
      <c r="N666" s="1819"/>
      <c r="O666" s="1819"/>
      <c r="P666" s="1822"/>
      <c r="Q666" s="1822"/>
      <c r="R666" s="1822"/>
      <c r="S666" s="1822"/>
      <c r="T666" s="1822"/>
      <c r="U666" s="1822"/>
      <c r="V666" s="1822"/>
    </row>
    <row r="667" spans="1:22" ht="22.5" customHeight="1">
      <c r="A667" s="1816"/>
      <c r="B667" s="1817"/>
      <c r="C667" s="1817"/>
      <c r="D667" s="1817"/>
      <c r="E667" s="1817"/>
      <c r="F667" s="1817"/>
      <c r="G667" s="1817"/>
      <c r="H667" s="1817"/>
      <c r="I667" s="1817"/>
      <c r="J667" s="1817"/>
      <c r="K667" s="1818"/>
      <c r="L667" s="1819"/>
      <c r="M667" s="1819"/>
      <c r="N667" s="1819"/>
      <c r="O667" s="1819"/>
      <c r="P667" s="1822"/>
      <c r="Q667" s="1822"/>
      <c r="R667" s="1822"/>
      <c r="S667" s="1822"/>
      <c r="T667" s="1822"/>
      <c r="U667" s="1822"/>
      <c r="V667" s="1822"/>
    </row>
    <row r="668" spans="1:22" ht="22.5" customHeight="1" thickBot="1">
      <c r="A668" s="1823"/>
      <c r="B668" s="1824"/>
      <c r="C668" s="1824"/>
      <c r="D668" s="1824"/>
      <c r="E668" s="1824"/>
      <c r="F668" s="1824"/>
      <c r="G668" s="1824"/>
      <c r="H668" s="1824"/>
      <c r="I668" s="1824"/>
      <c r="J668" s="1824"/>
      <c r="K668" s="1825"/>
      <c r="L668" s="1826"/>
      <c r="M668" s="1826"/>
      <c r="N668" s="1826"/>
      <c r="O668" s="1826"/>
      <c r="P668" s="1827"/>
      <c r="Q668" s="1827"/>
      <c r="R668" s="1827"/>
      <c r="S668" s="1827"/>
      <c r="T668" s="1827"/>
      <c r="U668" s="1827"/>
      <c r="V668" s="1827"/>
    </row>
    <row r="669" spans="1:22" ht="22.5" customHeight="1" thickTop="1" thickBot="1">
      <c r="A669" s="1772"/>
      <c r="B669" s="1773"/>
      <c r="C669" s="1773"/>
      <c r="D669" s="1773"/>
      <c r="E669" s="1773"/>
      <c r="F669" s="1773"/>
      <c r="G669" s="1773"/>
      <c r="H669" s="1773"/>
      <c r="I669" s="1773"/>
      <c r="J669" s="1773"/>
      <c r="K669" s="1776"/>
      <c r="L669" s="1774"/>
      <c r="M669" s="1774"/>
      <c r="N669" s="1774"/>
      <c r="O669" s="1774"/>
      <c r="P669" s="1828"/>
      <c r="Q669" s="1828"/>
      <c r="R669" s="1828"/>
      <c r="S669" s="1828"/>
      <c r="T669" s="1828"/>
      <c r="U669" s="1828"/>
      <c r="V669" s="1828"/>
    </row>
    <row r="670" spans="1:22" ht="22.5" customHeight="1" thickTop="1" thickBot="1">
      <c r="A670" s="1772"/>
      <c r="B670" s="1773"/>
      <c r="C670" s="1773"/>
      <c r="D670" s="1773"/>
      <c r="E670" s="1773"/>
      <c r="F670" s="1773"/>
      <c r="G670" s="1773"/>
      <c r="H670" s="1773"/>
      <c r="I670" s="1773"/>
      <c r="J670" s="1773"/>
      <c r="K670" s="1776"/>
      <c r="L670" s="1774"/>
      <c r="M670" s="1774"/>
      <c r="N670" s="1774"/>
      <c r="O670" s="1774"/>
      <c r="P670" s="1828"/>
      <c r="Q670" s="1828"/>
      <c r="R670" s="1828"/>
      <c r="S670" s="1828"/>
      <c r="T670" s="1828"/>
      <c r="U670" s="1828"/>
      <c r="V670" s="1828"/>
    </row>
    <row r="671" spans="1:22" ht="22.5" customHeight="1" thickTop="1" thickBot="1">
      <c r="A671" s="1772"/>
      <c r="B671" s="1773"/>
      <c r="C671" s="1773"/>
      <c r="D671" s="1773"/>
      <c r="E671" s="1773"/>
      <c r="F671" s="1773"/>
      <c r="G671" s="1773"/>
      <c r="H671" s="1773"/>
      <c r="I671" s="1773"/>
      <c r="J671" s="1773"/>
      <c r="K671" s="1776"/>
      <c r="L671" s="1774"/>
      <c r="M671" s="1774"/>
      <c r="N671" s="1774"/>
      <c r="O671" s="1774"/>
      <c r="P671" s="1828"/>
      <c r="Q671" s="1828"/>
      <c r="R671" s="1828"/>
      <c r="S671" s="1828"/>
      <c r="T671" s="1828"/>
      <c r="U671" s="1828"/>
      <c r="V671" s="1828"/>
    </row>
    <row r="672" spans="1:22" ht="22.5" customHeight="1" thickTop="1" thickBot="1">
      <c r="A672" s="1772"/>
      <c r="B672" s="1773"/>
      <c r="C672" s="1773"/>
      <c r="D672" s="1773"/>
      <c r="E672" s="1773"/>
      <c r="F672" s="1773"/>
      <c r="G672" s="1773"/>
      <c r="H672" s="1773"/>
      <c r="I672" s="1773"/>
      <c r="J672" s="1773"/>
      <c r="K672" s="1776"/>
      <c r="L672" s="1774"/>
      <c r="M672" s="1774"/>
      <c r="N672" s="1774"/>
      <c r="O672" s="1774"/>
      <c r="P672" s="1828"/>
      <c r="Q672" s="1828"/>
      <c r="R672" s="1828"/>
      <c r="S672" s="1828"/>
      <c r="T672" s="1828"/>
      <c r="U672" s="1828"/>
      <c r="V672" s="1828"/>
    </row>
    <row r="673" spans="1:22" ht="22.5" customHeight="1" thickTop="1" thickBot="1">
      <c r="A673" s="1772"/>
      <c r="B673" s="1773"/>
      <c r="C673" s="1773"/>
      <c r="D673" s="1773"/>
      <c r="E673" s="1773"/>
      <c r="F673" s="1773"/>
      <c r="G673" s="1773"/>
      <c r="H673" s="1773"/>
      <c r="I673" s="1773"/>
      <c r="J673" s="1773"/>
      <c r="K673" s="1776"/>
      <c r="L673" s="1774"/>
      <c r="M673" s="1774"/>
      <c r="N673" s="1774"/>
      <c r="O673" s="1774"/>
      <c r="P673" s="1828"/>
      <c r="Q673" s="1828"/>
      <c r="R673" s="1828"/>
      <c r="S673" s="1828"/>
      <c r="T673" s="1828"/>
      <c r="U673" s="1828"/>
      <c r="V673" s="1828"/>
    </row>
    <row r="674" spans="1:22" ht="22.5" customHeight="1" thickTop="1" thickBot="1">
      <c r="A674" s="1772"/>
      <c r="B674" s="1773"/>
      <c r="C674" s="1773"/>
      <c r="D674" s="1773"/>
      <c r="E674" s="1773"/>
      <c r="F674" s="1773"/>
      <c r="G674" s="1773"/>
      <c r="H674" s="1773"/>
      <c r="I674" s="1773"/>
      <c r="J674" s="1773"/>
      <c r="K674" s="1776"/>
      <c r="L674" s="1774"/>
      <c r="M674" s="1774"/>
      <c r="N674" s="1774"/>
      <c r="O674" s="1774"/>
      <c r="P674" s="1828"/>
      <c r="Q674" s="1828"/>
      <c r="R674" s="1828"/>
      <c r="S674" s="1828"/>
      <c r="T674" s="1828"/>
      <c r="U674" s="1828"/>
      <c r="V674" s="1828"/>
    </row>
    <row r="675" spans="1:22" ht="22.5" customHeight="1" thickTop="1" thickBot="1">
      <c r="A675" s="1772"/>
      <c r="B675" s="1773"/>
      <c r="C675" s="1773"/>
      <c r="D675" s="1773"/>
      <c r="E675" s="1773"/>
      <c r="F675" s="1773"/>
      <c r="G675" s="1773"/>
      <c r="H675" s="1773"/>
      <c r="I675" s="1773"/>
      <c r="J675" s="1773"/>
      <c r="K675" s="1776"/>
      <c r="L675" s="1774"/>
      <c r="M675" s="1774"/>
      <c r="N675" s="1774"/>
      <c r="O675" s="1774"/>
      <c r="P675" s="1828"/>
      <c r="Q675" s="1828"/>
      <c r="R675" s="1828"/>
      <c r="S675" s="1828"/>
      <c r="T675" s="1828"/>
      <c r="U675" s="1828"/>
      <c r="V675" s="1828"/>
    </row>
    <row r="676" spans="1:22" ht="22.5" customHeight="1" thickTop="1" thickBot="1">
      <c r="A676" s="1772"/>
      <c r="B676" s="1773"/>
      <c r="C676" s="1773"/>
      <c r="D676" s="1773"/>
      <c r="E676" s="1773"/>
      <c r="F676" s="1773"/>
      <c r="G676" s="1773"/>
      <c r="H676" s="1773"/>
      <c r="I676" s="1773"/>
      <c r="J676" s="1773"/>
      <c r="K676" s="1776"/>
      <c r="L676" s="1774"/>
      <c r="M676" s="1774"/>
      <c r="N676" s="1774"/>
      <c r="O676" s="1774"/>
      <c r="P676" s="1828"/>
      <c r="Q676" s="1828"/>
      <c r="R676" s="1828"/>
      <c r="S676" s="1828"/>
      <c r="T676" s="1828"/>
      <c r="U676" s="1828"/>
      <c r="V676" s="1828"/>
    </row>
    <row r="677" spans="1:22" ht="22.5" customHeight="1" thickTop="1" thickBot="1">
      <c r="A677" s="1772"/>
      <c r="B677" s="1773"/>
      <c r="C677" s="1773"/>
      <c r="D677" s="1773"/>
      <c r="E677" s="1773"/>
      <c r="F677" s="1773"/>
      <c r="G677" s="1773"/>
      <c r="H677" s="1773"/>
      <c r="I677" s="1773"/>
      <c r="J677" s="1773"/>
      <c r="K677" s="1776"/>
      <c r="L677" s="1774"/>
      <c r="M677" s="1774"/>
      <c r="N677" s="1774"/>
      <c r="O677" s="1774"/>
      <c r="P677" s="1828"/>
      <c r="Q677" s="1828"/>
      <c r="R677" s="1828"/>
      <c r="S677" s="1828"/>
      <c r="T677" s="1828"/>
      <c r="U677" s="1828"/>
      <c r="V677" s="1828"/>
    </row>
    <row r="678" spans="1:22" ht="22.5" customHeight="1" thickTop="1" thickBot="1">
      <c r="A678" s="1772"/>
      <c r="B678" s="1773"/>
      <c r="C678" s="1773"/>
      <c r="D678" s="1773"/>
      <c r="E678" s="1773"/>
      <c r="F678" s="1773"/>
      <c r="G678" s="1773"/>
      <c r="H678" s="1773"/>
      <c r="I678" s="1773"/>
      <c r="J678" s="1773"/>
      <c r="K678" s="1776"/>
      <c r="L678" s="1774"/>
      <c r="M678" s="1774"/>
      <c r="N678" s="1774"/>
      <c r="O678" s="1774"/>
      <c r="P678" s="1828"/>
      <c r="Q678" s="1828"/>
      <c r="R678" s="1828"/>
      <c r="S678" s="1828"/>
      <c r="T678" s="1828"/>
      <c r="U678" s="1828"/>
      <c r="V678" s="1828"/>
    </row>
    <row r="679" spans="1:22" ht="22.5" customHeight="1" thickTop="1" thickBot="1">
      <c r="A679" s="1772"/>
      <c r="B679" s="1773"/>
      <c r="C679" s="1773"/>
      <c r="D679" s="1773"/>
      <c r="E679" s="1773"/>
      <c r="F679" s="1773"/>
      <c r="G679" s="1773"/>
      <c r="H679" s="1773"/>
      <c r="I679" s="1773"/>
      <c r="J679" s="1773"/>
      <c r="K679" s="1776"/>
      <c r="L679" s="1774"/>
      <c r="M679" s="1774"/>
      <c r="N679" s="1774"/>
      <c r="O679" s="1774"/>
      <c r="P679" s="1828"/>
      <c r="Q679" s="1828"/>
      <c r="R679" s="1828"/>
      <c r="S679" s="1828"/>
      <c r="T679" s="1828"/>
      <c r="U679" s="1828"/>
      <c r="V679" s="1828"/>
    </row>
    <row r="680" spans="1:22" ht="22.5" customHeight="1" thickTop="1" thickBot="1">
      <c r="A680" s="1772"/>
      <c r="B680" s="1773"/>
      <c r="C680" s="1773"/>
      <c r="D680" s="1773"/>
      <c r="E680" s="1773"/>
      <c r="F680" s="1773"/>
      <c r="G680" s="1773"/>
      <c r="H680" s="1773"/>
      <c r="I680" s="1773"/>
      <c r="J680" s="1773"/>
      <c r="K680" s="1776"/>
      <c r="L680" s="1774"/>
      <c r="M680" s="1774"/>
      <c r="N680" s="1774"/>
      <c r="O680" s="1774"/>
      <c r="P680" s="1828"/>
      <c r="Q680" s="1828"/>
      <c r="R680" s="1828"/>
      <c r="S680" s="1828"/>
      <c r="T680" s="1828"/>
      <c r="U680" s="1828"/>
      <c r="V680" s="1828"/>
    </row>
    <row r="681" spans="1:22" ht="22.5" customHeight="1" thickTop="1" thickBot="1">
      <c r="A681" s="1772"/>
      <c r="B681" s="1773"/>
      <c r="C681" s="1773"/>
      <c r="D681" s="1773"/>
      <c r="E681" s="1773"/>
      <c r="F681" s="1773"/>
      <c r="G681" s="1773"/>
      <c r="H681" s="1773"/>
      <c r="I681" s="1773"/>
      <c r="J681" s="1773"/>
      <c r="K681" s="1776"/>
      <c r="L681" s="1774"/>
      <c r="M681" s="1774"/>
      <c r="N681" s="1774"/>
      <c r="O681" s="1774"/>
      <c r="P681" s="1828"/>
      <c r="Q681" s="1828"/>
      <c r="R681" s="1828"/>
      <c r="S681" s="1828"/>
      <c r="T681" s="1828"/>
      <c r="U681" s="1828"/>
      <c r="V681" s="1828"/>
    </row>
    <row r="682" spans="1:22" ht="22.5" customHeight="1" thickTop="1" thickBot="1">
      <c r="A682" s="1772"/>
      <c r="B682" s="1773"/>
      <c r="C682" s="1773"/>
      <c r="D682" s="1773"/>
      <c r="E682" s="1773"/>
      <c r="F682" s="1773"/>
      <c r="G682" s="1773"/>
      <c r="H682" s="1773"/>
      <c r="I682" s="1773"/>
      <c r="J682" s="1773"/>
      <c r="K682" s="1776"/>
      <c r="L682" s="1774"/>
      <c r="M682" s="1774"/>
      <c r="N682" s="1774"/>
      <c r="O682" s="1774"/>
      <c r="P682" s="1828"/>
      <c r="Q682" s="1828"/>
      <c r="R682" s="1828"/>
      <c r="S682" s="1828"/>
      <c r="T682" s="1828"/>
      <c r="U682" s="1828"/>
      <c r="V682" s="1828"/>
    </row>
    <row r="683" spans="1:22" ht="22.5" customHeight="1" thickTop="1" thickBot="1">
      <c r="A683" s="1772"/>
      <c r="B683" s="1773"/>
      <c r="C683" s="1773"/>
      <c r="D683" s="1773"/>
      <c r="E683" s="1773"/>
      <c r="F683" s="1773"/>
      <c r="G683" s="1773"/>
      <c r="H683" s="1773"/>
      <c r="I683" s="1773"/>
      <c r="J683" s="1773"/>
      <c r="K683" s="1776"/>
      <c r="L683" s="1774"/>
      <c r="M683" s="1774"/>
      <c r="N683" s="1774"/>
      <c r="O683" s="1774"/>
      <c r="P683" s="1828"/>
      <c r="Q683" s="1828"/>
      <c r="R683" s="1828"/>
      <c r="S683" s="1828"/>
      <c r="T683" s="1828"/>
      <c r="U683" s="1828"/>
      <c r="V683" s="1828"/>
    </row>
    <row r="684" spans="1:22" ht="22.5" customHeight="1" thickTop="1" thickBot="1">
      <c r="A684" s="1772"/>
      <c r="B684" s="1773"/>
      <c r="C684" s="1773"/>
      <c r="D684" s="1773"/>
      <c r="E684" s="1773"/>
      <c r="F684" s="1773"/>
      <c r="G684" s="1773"/>
      <c r="H684" s="1773"/>
      <c r="I684" s="1773"/>
      <c r="J684" s="1773"/>
      <c r="K684" s="1776"/>
      <c r="L684" s="1774"/>
      <c r="M684" s="1774"/>
      <c r="N684" s="1774"/>
      <c r="O684" s="1774"/>
      <c r="P684" s="1828"/>
      <c r="Q684" s="1828"/>
      <c r="R684" s="1828"/>
      <c r="S684" s="1828"/>
      <c r="T684" s="1828"/>
      <c r="U684" s="1828"/>
      <c r="V684" s="1828"/>
    </row>
    <row r="685" spans="1:22" ht="22.5" customHeight="1" thickTop="1" thickBot="1">
      <c r="A685" s="1772"/>
      <c r="B685" s="1773"/>
      <c r="C685" s="1773"/>
      <c r="D685" s="1773"/>
      <c r="E685" s="1773"/>
      <c r="F685" s="1773"/>
      <c r="G685" s="1773"/>
      <c r="H685" s="1773"/>
      <c r="I685" s="1773"/>
      <c r="J685" s="1773"/>
      <c r="K685" s="1776"/>
      <c r="L685" s="1774"/>
      <c r="M685" s="1774"/>
      <c r="N685" s="1774"/>
      <c r="O685" s="1774"/>
      <c r="P685" s="1828"/>
      <c r="Q685" s="1828"/>
      <c r="R685" s="1828"/>
      <c r="S685" s="1828"/>
      <c r="T685" s="1828"/>
      <c r="U685" s="1828"/>
      <c r="V685" s="1828"/>
    </row>
    <row r="686" spans="1:22" ht="22.5" customHeight="1" thickTop="1" thickBot="1">
      <c r="A686" s="1772"/>
      <c r="B686" s="1773"/>
      <c r="C686" s="1773"/>
      <c r="D686" s="1773"/>
      <c r="E686" s="1773"/>
      <c r="F686" s="1773"/>
      <c r="G686" s="1773"/>
      <c r="H686" s="1773"/>
      <c r="I686" s="1773"/>
      <c r="J686" s="1773"/>
      <c r="K686" s="1776"/>
      <c r="L686" s="1774"/>
      <c r="M686" s="1774"/>
      <c r="N686" s="1774"/>
      <c r="O686" s="1774"/>
      <c r="P686" s="1828"/>
      <c r="Q686" s="1828"/>
      <c r="R686" s="1828"/>
      <c r="S686" s="1828"/>
      <c r="T686" s="1828"/>
      <c r="U686" s="1828"/>
      <c r="V686" s="1828"/>
    </row>
    <row r="687" spans="1:22" ht="22.5" customHeight="1" thickTop="1" thickBot="1">
      <c r="A687" s="1772"/>
      <c r="B687" s="1773"/>
      <c r="C687" s="1773"/>
      <c r="D687" s="1773"/>
      <c r="E687" s="1773"/>
      <c r="F687" s="1773"/>
      <c r="G687" s="1773"/>
      <c r="H687" s="1773"/>
      <c r="I687" s="1773"/>
      <c r="J687" s="1773"/>
      <c r="K687" s="1776"/>
      <c r="L687" s="1774"/>
      <c r="M687" s="1774"/>
      <c r="N687" s="1774"/>
      <c r="O687" s="1774"/>
      <c r="P687" s="1828"/>
      <c r="Q687" s="1828"/>
      <c r="R687" s="1828"/>
      <c r="S687" s="1828"/>
      <c r="T687" s="1828"/>
      <c r="U687" s="1828"/>
      <c r="V687" s="1828"/>
    </row>
    <row r="688" spans="1:22" ht="22.5" customHeight="1" thickTop="1" thickBot="1">
      <c r="A688" s="1772"/>
      <c r="B688" s="1773"/>
      <c r="C688" s="1773"/>
      <c r="D688" s="1773"/>
      <c r="E688" s="1773"/>
      <c r="F688" s="1773"/>
      <c r="G688" s="1773"/>
      <c r="H688" s="1773"/>
      <c r="I688" s="1773"/>
      <c r="J688" s="1773"/>
      <c r="K688" s="1776"/>
      <c r="L688" s="1774"/>
      <c r="M688" s="1774"/>
      <c r="N688" s="1774"/>
      <c r="O688" s="1774"/>
      <c r="P688" s="1828"/>
      <c r="Q688" s="1828"/>
      <c r="R688" s="1828"/>
      <c r="S688" s="1828"/>
      <c r="T688" s="1828"/>
      <c r="U688" s="1828"/>
      <c r="V688" s="1828"/>
    </row>
    <row r="689" spans="1:22" ht="22.5" customHeight="1" thickTop="1" thickBot="1">
      <c r="A689" s="1772"/>
      <c r="B689" s="1773"/>
      <c r="C689" s="1773"/>
      <c r="D689" s="1773"/>
      <c r="E689" s="1773"/>
      <c r="F689" s="1773"/>
      <c r="G689" s="1773"/>
      <c r="H689" s="1773"/>
      <c r="I689" s="1773"/>
      <c r="J689" s="1773"/>
      <c r="K689" s="1776"/>
      <c r="L689" s="1774"/>
      <c r="M689" s="1774"/>
      <c r="N689" s="1774"/>
      <c r="O689" s="1774"/>
      <c r="P689" s="1828"/>
      <c r="Q689" s="1828"/>
      <c r="R689" s="1828"/>
      <c r="S689" s="1828"/>
      <c r="T689" s="1828"/>
      <c r="U689" s="1828"/>
      <c r="V689" s="1828"/>
    </row>
    <row r="690" spans="1:22" ht="22.5" customHeight="1" thickTop="1" thickBot="1">
      <c r="A690" s="1772"/>
      <c r="B690" s="1773"/>
      <c r="C690" s="1773"/>
      <c r="D690" s="1773"/>
      <c r="E690" s="1773"/>
      <c r="F690" s="1773"/>
      <c r="G690" s="1773"/>
      <c r="H690" s="1773"/>
      <c r="I690" s="1773"/>
      <c r="J690" s="1773"/>
      <c r="K690" s="1776"/>
      <c r="L690" s="1774"/>
      <c r="M690" s="1774"/>
      <c r="N690" s="1774"/>
      <c r="O690" s="1774"/>
      <c r="P690" s="1828"/>
      <c r="Q690" s="1828"/>
      <c r="R690" s="1828"/>
      <c r="S690" s="1828"/>
      <c r="T690" s="1828"/>
      <c r="U690" s="1828"/>
      <c r="V690" s="1828"/>
    </row>
    <row r="691" spans="1:22" ht="22.5" customHeight="1" thickTop="1" thickBot="1">
      <c r="A691" s="1772"/>
      <c r="B691" s="1773"/>
      <c r="C691" s="1773"/>
      <c r="D691" s="1773"/>
      <c r="E691" s="1773"/>
      <c r="F691" s="1773"/>
      <c r="G691" s="1773"/>
      <c r="H691" s="1773"/>
      <c r="I691" s="1773"/>
      <c r="J691" s="1773"/>
      <c r="K691" s="1776"/>
      <c r="L691" s="1774"/>
      <c r="M691" s="1774"/>
      <c r="N691" s="1774"/>
      <c r="O691" s="1774"/>
      <c r="P691" s="1828"/>
      <c r="Q691" s="1828"/>
      <c r="R691" s="1828"/>
      <c r="S691" s="1828"/>
      <c r="T691" s="1828"/>
      <c r="U691" s="1828"/>
      <c r="V691" s="1828"/>
    </row>
    <row r="692" spans="1:22" ht="22.5" customHeight="1" thickTop="1" thickBot="1">
      <c r="A692" s="1772"/>
      <c r="B692" s="1773"/>
      <c r="C692" s="1773"/>
      <c r="D692" s="1773"/>
      <c r="E692" s="1773"/>
      <c r="F692" s="1773"/>
      <c r="G692" s="1773"/>
      <c r="H692" s="1773"/>
      <c r="I692" s="1773"/>
      <c r="J692" s="1773"/>
      <c r="K692" s="1776"/>
      <c r="L692" s="1774"/>
      <c r="M692" s="1774"/>
      <c r="N692" s="1774"/>
      <c r="O692" s="1774"/>
      <c r="P692" s="1828"/>
      <c r="Q692" s="1828"/>
      <c r="R692" s="1828"/>
      <c r="S692" s="1828"/>
      <c r="T692" s="1828"/>
      <c r="U692" s="1828"/>
      <c r="V692" s="1828"/>
    </row>
    <row r="693" spans="1:22" ht="22.5" customHeight="1" thickTop="1" thickBot="1">
      <c r="A693" s="1772"/>
      <c r="B693" s="1773"/>
      <c r="C693" s="1773"/>
      <c r="D693" s="1773"/>
      <c r="E693" s="1773"/>
      <c r="F693" s="1773"/>
      <c r="G693" s="1773"/>
      <c r="H693" s="1773"/>
      <c r="I693" s="1773"/>
      <c r="J693" s="1773"/>
      <c r="K693" s="1776"/>
      <c r="L693" s="1774"/>
      <c r="M693" s="1774"/>
      <c r="N693" s="1774"/>
      <c r="O693" s="1774"/>
      <c r="P693" s="1828"/>
      <c r="Q693" s="1828"/>
      <c r="R693" s="1828"/>
      <c r="S693" s="1828"/>
      <c r="T693" s="1828"/>
      <c r="U693" s="1828"/>
      <c r="V693" s="1828"/>
    </row>
    <row r="694" spans="1:22" ht="22.5" customHeight="1" thickTop="1" thickBot="1">
      <c r="A694" s="1772"/>
      <c r="B694" s="1773"/>
      <c r="C694" s="1773"/>
      <c r="D694" s="1773"/>
      <c r="E694" s="1773"/>
      <c r="F694" s="1773"/>
      <c r="G694" s="1773"/>
      <c r="H694" s="1773"/>
      <c r="I694" s="1773"/>
      <c r="J694" s="1773"/>
      <c r="K694" s="1776"/>
      <c r="L694" s="1774"/>
      <c r="M694" s="1774"/>
      <c r="N694" s="1774"/>
      <c r="O694" s="1774"/>
      <c r="P694" s="1828"/>
      <c r="Q694" s="1828"/>
      <c r="R694" s="1828"/>
      <c r="S694" s="1828"/>
      <c r="T694" s="1828"/>
      <c r="U694" s="1828"/>
      <c r="V694" s="1828"/>
    </row>
    <row r="695" spans="1:22" ht="22.5" customHeight="1" thickTop="1" thickBot="1">
      <c r="A695" s="1772"/>
      <c r="B695" s="1773"/>
      <c r="C695" s="1773"/>
      <c r="D695" s="1773"/>
      <c r="E695" s="1773"/>
      <c r="F695" s="1773"/>
      <c r="G695" s="1773"/>
      <c r="H695" s="1773"/>
      <c r="I695" s="1773"/>
      <c r="J695" s="1773"/>
      <c r="K695" s="1776"/>
      <c r="L695" s="1774"/>
      <c r="M695" s="1774"/>
      <c r="N695" s="1774"/>
      <c r="O695" s="1774"/>
      <c r="P695" s="1828"/>
      <c r="Q695" s="1828"/>
      <c r="R695" s="1828"/>
      <c r="S695" s="1828"/>
      <c r="T695" s="1828"/>
      <c r="U695" s="1828"/>
      <c r="V695" s="1828"/>
    </row>
    <row r="696" spans="1:22" ht="22.5" customHeight="1" thickTop="1" thickBot="1">
      <c r="A696" s="1772"/>
      <c r="B696" s="1773"/>
      <c r="C696" s="1773"/>
      <c r="D696" s="1773"/>
      <c r="E696" s="1773"/>
      <c r="F696" s="1773"/>
      <c r="G696" s="1773"/>
      <c r="H696" s="1773"/>
      <c r="I696" s="1773"/>
      <c r="J696" s="1773"/>
      <c r="K696" s="1776"/>
      <c r="L696" s="1774"/>
      <c r="M696" s="1774"/>
      <c r="N696" s="1774"/>
      <c r="O696" s="1774"/>
      <c r="P696" s="1828"/>
      <c r="Q696" s="1828"/>
      <c r="R696" s="1828"/>
      <c r="S696" s="1828"/>
      <c r="T696" s="1828"/>
      <c r="U696" s="1828"/>
      <c r="V696" s="1828"/>
    </row>
    <row r="697" spans="1:22" ht="22.5" customHeight="1" thickTop="1" thickBot="1">
      <c r="A697" s="1772"/>
      <c r="B697" s="1773"/>
      <c r="C697" s="1773"/>
      <c r="D697" s="1773"/>
      <c r="E697" s="1773"/>
      <c r="F697" s="1773"/>
      <c r="G697" s="1773"/>
      <c r="H697" s="1773"/>
      <c r="I697" s="1773"/>
      <c r="J697" s="1773"/>
      <c r="K697" s="1776"/>
      <c r="L697" s="1774"/>
      <c r="M697" s="1774"/>
      <c r="N697" s="1774"/>
      <c r="O697" s="1774"/>
      <c r="P697" s="1828"/>
      <c r="Q697" s="1828"/>
      <c r="R697" s="1828"/>
      <c r="S697" s="1828"/>
      <c r="T697" s="1828"/>
      <c r="U697" s="1828"/>
      <c r="V697" s="1828"/>
    </row>
    <row r="698" spans="1:22" ht="22.5" customHeight="1" thickTop="1" thickBot="1">
      <c r="A698" s="1772"/>
      <c r="B698" s="1773"/>
      <c r="C698" s="1773"/>
      <c r="D698" s="1773"/>
      <c r="E698" s="1773"/>
      <c r="F698" s="1773"/>
      <c r="G698" s="1773"/>
      <c r="H698" s="1773"/>
      <c r="I698" s="1773"/>
      <c r="J698" s="1773"/>
      <c r="K698" s="1776"/>
      <c r="L698" s="1774"/>
      <c r="M698" s="1774"/>
      <c r="N698" s="1774"/>
      <c r="O698" s="1774"/>
      <c r="P698" s="1828"/>
      <c r="Q698" s="1828"/>
      <c r="R698" s="1828"/>
      <c r="S698" s="1828"/>
      <c r="T698" s="1828"/>
      <c r="U698" s="1828"/>
      <c r="V698" s="1828"/>
    </row>
    <row r="699" spans="1:22" ht="22.5" customHeight="1" thickTop="1" thickBot="1">
      <c r="A699" s="1772"/>
      <c r="B699" s="1773"/>
      <c r="C699" s="1773"/>
      <c r="D699" s="1773"/>
      <c r="E699" s="1773"/>
      <c r="F699" s="1773"/>
      <c r="G699" s="1773"/>
      <c r="H699" s="1773"/>
      <c r="I699" s="1773"/>
      <c r="J699" s="1773"/>
      <c r="K699" s="1776"/>
      <c r="L699" s="1774"/>
      <c r="M699" s="1774"/>
      <c r="N699" s="1774"/>
      <c r="O699" s="1774"/>
      <c r="P699" s="1828"/>
      <c r="Q699" s="1828"/>
      <c r="R699" s="1828"/>
      <c r="S699" s="1828"/>
      <c r="T699" s="1828"/>
      <c r="U699" s="1828"/>
      <c r="V699" s="1828"/>
    </row>
    <row r="700" spans="1:22" ht="22.5" customHeight="1" thickTop="1" thickBot="1">
      <c r="A700" s="1772"/>
      <c r="B700" s="1773"/>
      <c r="C700" s="1773"/>
      <c r="D700" s="1773"/>
      <c r="E700" s="1773"/>
      <c r="F700" s="1773"/>
      <c r="G700" s="1773"/>
      <c r="H700" s="1773"/>
      <c r="I700" s="1773"/>
      <c r="J700" s="1773"/>
      <c r="K700" s="1776"/>
      <c r="L700" s="1774"/>
      <c r="M700" s="1774"/>
      <c r="N700" s="1774"/>
      <c r="O700" s="1774"/>
      <c r="P700" s="1828"/>
      <c r="Q700" s="1828"/>
      <c r="R700" s="1828"/>
      <c r="S700" s="1828"/>
      <c r="T700" s="1828"/>
      <c r="U700" s="1828"/>
      <c r="V700" s="1828"/>
    </row>
    <row r="701" spans="1:22" ht="22.5" customHeight="1" thickTop="1" thickBot="1">
      <c r="A701" s="1772"/>
      <c r="B701" s="1773"/>
      <c r="C701" s="1773"/>
      <c r="D701" s="1773"/>
      <c r="E701" s="1773"/>
      <c r="F701" s="1773"/>
      <c r="G701" s="1773"/>
      <c r="H701" s="1773"/>
      <c r="I701" s="1773"/>
      <c r="J701" s="1773"/>
      <c r="K701" s="1776"/>
      <c r="L701" s="1774"/>
      <c r="M701" s="1774"/>
      <c r="N701" s="1774"/>
      <c r="O701" s="1774"/>
      <c r="P701" s="1828"/>
      <c r="Q701" s="1828"/>
      <c r="R701" s="1828"/>
      <c r="S701" s="1828"/>
      <c r="T701" s="1828"/>
      <c r="U701" s="1828"/>
      <c r="V701" s="1828"/>
    </row>
    <row r="702" spans="1:22" ht="22.5" customHeight="1" thickTop="1" thickBot="1">
      <c r="A702" s="1772"/>
      <c r="B702" s="1773"/>
      <c r="C702" s="1773"/>
      <c r="D702" s="1773"/>
      <c r="E702" s="1773"/>
      <c r="F702" s="1773"/>
      <c r="G702" s="1773"/>
      <c r="H702" s="1773"/>
      <c r="I702" s="1773"/>
      <c r="J702" s="1773"/>
      <c r="K702" s="1776"/>
      <c r="L702" s="1774"/>
      <c r="M702" s="1774"/>
      <c r="N702" s="1774"/>
      <c r="O702" s="1774"/>
      <c r="P702" s="1828"/>
      <c r="Q702" s="1828"/>
      <c r="R702" s="1828"/>
      <c r="S702" s="1828"/>
      <c r="T702" s="1828"/>
      <c r="U702" s="1828"/>
      <c r="V702" s="1828"/>
    </row>
    <row r="703" spans="1:22" ht="22.5" customHeight="1" thickTop="1" thickBot="1">
      <c r="A703" s="1772"/>
      <c r="B703" s="1773"/>
      <c r="C703" s="1773"/>
      <c r="D703" s="1773"/>
      <c r="E703" s="1773"/>
      <c r="F703" s="1773"/>
      <c r="G703" s="1773"/>
      <c r="H703" s="1773"/>
      <c r="I703" s="1773"/>
      <c r="J703" s="1773"/>
      <c r="K703" s="1776"/>
      <c r="L703" s="1774"/>
      <c r="M703" s="1774"/>
      <c r="N703" s="1774"/>
      <c r="O703" s="1774"/>
      <c r="P703" s="1828"/>
      <c r="Q703" s="1828"/>
      <c r="R703" s="1828"/>
      <c r="S703" s="1828"/>
      <c r="T703" s="1828"/>
      <c r="U703" s="1828"/>
      <c r="V703" s="1828"/>
    </row>
    <row r="704" spans="1:22" ht="22.5" customHeight="1" thickTop="1" thickBot="1">
      <c r="A704" s="1772"/>
      <c r="B704" s="1773"/>
      <c r="C704" s="1773"/>
      <c r="D704" s="1773"/>
      <c r="E704" s="1773"/>
      <c r="F704" s="1773"/>
      <c r="G704" s="1773"/>
      <c r="H704" s="1773"/>
      <c r="I704" s="1773"/>
      <c r="J704" s="1773"/>
      <c r="K704" s="1776"/>
      <c r="L704" s="1774"/>
      <c r="M704" s="1774"/>
      <c r="N704" s="1774"/>
      <c r="O704" s="1774"/>
      <c r="P704" s="1828"/>
      <c r="Q704" s="1828"/>
      <c r="R704" s="1828"/>
      <c r="S704" s="1828"/>
      <c r="T704" s="1828"/>
      <c r="U704" s="1828"/>
      <c r="V704" s="1828"/>
    </row>
    <row r="705" spans="1:22" ht="22.5" customHeight="1" thickTop="1" thickBot="1">
      <c r="A705" s="1772"/>
      <c r="B705" s="1773"/>
      <c r="C705" s="1773"/>
      <c r="D705" s="1773"/>
      <c r="E705" s="1773"/>
      <c r="F705" s="1773"/>
      <c r="G705" s="1773"/>
      <c r="H705" s="1773"/>
      <c r="I705" s="1773"/>
      <c r="J705" s="1773"/>
      <c r="K705" s="1776"/>
      <c r="L705" s="1774"/>
      <c r="M705" s="1774"/>
      <c r="N705" s="1774"/>
      <c r="O705" s="1774"/>
      <c r="P705" s="1828"/>
      <c r="Q705" s="1828"/>
      <c r="R705" s="1828"/>
      <c r="S705" s="1828"/>
      <c r="T705" s="1828"/>
      <c r="U705" s="1828"/>
      <c r="V705" s="1828"/>
    </row>
    <row r="706" spans="1:22" ht="22.5" customHeight="1" thickTop="1" thickBot="1">
      <c r="A706" s="1772"/>
      <c r="B706" s="1773"/>
      <c r="C706" s="1773"/>
      <c r="D706" s="1773"/>
      <c r="E706" s="1773"/>
      <c r="F706" s="1773"/>
      <c r="G706" s="1773"/>
      <c r="H706" s="1773"/>
      <c r="I706" s="1773"/>
      <c r="J706" s="1773"/>
      <c r="K706" s="1776"/>
      <c r="L706" s="1774"/>
      <c r="M706" s="1774"/>
      <c r="N706" s="1774"/>
      <c r="O706" s="1774"/>
      <c r="P706" s="1828"/>
      <c r="Q706" s="1828"/>
      <c r="R706" s="1828"/>
      <c r="S706" s="1828"/>
      <c r="T706" s="1828"/>
      <c r="U706" s="1828"/>
      <c r="V706" s="1828"/>
    </row>
    <row r="707" spans="1:22" ht="22.5" customHeight="1" thickTop="1" thickBot="1">
      <c r="A707" s="1772"/>
      <c r="B707" s="1773"/>
      <c r="C707" s="1773"/>
      <c r="D707" s="1773"/>
      <c r="E707" s="1773"/>
      <c r="F707" s="1773"/>
      <c r="G707" s="1773"/>
      <c r="H707" s="1773"/>
      <c r="I707" s="1773"/>
      <c r="J707" s="1773"/>
      <c r="K707" s="1776"/>
      <c r="L707" s="1774"/>
      <c r="M707" s="1774"/>
      <c r="N707" s="1774"/>
      <c r="O707" s="1774"/>
      <c r="P707" s="1828"/>
      <c r="Q707" s="1828"/>
      <c r="R707" s="1828"/>
      <c r="S707" s="1828"/>
      <c r="T707" s="1828"/>
      <c r="U707" s="1828"/>
      <c r="V707" s="1828"/>
    </row>
    <row r="708" spans="1:22" ht="22.5" customHeight="1" thickTop="1" thickBot="1">
      <c r="A708" s="1772"/>
      <c r="B708" s="1773"/>
      <c r="C708" s="1773"/>
      <c r="D708" s="1773"/>
      <c r="E708" s="1773"/>
      <c r="F708" s="1773"/>
      <c r="G708" s="1773"/>
      <c r="H708" s="1773"/>
      <c r="I708" s="1773"/>
      <c r="J708" s="1773"/>
      <c r="K708" s="1776"/>
      <c r="L708" s="1774"/>
      <c r="M708" s="1774"/>
      <c r="N708" s="1774"/>
      <c r="O708" s="1774"/>
      <c r="P708" s="1828"/>
      <c r="Q708" s="1828"/>
      <c r="R708" s="1828"/>
      <c r="S708" s="1828"/>
      <c r="T708" s="1828"/>
      <c r="U708" s="1828"/>
      <c r="V708" s="1828"/>
    </row>
    <row r="709" spans="1:22" ht="22.5" customHeight="1" thickTop="1" thickBot="1">
      <c r="A709" s="1772"/>
      <c r="B709" s="1773"/>
      <c r="C709" s="1773"/>
      <c r="D709" s="1773"/>
      <c r="E709" s="1773"/>
      <c r="F709" s="1773"/>
      <c r="G709" s="1773"/>
      <c r="H709" s="1773"/>
      <c r="I709" s="1773"/>
      <c r="J709" s="1773"/>
      <c r="K709" s="1776"/>
      <c r="L709" s="1774"/>
      <c r="M709" s="1774"/>
      <c r="N709" s="1774"/>
      <c r="O709" s="1774"/>
      <c r="P709" s="1828"/>
      <c r="Q709" s="1828"/>
      <c r="R709" s="1828"/>
      <c r="S709" s="1828"/>
      <c r="T709" s="1828"/>
      <c r="U709" s="1828"/>
      <c r="V709" s="1828"/>
    </row>
    <row r="710" spans="1:22" ht="22.5" customHeight="1" thickTop="1" thickBot="1">
      <c r="A710" s="1772"/>
      <c r="B710" s="1773"/>
      <c r="C710" s="1773"/>
      <c r="D710" s="1773"/>
      <c r="E710" s="1773"/>
      <c r="F710" s="1773"/>
      <c r="G710" s="1773"/>
      <c r="H710" s="1773"/>
      <c r="I710" s="1773"/>
      <c r="J710" s="1773"/>
      <c r="K710" s="1776"/>
      <c r="L710" s="1774"/>
      <c r="M710" s="1774"/>
      <c r="N710" s="1774"/>
      <c r="O710" s="1774"/>
      <c r="P710" s="1828"/>
      <c r="Q710" s="1828"/>
      <c r="R710" s="1828"/>
      <c r="S710" s="1828"/>
      <c r="T710" s="1828"/>
      <c r="U710" s="1828"/>
      <c r="V710" s="1828"/>
    </row>
    <row r="711" spans="1:22" ht="22.5" customHeight="1" thickTop="1" thickBot="1">
      <c r="A711" s="1772"/>
      <c r="B711" s="1773"/>
      <c r="C711" s="1773"/>
      <c r="D711" s="1773"/>
      <c r="E711" s="1773"/>
      <c r="F711" s="1773"/>
      <c r="G711" s="1773"/>
      <c r="H711" s="1773"/>
      <c r="I711" s="1773"/>
      <c r="J711" s="1773"/>
      <c r="K711" s="1776"/>
      <c r="L711" s="1774"/>
      <c r="M711" s="1774"/>
      <c r="N711" s="1774"/>
      <c r="O711" s="1774"/>
      <c r="P711" s="1828"/>
      <c r="Q711" s="1828"/>
      <c r="R711" s="1828"/>
      <c r="S711" s="1828"/>
      <c r="T711" s="1828"/>
      <c r="U711" s="1828"/>
      <c r="V711" s="1828"/>
    </row>
    <row r="712" spans="1:22" ht="22.5" customHeight="1" thickTop="1" thickBot="1">
      <c r="A712" s="1772"/>
      <c r="B712" s="1773"/>
      <c r="C712" s="1773"/>
      <c r="D712" s="1773"/>
      <c r="E712" s="1773"/>
      <c r="F712" s="1773"/>
      <c r="G712" s="1773"/>
      <c r="H712" s="1773"/>
      <c r="I712" s="1773"/>
      <c r="J712" s="1773"/>
      <c r="K712" s="1776"/>
      <c r="L712" s="1774"/>
      <c r="M712" s="1774"/>
      <c r="N712" s="1774"/>
      <c r="O712" s="1774"/>
      <c r="P712" s="1828"/>
      <c r="Q712" s="1828"/>
      <c r="R712" s="1828"/>
      <c r="S712" s="1828"/>
      <c r="T712" s="1828"/>
      <c r="U712" s="1828"/>
      <c r="V712" s="1828"/>
    </row>
    <row r="713" spans="1:22" ht="22.5" customHeight="1" thickTop="1" thickBot="1">
      <c r="A713" s="1772"/>
      <c r="B713" s="1773"/>
      <c r="C713" s="1773"/>
      <c r="D713" s="1773"/>
      <c r="E713" s="1773"/>
      <c r="F713" s="1773"/>
      <c r="G713" s="1773"/>
      <c r="H713" s="1773"/>
      <c r="I713" s="1773"/>
      <c r="J713" s="1773"/>
      <c r="K713" s="1776"/>
      <c r="L713" s="1774"/>
      <c r="M713" s="1774"/>
      <c r="N713" s="1774"/>
      <c r="O713" s="1774"/>
      <c r="P713" s="1828"/>
      <c r="Q713" s="1828"/>
      <c r="R713" s="1828"/>
      <c r="S713" s="1828"/>
      <c r="T713" s="1828"/>
      <c r="U713" s="1828"/>
      <c r="V713" s="1828"/>
    </row>
    <row r="714" spans="1:22" ht="22.5" customHeight="1" thickTop="1" thickBot="1">
      <c r="A714" s="1772"/>
      <c r="B714" s="1773"/>
      <c r="C714" s="1773"/>
      <c r="D714" s="1773"/>
      <c r="E714" s="1773"/>
      <c r="F714" s="1773"/>
      <c r="G714" s="1773"/>
      <c r="H714" s="1773"/>
      <c r="I714" s="1773"/>
      <c r="J714" s="1773"/>
      <c r="K714" s="1776"/>
      <c r="L714" s="1774"/>
      <c r="M714" s="1774"/>
      <c r="N714" s="1774"/>
      <c r="O714" s="1774"/>
      <c r="P714" s="1828"/>
      <c r="Q714" s="1828"/>
      <c r="R714" s="1828"/>
      <c r="S714" s="1828"/>
      <c r="T714" s="1828"/>
      <c r="U714" s="1828"/>
      <c r="V714" s="1828"/>
    </row>
    <row r="715" spans="1:22" ht="22.5" customHeight="1" thickTop="1" thickBot="1">
      <c r="A715" s="1772"/>
      <c r="B715" s="1773"/>
      <c r="C715" s="1773"/>
      <c r="D715" s="1773"/>
      <c r="E715" s="1773"/>
      <c r="F715" s="1773"/>
      <c r="G715" s="1773"/>
      <c r="H715" s="1773"/>
      <c r="I715" s="1773"/>
      <c r="J715" s="1773"/>
      <c r="K715" s="1776"/>
      <c r="L715" s="1774"/>
      <c r="M715" s="1774"/>
      <c r="N715" s="1774"/>
      <c r="O715" s="1774"/>
      <c r="P715" s="1828"/>
      <c r="Q715" s="1828"/>
      <c r="R715" s="1828"/>
      <c r="S715" s="1828"/>
      <c r="T715" s="1828"/>
      <c r="U715" s="1828"/>
      <c r="V715" s="1828"/>
    </row>
    <row r="716" spans="1:22" ht="22.5" customHeight="1" thickTop="1" thickBot="1">
      <c r="A716" s="1772"/>
      <c r="B716" s="1773"/>
      <c r="C716" s="1773"/>
      <c r="D716" s="1773"/>
      <c r="E716" s="1773"/>
      <c r="F716" s="1773"/>
      <c r="G716" s="1773"/>
      <c r="H716" s="1773"/>
      <c r="I716" s="1773"/>
      <c r="J716" s="1773"/>
      <c r="K716" s="1776"/>
      <c r="L716" s="1774"/>
      <c r="M716" s="1774"/>
      <c r="N716" s="1774"/>
      <c r="O716" s="1774"/>
      <c r="P716" s="1828"/>
      <c r="Q716" s="1828"/>
      <c r="R716" s="1828"/>
      <c r="S716" s="1828"/>
      <c r="T716" s="1828"/>
      <c r="U716" s="1828"/>
      <c r="V716" s="1828"/>
    </row>
    <row r="717" spans="1:22" ht="22.5" customHeight="1" thickTop="1" thickBot="1">
      <c r="A717" s="1772"/>
      <c r="B717" s="1773"/>
      <c r="C717" s="1773"/>
      <c r="D717" s="1773"/>
      <c r="E717" s="1773"/>
      <c r="F717" s="1773"/>
      <c r="G717" s="1773"/>
      <c r="H717" s="1773"/>
      <c r="I717" s="1773"/>
      <c r="J717" s="1773"/>
      <c r="K717" s="1776"/>
      <c r="L717" s="1774"/>
      <c r="M717" s="1774"/>
      <c r="N717" s="1774"/>
      <c r="O717" s="1774"/>
      <c r="P717" s="1828"/>
      <c r="Q717" s="1828"/>
      <c r="R717" s="1828"/>
      <c r="S717" s="1828"/>
      <c r="T717" s="1828"/>
      <c r="U717" s="1828"/>
      <c r="V717" s="1828"/>
    </row>
    <row r="718" spans="1:22" ht="22.5" customHeight="1" thickTop="1" thickBot="1">
      <c r="A718" s="1772"/>
      <c r="B718" s="1773"/>
      <c r="C718" s="1773"/>
      <c r="D718" s="1773"/>
      <c r="E718" s="1773"/>
      <c r="F718" s="1773"/>
      <c r="G718" s="1773"/>
      <c r="H718" s="1773"/>
      <c r="I718" s="1773"/>
      <c r="J718" s="1773"/>
      <c r="K718" s="1776"/>
      <c r="L718" s="1774"/>
      <c r="M718" s="1774"/>
      <c r="N718" s="1774"/>
      <c r="O718" s="1774"/>
      <c r="P718" s="1828"/>
      <c r="Q718" s="1828"/>
      <c r="R718" s="1828"/>
      <c r="S718" s="1828"/>
      <c r="T718" s="1828"/>
      <c r="U718" s="1828"/>
      <c r="V718" s="1828"/>
    </row>
    <row r="719" spans="1:22" ht="22.5" customHeight="1" thickTop="1" thickBot="1">
      <c r="A719" s="1772"/>
      <c r="B719" s="1773"/>
      <c r="C719" s="1773"/>
      <c r="D719" s="1773"/>
      <c r="E719" s="1773"/>
      <c r="F719" s="1773"/>
      <c r="G719" s="1773"/>
      <c r="H719" s="1773"/>
      <c r="I719" s="1773"/>
      <c r="J719" s="1773"/>
      <c r="K719" s="1776"/>
      <c r="L719" s="1774"/>
      <c r="M719" s="1774"/>
      <c r="N719" s="1774"/>
      <c r="O719" s="1774"/>
      <c r="P719" s="1828"/>
      <c r="Q719" s="1828"/>
      <c r="R719" s="1828"/>
      <c r="S719" s="1828"/>
      <c r="T719" s="1828"/>
      <c r="U719" s="1828"/>
      <c r="V719" s="1828"/>
    </row>
    <row r="720" spans="1:22" ht="22.5" customHeight="1" thickTop="1" thickBot="1">
      <c r="A720" s="1772"/>
      <c r="B720" s="1773"/>
      <c r="C720" s="1773"/>
      <c r="D720" s="1773"/>
      <c r="E720" s="1773"/>
      <c r="F720" s="1773"/>
      <c r="G720" s="1773"/>
      <c r="H720" s="1773"/>
      <c r="I720" s="1773"/>
      <c r="J720" s="1773"/>
      <c r="K720" s="1776"/>
      <c r="L720" s="1774"/>
      <c r="M720" s="1774"/>
      <c r="N720" s="1774"/>
      <c r="O720" s="1774"/>
      <c r="P720" s="1828"/>
      <c r="Q720" s="1828"/>
      <c r="R720" s="1828"/>
      <c r="S720" s="1828"/>
      <c r="T720" s="1828"/>
      <c r="U720" s="1828"/>
      <c r="V720" s="1828"/>
    </row>
    <row r="721" spans="1:22" ht="22.5" customHeight="1" thickTop="1" thickBot="1">
      <c r="A721" s="1772"/>
      <c r="B721" s="1773"/>
      <c r="C721" s="1773"/>
      <c r="D721" s="1773"/>
      <c r="E721" s="1773"/>
      <c r="F721" s="1773"/>
      <c r="G721" s="1773"/>
      <c r="H721" s="1773"/>
      <c r="I721" s="1773"/>
      <c r="J721" s="1773"/>
      <c r="K721" s="1776"/>
      <c r="L721" s="1774"/>
      <c r="M721" s="1774"/>
      <c r="N721" s="1774"/>
      <c r="O721" s="1774"/>
      <c r="P721" s="1828"/>
      <c r="Q721" s="1828"/>
      <c r="R721" s="1828"/>
      <c r="S721" s="1828"/>
      <c r="T721" s="1828"/>
      <c r="U721" s="1828"/>
      <c r="V721" s="1828"/>
    </row>
    <row r="722" spans="1:22" ht="22.5" customHeight="1" thickTop="1" thickBot="1">
      <c r="A722" s="1772"/>
      <c r="B722" s="1773"/>
      <c r="C722" s="1773"/>
      <c r="D722" s="1773"/>
      <c r="E722" s="1773"/>
      <c r="F722" s="1773"/>
      <c r="G722" s="1773"/>
      <c r="H722" s="1773"/>
      <c r="I722" s="1773"/>
      <c r="J722" s="1773"/>
      <c r="K722" s="1776"/>
      <c r="L722" s="1774"/>
      <c r="M722" s="1774"/>
      <c r="N722" s="1774"/>
      <c r="O722" s="1774"/>
      <c r="P722" s="1828"/>
      <c r="Q722" s="1828"/>
      <c r="R722" s="1828"/>
      <c r="S722" s="1828"/>
      <c r="T722" s="1828"/>
      <c r="U722" s="1828"/>
      <c r="V722" s="1828"/>
    </row>
    <row r="723" spans="1:22" ht="22.5" customHeight="1" thickTop="1" thickBot="1">
      <c r="A723" s="1772"/>
      <c r="B723" s="1773"/>
      <c r="C723" s="1773"/>
      <c r="D723" s="1773"/>
      <c r="E723" s="1773"/>
      <c r="F723" s="1773"/>
      <c r="G723" s="1773"/>
      <c r="H723" s="1773"/>
      <c r="I723" s="1773"/>
      <c r="J723" s="1773"/>
      <c r="K723" s="1776"/>
      <c r="L723" s="1774"/>
      <c r="M723" s="1774"/>
      <c r="N723" s="1774"/>
      <c r="O723" s="1774"/>
      <c r="P723" s="1828"/>
      <c r="Q723" s="1828"/>
      <c r="R723" s="1828"/>
      <c r="S723" s="1828"/>
      <c r="T723" s="1828"/>
      <c r="U723" s="1828"/>
      <c r="V723" s="1828"/>
    </row>
    <row r="724" spans="1:22" ht="22.5" customHeight="1" thickTop="1" thickBot="1">
      <c r="A724" s="1772"/>
      <c r="B724" s="1773"/>
      <c r="C724" s="1773"/>
      <c r="D724" s="1773"/>
      <c r="E724" s="1773"/>
      <c r="F724" s="1773"/>
      <c r="G724" s="1773"/>
      <c r="H724" s="1773"/>
      <c r="I724" s="1773"/>
      <c r="J724" s="1773"/>
      <c r="K724" s="1776"/>
      <c r="L724" s="1774"/>
      <c r="M724" s="1774"/>
      <c r="N724" s="1774"/>
      <c r="O724" s="1774"/>
      <c r="P724" s="1828"/>
      <c r="Q724" s="1828"/>
      <c r="R724" s="1828"/>
      <c r="S724" s="1828"/>
      <c r="T724" s="1828"/>
      <c r="U724" s="1828"/>
      <c r="V724" s="1828"/>
    </row>
    <row r="725" spans="1:22" ht="22.5" customHeight="1" thickTop="1" thickBot="1">
      <c r="A725" s="1772"/>
      <c r="B725" s="1773"/>
      <c r="C725" s="1773"/>
      <c r="D725" s="1773"/>
      <c r="E725" s="1773"/>
      <c r="F725" s="1773"/>
      <c r="G725" s="1773"/>
      <c r="H725" s="1773"/>
      <c r="I725" s="1773"/>
      <c r="J725" s="1773"/>
      <c r="K725" s="1776"/>
      <c r="L725" s="1774"/>
      <c r="M725" s="1774"/>
      <c r="N725" s="1774"/>
      <c r="O725" s="1774"/>
      <c r="P725" s="1828"/>
      <c r="Q725" s="1828"/>
      <c r="R725" s="1828"/>
      <c r="S725" s="1828"/>
      <c r="T725" s="1828"/>
      <c r="U725" s="1828"/>
      <c r="V725" s="1828"/>
    </row>
    <row r="726" spans="1:22" ht="22.5" customHeight="1" thickTop="1" thickBot="1">
      <c r="A726" s="1772"/>
      <c r="B726" s="1773"/>
      <c r="C726" s="1773"/>
      <c r="D726" s="1773"/>
      <c r="E726" s="1773"/>
      <c r="F726" s="1773"/>
      <c r="G726" s="1773"/>
      <c r="H726" s="1773"/>
      <c r="I726" s="1773"/>
      <c r="J726" s="1773"/>
      <c r="K726" s="1776"/>
      <c r="L726" s="1774"/>
      <c r="M726" s="1774"/>
      <c r="N726" s="1774"/>
      <c r="O726" s="1774"/>
      <c r="P726" s="1828"/>
      <c r="Q726" s="1828"/>
      <c r="R726" s="1828"/>
      <c r="S726" s="1828"/>
      <c r="T726" s="1828"/>
      <c r="U726" s="1828"/>
      <c r="V726" s="1828"/>
    </row>
    <row r="727" spans="1:22" ht="22.5" customHeight="1" thickTop="1" thickBot="1">
      <c r="A727" s="1772"/>
      <c r="B727" s="1773"/>
      <c r="C727" s="1773"/>
      <c r="D727" s="1773"/>
      <c r="E727" s="1773"/>
      <c r="F727" s="1773"/>
      <c r="G727" s="1773"/>
      <c r="H727" s="1773"/>
      <c r="I727" s="1773"/>
      <c r="J727" s="1773"/>
      <c r="K727" s="1776"/>
      <c r="L727" s="1774"/>
      <c r="M727" s="1774"/>
      <c r="N727" s="1774"/>
      <c r="O727" s="1774"/>
      <c r="P727" s="1828"/>
      <c r="Q727" s="1828"/>
      <c r="R727" s="1828"/>
      <c r="S727" s="1828"/>
      <c r="T727" s="1828"/>
      <c r="U727" s="1828"/>
      <c r="V727" s="1828"/>
    </row>
    <row r="728" spans="1:22" ht="22.5" customHeight="1" thickTop="1" thickBot="1">
      <c r="A728" s="1772"/>
      <c r="B728" s="1773"/>
      <c r="C728" s="1773"/>
      <c r="D728" s="1773"/>
      <c r="E728" s="1773"/>
      <c r="F728" s="1773"/>
      <c r="G728" s="1773"/>
      <c r="H728" s="1773"/>
      <c r="I728" s="1773"/>
      <c r="J728" s="1773"/>
      <c r="K728" s="1776"/>
      <c r="L728" s="1774"/>
      <c r="M728" s="1774"/>
      <c r="N728" s="1774"/>
      <c r="O728" s="1774"/>
      <c r="P728" s="1828"/>
      <c r="Q728" s="1828"/>
      <c r="R728" s="1828"/>
      <c r="S728" s="1828"/>
      <c r="T728" s="1828"/>
      <c r="U728" s="1828"/>
      <c r="V728" s="1828"/>
    </row>
    <row r="729" spans="1:22" ht="22.5" customHeight="1" thickTop="1" thickBot="1">
      <c r="A729" s="1772"/>
      <c r="B729" s="1773"/>
      <c r="C729" s="1773"/>
      <c r="D729" s="1773"/>
      <c r="E729" s="1773"/>
      <c r="F729" s="1773"/>
      <c r="G729" s="1773"/>
      <c r="H729" s="1773"/>
      <c r="I729" s="1773"/>
      <c r="J729" s="1773"/>
      <c r="K729" s="1776"/>
      <c r="L729" s="1774"/>
      <c r="M729" s="1774"/>
      <c r="N729" s="1774"/>
      <c r="O729" s="1774"/>
      <c r="P729" s="1828"/>
      <c r="Q729" s="1828"/>
      <c r="R729" s="1828"/>
      <c r="S729" s="1828"/>
      <c r="T729" s="1828"/>
      <c r="U729" s="1828"/>
      <c r="V729" s="1828"/>
    </row>
    <row r="730" spans="1:22" ht="22.5" customHeight="1" thickTop="1" thickBot="1">
      <c r="A730" s="1772"/>
      <c r="B730" s="1773"/>
      <c r="C730" s="1773"/>
      <c r="D730" s="1773"/>
      <c r="E730" s="1773"/>
      <c r="F730" s="1773"/>
      <c r="G730" s="1773"/>
      <c r="H730" s="1773"/>
      <c r="I730" s="1773"/>
      <c r="J730" s="1773"/>
      <c r="K730" s="1776"/>
      <c r="L730" s="1774"/>
      <c r="M730" s="1774"/>
      <c r="N730" s="1774"/>
      <c r="O730" s="1774"/>
      <c r="P730" s="1828"/>
      <c r="Q730" s="1828"/>
      <c r="R730" s="1828"/>
      <c r="S730" s="1828"/>
      <c r="T730" s="1828"/>
      <c r="U730" s="1828"/>
      <c r="V730" s="1828"/>
    </row>
    <row r="731" spans="1:22" ht="22.5" customHeight="1" thickTop="1" thickBot="1">
      <c r="A731" s="1772"/>
      <c r="B731" s="1773"/>
      <c r="C731" s="1773"/>
      <c r="D731" s="1773"/>
      <c r="E731" s="1773"/>
      <c r="F731" s="1773"/>
      <c r="G731" s="1773"/>
      <c r="H731" s="1773"/>
      <c r="I731" s="1773"/>
      <c r="J731" s="1773"/>
      <c r="K731" s="1776"/>
      <c r="L731" s="1774"/>
      <c r="M731" s="1774"/>
      <c r="N731" s="1774"/>
      <c r="O731" s="1774"/>
      <c r="P731" s="1828"/>
      <c r="Q731" s="1828"/>
      <c r="R731" s="1828"/>
      <c r="S731" s="1828"/>
      <c r="T731" s="1828"/>
      <c r="U731" s="1828"/>
      <c r="V731" s="1828"/>
    </row>
    <row r="732" spans="1:22" ht="22.5" customHeight="1" thickTop="1" thickBot="1">
      <c r="A732" s="1772"/>
      <c r="B732" s="1773"/>
      <c r="C732" s="1773"/>
      <c r="D732" s="1773"/>
      <c r="E732" s="1773"/>
      <c r="F732" s="1773"/>
      <c r="G732" s="1773"/>
      <c r="H732" s="1773"/>
      <c r="I732" s="1773"/>
      <c r="J732" s="1773"/>
      <c r="K732" s="1776"/>
      <c r="L732" s="1774"/>
      <c r="M732" s="1774"/>
      <c r="N732" s="1774"/>
      <c r="O732" s="1774"/>
      <c r="P732" s="1828"/>
      <c r="Q732" s="1828"/>
      <c r="R732" s="1828"/>
      <c r="S732" s="1828"/>
      <c r="T732" s="1828"/>
      <c r="U732" s="1828"/>
      <c r="V732" s="1828"/>
    </row>
    <row r="733" spans="1:22" ht="22.5" customHeight="1" thickTop="1" thickBot="1">
      <c r="A733" s="1772"/>
      <c r="B733" s="1773"/>
      <c r="C733" s="1773"/>
      <c r="D733" s="1773"/>
      <c r="E733" s="1773"/>
      <c r="F733" s="1773"/>
      <c r="G733" s="1773"/>
      <c r="H733" s="1773"/>
      <c r="I733" s="1773"/>
      <c r="J733" s="1773"/>
      <c r="K733" s="1776"/>
      <c r="L733" s="1774"/>
      <c r="M733" s="1774"/>
      <c r="N733" s="1774"/>
      <c r="O733" s="1774"/>
      <c r="P733" s="1828"/>
      <c r="Q733" s="1828"/>
      <c r="R733" s="1828"/>
      <c r="S733" s="1828"/>
      <c r="T733" s="1828"/>
      <c r="U733" s="1828"/>
      <c r="V733" s="1828"/>
    </row>
    <row r="734" spans="1:22" ht="22.5" customHeight="1" thickTop="1" thickBot="1">
      <c r="A734" s="1772"/>
      <c r="B734" s="1773"/>
      <c r="C734" s="1773"/>
      <c r="D734" s="1773"/>
      <c r="E734" s="1773"/>
      <c r="F734" s="1773"/>
      <c r="G734" s="1773"/>
      <c r="H734" s="1773"/>
      <c r="I734" s="1773"/>
      <c r="J734" s="1773"/>
      <c r="K734" s="1776"/>
      <c r="L734" s="1774"/>
      <c r="M734" s="1774"/>
      <c r="N734" s="1774"/>
      <c r="O734" s="1774"/>
      <c r="P734" s="1828"/>
      <c r="Q734" s="1828"/>
      <c r="R734" s="1828"/>
      <c r="S734" s="1828"/>
      <c r="T734" s="1828"/>
      <c r="U734" s="1828"/>
      <c r="V734" s="1828"/>
    </row>
    <row r="735" spans="1:22" ht="22.5" customHeight="1" thickTop="1" thickBot="1">
      <c r="A735" s="1772"/>
      <c r="B735" s="1773"/>
      <c r="C735" s="1773"/>
      <c r="D735" s="1773"/>
      <c r="E735" s="1773"/>
      <c r="F735" s="1773"/>
      <c r="G735" s="1773"/>
      <c r="H735" s="1773"/>
      <c r="I735" s="1773"/>
      <c r="J735" s="1773"/>
      <c r="K735" s="1776"/>
      <c r="L735" s="1774"/>
      <c r="M735" s="1774"/>
      <c r="N735" s="1774"/>
      <c r="O735" s="1774"/>
      <c r="P735" s="1828"/>
      <c r="Q735" s="1828"/>
      <c r="R735" s="1828"/>
      <c r="S735" s="1828"/>
      <c r="T735" s="1828"/>
      <c r="U735" s="1828"/>
      <c r="V735" s="1828"/>
    </row>
    <row r="736" spans="1:22" ht="22.5" customHeight="1" thickTop="1" thickBot="1">
      <c r="A736" s="1772"/>
      <c r="B736" s="1773"/>
      <c r="C736" s="1773"/>
      <c r="D736" s="1773"/>
      <c r="E736" s="1773"/>
      <c r="F736" s="1773"/>
      <c r="G736" s="1773"/>
      <c r="H736" s="1773"/>
      <c r="I736" s="1773"/>
      <c r="J736" s="1773"/>
      <c r="K736" s="1776"/>
      <c r="L736" s="1774"/>
      <c r="M736" s="1774"/>
      <c r="N736" s="1774"/>
      <c r="O736" s="1774"/>
      <c r="P736" s="1828"/>
      <c r="Q736" s="1828"/>
      <c r="R736" s="1828"/>
      <c r="S736" s="1828"/>
      <c r="T736" s="1828"/>
      <c r="U736" s="1828"/>
      <c r="V736" s="1828"/>
    </row>
    <row r="737" spans="1:22" ht="22.5" customHeight="1" thickTop="1" thickBot="1">
      <c r="A737" s="1772"/>
      <c r="B737" s="1773"/>
      <c r="C737" s="1773"/>
      <c r="D737" s="1773"/>
      <c r="E737" s="1773"/>
      <c r="F737" s="1773"/>
      <c r="G737" s="1773"/>
      <c r="H737" s="1773"/>
      <c r="I737" s="1773"/>
      <c r="J737" s="1773"/>
      <c r="K737" s="1776"/>
      <c r="L737" s="1774"/>
      <c r="M737" s="1774"/>
      <c r="N737" s="1774"/>
      <c r="O737" s="1774"/>
      <c r="P737" s="1828"/>
      <c r="Q737" s="1828"/>
      <c r="R737" s="1828"/>
      <c r="S737" s="1828"/>
      <c r="T737" s="1828"/>
      <c r="U737" s="1828"/>
      <c r="V737" s="1828"/>
    </row>
    <row r="738" spans="1:22" ht="22.5" customHeight="1" thickTop="1" thickBot="1">
      <c r="A738" s="1772"/>
      <c r="B738" s="1773"/>
      <c r="C738" s="1773"/>
      <c r="D738" s="1773"/>
      <c r="E738" s="1773"/>
      <c r="F738" s="1773"/>
      <c r="G738" s="1773"/>
      <c r="H738" s="1773"/>
      <c r="I738" s="1773"/>
      <c r="J738" s="1773"/>
      <c r="K738" s="1776"/>
      <c r="L738" s="1774"/>
      <c r="M738" s="1774"/>
      <c r="N738" s="1774"/>
      <c r="O738" s="1774"/>
      <c r="P738" s="1828"/>
      <c r="Q738" s="1828"/>
      <c r="R738" s="1828"/>
      <c r="S738" s="1828"/>
      <c r="T738" s="1828"/>
      <c r="U738" s="1828"/>
      <c r="V738" s="1828"/>
    </row>
    <row r="739" spans="1:22" ht="22.5" customHeight="1" thickTop="1" thickBot="1">
      <c r="A739" s="1772"/>
      <c r="B739" s="1773"/>
      <c r="C739" s="1773"/>
      <c r="D739" s="1773"/>
      <c r="E739" s="1773"/>
      <c r="F739" s="1773"/>
      <c r="G739" s="1773"/>
      <c r="H739" s="1773"/>
      <c r="I739" s="1773"/>
      <c r="J739" s="1773"/>
      <c r="K739" s="1776"/>
      <c r="L739" s="1774"/>
      <c r="M739" s="1774"/>
      <c r="N739" s="1774"/>
      <c r="O739" s="1774"/>
      <c r="P739" s="1828"/>
      <c r="Q739" s="1828"/>
      <c r="R739" s="1828"/>
      <c r="S739" s="1828"/>
      <c r="T739" s="1828"/>
      <c r="U739" s="1828"/>
      <c r="V739" s="1828"/>
    </row>
    <row r="740" spans="1:22" ht="22.5" customHeight="1" thickTop="1" thickBot="1">
      <c r="A740" s="1772"/>
      <c r="B740" s="1773"/>
      <c r="C740" s="1773"/>
      <c r="D740" s="1773"/>
      <c r="E740" s="1773"/>
      <c r="F740" s="1773"/>
      <c r="G740" s="1773"/>
      <c r="H740" s="1773"/>
      <c r="I740" s="1773"/>
      <c r="J740" s="1773"/>
      <c r="K740" s="1776"/>
      <c r="L740" s="1774"/>
      <c r="M740" s="1774"/>
      <c r="N740" s="1774"/>
      <c r="O740" s="1774"/>
      <c r="P740" s="1828"/>
      <c r="Q740" s="1828"/>
      <c r="R740" s="1828"/>
      <c r="S740" s="1828"/>
      <c r="T740" s="1828"/>
      <c r="U740" s="1828"/>
      <c r="V740" s="1828"/>
    </row>
    <row r="741" spans="1:22" ht="22.5" customHeight="1" thickTop="1" thickBot="1">
      <c r="A741" s="1772"/>
      <c r="B741" s="1773"/>
      <c r="C741" s="1773"/>
      <c r="D741" s="1773"/>
      <c r="E741" s="1773"/>
      <c r="F741" s="1773"/>
      <c r="G741" s="1773"/>
      <c r="H741" s="1773"/>
      <c r="I741" s="1773"/>
      <c r="J741" s="1773"/>
      <c r="K741" s="1776"/>
      <c r="L741" s="1774"/>
      <c r="M741" s="1774"/>
      <c r="N741" s="1774"/>
      <c r="O741" s="1774"/>
      <c r="P741" s="1828"/>
      <c r="Q741" s="1828"/>
      <c r="R741" s="1828"/>
      <c r="S741" s="1828"/>
      <c r="T741" s="1828"/>
      <c r="U741" s="1828"/>
      <c r="V741" s="1828"/>
    </row>
    <row r="742" spans="1:22" ht="22.5" customHeight="1" thickTop="1" thickBot="1">
      <c r="A742" s="1772"/>
      <c r="B742" s="1773"/>
      <c r="C742" s="1773"/>
      <c r="D742" s="1773"/>
      <c r="E742" s="1773"/>
      <c r="F742" s="1773"/>
      <c r="G742" s="1773"/>
      <c r="H742" s="1773"/>
      <c r="I742" s="1773"/>
      <c r="J742" s="1773"/>
      <c r="K742" s="1776"/>
      <c r="L742" s="1774"/>
      <c r="M742" s="1774"/>
      <c r="N742" s="1774"/>
      <c r="O742" s="1774"/>
      <c r="P742" s="1828"/>
      <c r="Q742" s="1828"/>
      <c r="R742" s="1828"/>
      <c r="S742" s="1828"/>
      <c r="T742" s="1828"/>
      <c r="U742" s="1828"/>
      <c r="V742" s="1828"/>
    </row>
    <row r="743" spans="1:22" ht="22.5" customHeight="1" thickTop="1" thickBot="1">
      <c r="A743" s="1772"/>
      <c r="B743" s="1773"/>
      <c r="C743" s="1773"/>
      <c r="D743" s="1773"/>
      <c r="E743" s="1773"/>
      <c r="F743" s="1773"/>
      <c r="G743" s="1773"/>
      <c r="H743" s="1773"/>
      <c r="I743" s="1773"/>
      <c r="J743" s="1773"/>
      <c r="K743" s="1776"/>
      <c r="L743" s="1774"/>
      <c r="M743" s="1774"/>
      <c r="N743" s="1774"/>
      <c r="O743" s="1774"/>
      <c r="P743" s="1828"/>
      <c r="Q743" s="1828"/>
      <c r="R743" s="1828"/>
      <c r="S743" s="1828"/>
      <c r="T743" s="1828"/>
      <c r="U743" s="1828"/>
      <c r="V743" s="1828"/>
    </row>
    <row r="744" spans="1:22" ht="22.5" customHeight="1" thickTop="1" thickBot="1">
      <c r="A744" s="1772"/>
      <c r="B744" s="1773"/>
      <c r="C744" s="1773"/>
      <c r="D744" s="1773"/>
      <c r="E744" s="1773"/>
      <c r="F744" s="1773"/>
      <c r="G744" s="1773"/>
      <c r="H744" s="1773"/>
      <c r="I744" s="1773"/>
      <c r="J744" s="1773"/>
      <c r="K744" s="1776"/>
      <c r="L744" s="1774"/>
      <c r="M744" s="1774"/>
      <c r="N744" s="1774"/>
      <c r="O744" s="1774"/>
      <c r="P744" s="1828"/>
      <c r="Q744" s="1828"/>
      <c r="R744" s="1828"/>
      <c r="S744" s="1828"/>
      <c r="T744" s="1828"/>
      <c r="U744" s="1828"/>
      <c r="V744" s="1828"/>
    </row>
    <row r="745" spans="1:22" ht="22.5" customHeight="1" thickTop="1" thickBot="1">
      <c r="A745" s="1772"/>
      <c r="B745" s="1773"/>
      <c r="C745" s="1773"/>
      <c r="D745" s="1773"/>
      <c r="E745" s="1773"/>
      <c r="F745" s="1773"/>
      <c r="G745" s="1773"/>
      <c r="H745" s="1773"/>
      <c r="I745" s="1773"/>
      <c r="J745" s="1773"/>
      <c r="K745" s="1776"/>
      <c r="L745" s="1774"/>
      <c r="M745" s="1774"/>
      <c r="N745" s="1774"/>
      <c r="O745" s="1774"/>
      <c r="P745" s="1828"/>
      <c r="Q745" s="1828"/>
      <c r="R745" s="1828"/>
      <c r="S745" s="1828"/>
      <c r="T745" s="1828"/>
      <c r="U745" s="1828"/>
      <c r="V745" s="1828"/>
    </row>
    <row r="746" spans="1:22" ht="22.5" customHeight="1" thickTop="1" thickBot="1">
      <c r="A746" s="1772"/>
      <c r="B746" s="1773"/>
      <c r="C746" s="1773"/>
      <c r="D746" s="1773"/>
      <c r="E746" s="1773"/>
      <c r="F746" s="1773"/>
      <c r="G746" s="1773"/>
      <c r="H746" s="1773"/>
      <c r="I746" s="1773"/>
      <c r="J746" s="1773"/>
      <c r="K746" s="1776"/>
      <c r="L746" s="1774"/>
      <c r="M746" s="1774"/>
      <c r="N746" s="1774"/>
      <c r="O746" s="1774"/>
      <c r="P746" s="1828"/>
      <c r="Q746" s="1828"/>
      <c r="R746" s="1828"/>
      <c r="S746" s="1828"/>
      <c r="T746" s="1828"/>
      <c r="U746" s="1828"/>
      <c r="V746" s="1828"/>
    </row>
    <row r="747" spans="1:22" ht="22.5" customHeight="1" thickTop="1" thickBot="1">
      <c r="A747" s="1772"/>
      <c r="B747" s="1773"/>
      <c r="C747" s="1773"/>
      <c r="D747" s="1773"/>
      <c r="E747" s="1773"/>
      <c r="F747" s="1773"/>
      <c r="G747" s="1773"/>
      <c r="H747" s="1773"/>
      <c r="I747" s="1773"/>
      <c r="J747" s="1773"/>
      <c r="K747" s="1776"/>
      <c r="L747" s="1774"/>
      <c r="M747" s="1774"/>
      <c r="N747" s="1774"/>
      <c r="O747" s="1774"/>
      <c r="P747" s="1828"/>
      <c r="Q747" s="1828"/>
      <c r="R747" s="1828"/>
      <c r="S747" s="1828"/>
      <c r="T747" s="1828"/>
      <c r="U747" s="1828"/>
      <c r="V747" s="1828"/>
    </row>
    <row r="748" spans="1:22" ht="22.5" customHeight="1" thickTop="1" thickBot="1">
      <c r="A748" s="1772"/>
      <c r="B748" s="1773"/>
      <c r="C748" s="1773"/>
      <c r="D748" s="1773"/>
      <c r="E748" s="1773"/>
      <c r="F748" s="1773"/>
      <c r="G748" s="1773"/>
      <c r="H748" s="1773"/>
      <c r="I748" s="1773"/>
      <c r="J748" s="1773"/>
      <c r="K748" s="1776"/>
      <c r="L748" s="1774"/>
      <c r="M748" s="1774"/>
      <c r="N748" s="1774"/>
      <c r="O748" s="1774"/>
      <c r="P748" s="1828"/>
      <c r="Q748" s="1828"/>
      <c r="R748" s="1828"/>
      <c r="S748" s="1828"/>
      <c r="T748" s="1828"/>
      <c r="U748" s="1828"/>
      <c r="V748" s="1828"/>
    </row>
    <row r="749" spans="1:22" ht="22.5" customHeight="1" thickTop="1" thickBot="1">
      <c r="A749" s="1772"/>
      <c r="B749" s="1773"/>
      <c r="C749" s="1773"/>
      <c r="D749" s="1773"/>
      <c r="E749" s="1773"/>
      <c r="F749" s="1773"/>
      <c r="G749" s="1773"/>
      <c r="H749" s="1773"/>
      <c r="I749" s="1773"/>
      <c r="J749" s="1773"/>
      <c r="K749" s="1776"/>
      <c r="L749" s="1774"/>
      <c r="M749" s="1774"/>
      <c r="N749" s="1774"/>
      <c r="O749" s="1774"/>
      <c r="P749" s="1828"/>
      <c r="Q749" s="1828"/>
      <c r="R749" s="1828"/>
      <c r="S749" s="1828"/>
      <c r="T749" s="1828"/>
      <c r="U749" s="1828"/>
      <c r="V749" s="1828"/>
    </row>
    <row r="750" spans="1:22" ht="22.5" customHeight="1" thickTop="1" thickBot="1">
      <c r="A750" s="1772"/>
      <c r="B750" s="1773"/>
      <c r="C750" s="1773"/>
      <c r="D750" s="1773"/>
      <c r="E750" s="1773"/>
      <c r="F750" s="1773"/>
      <c r="G750" s="1773"/>
      <c r="H750" s="1773"/>
      <c r="I750" s="1773"/>
      <c r="J750" s="1773"/>
      <c r="K750" s="1776"/>
      <c r="L750" s="1774"/>
      <c r="M750" s="1774"/>
      <c r="N750" s="1774"/>
      <c r="O750" s="1774"/>
      <c r="P750" s="1828"/>
      <c r="Q750" s="1828"/>
      <c r="R750" s="1828"/>
      <c r="S750" s="1828"/>
      <c r="T750" s="1828"/>
      <c r="U750" s="1828"/>
      <c r="V750" s="1828"/>
    </row>
    <row r="751" spans="1:22" ht="22.5" customHeight="1" thickTop="1" thickBot="1">
      <c r="A751" s="1772"/>
      <c r="B751" s="1773"/>
      <c r="C751" s="1773"/>
      <c r="D751" s="1773"/>
      <c r="E751" s="1773"/>
      <c r="F751" s="1773"/>
      <c r="G751" s="1773"/>
      <c r="H751" s="1773"/>
      <c r="I751" s="1773"/>
      <c r="J751" s="1773"/>
      <c r="K751" s="1776"/>
      <c r="L751" s="1774"/>
      <c r="M751" s="1774"/>
      <c r="N751" s="1774"/>
      <c r="O751" s="1774"/>
      <c r="P751" s="1828"/>
      <c r="Q751" s="1828"/>
      <c r="R751" s="1828"/>
      <c r="S751" s="1828"/>
      <c r="T751" s="1828"/>
      <c r="U751" s="1828"/>
      <c r="V751" s="1828"/>
    </row>
    <row r="752" spans="1:22" ht="22.5" customHeight="1" thickTop="1" thickBot="1">
      <c r="A752" s="1772"/>
      <c r="B752" s="1773"/>
      <c r="C752" s="1773"/>
      <c r="D752" s="1773"/>
      <c r="E752" s="1773"/>
      <c r="F752" s="1773"/>
      <c r="G752" s="1773"/>
      <c r="H752" s="1773"/>
      <c r="I752" s="1773"/>
      <c r="J752" s="1773"/>
      <c r="K752" s="1776"/>
      <c r="L752" s="1774"/>
      <c r="M752" s="1774"/>
      <c r="N752" s="1774"/>
      <c r="O752" s="1774"/>
      <c r="P752" s="1828"/>
      <c r="Q752" s="1828"/>
      <c r="R752" s="1828"/>
      <c r="S752" s="1828"/>
      <c r="T752" s="1828"/>
      <c r="U752" s="1828"/>
      <c r="V752" s="1828"/>
    </row>
    <row r="753" spans="1:22" ht="22.5" customHeight="1" thickTop="1" thickBot="1">
      <c r="A753" s="1772"/>
      <c r="B753" s="1773"/>
      <c r="C753" s="1773"/>
      <c r="D753" s="1773"/>
      <c r="E753" s="1773"/>
      <c r="F753" s="1773"/>
      <c r="G753" s="1773"/>
      <c r="H753" s="1773"/>
      <c r="I753" s="1773"/>
      <c r="J753" s="1773"/>
      <c r="K753" s="1776"/>
      <c r="L753" s="1774"/>
      <c r="M753" s="1774"/>
      <c r="N753" s="1774"/>
      <c r="O753" s="1774"/>
      <c r="P753" s="1828"/>
      <c r="Q753" s="1828"/>
      <c r="R753" s="1828"/>
      <c r="S753" s="1828"/>
      <c r="T753" s="1828"/>
      <c r="U753" s="1828"/>
      <c r="V753" s="1828"/>
    </row>
    <row r="754" spans="1:22" ht="22.5" customHeight="1" thickTop="1" thickBot="1">
      <c r="A754" s="1772"/>
      <c r="B754" s="1773"/>
      <c r="C754" s="1773"/>
      <c r="D754" s="1773"/>
      <c r="E754" s="1773"/>
      <c r="F754" s="1773"/>
      <c r="G754" s="1773"/>
      <c r="H754" s="1773"/>
      <c r="I754" s="1773"/>
      <c r="J754" s="1773"/>
      <c r="K754" s="1776"/>
      <c r="L754" s="1774"/>
      <c r="M754" s="1774"/>
      <c r="N754" s="1774"/>
      <c r="O754" s="1774"/>
      <c r="P754" s="1828"/>
      <c r="Q754" s="1828"/>
      <c r="R754" s="1828"/>
      <c r="S754" s="1828"/>
      <c r="T754" s="1828"/>
      <c r="U754" s="1828"/>
      <c r="V754" s="1828"/>
    </row>
    <row r="755" spans="1:22" ht="22.5" customHeight="1" thickTop="1" thickBot="1">
      <c r="A755" s="1772"/>
      <c r="B755" s="1773"/>
      <c r="C755" s="1773"/>
      <c r="D755" s="1773"/>
      <c r="E755" s="1773"/>
      <c r="F755" s="1773"/>
      <c r="G755" s="1773"/>
      <c r="H755" s="1773"/>
      <c r="I755" s="1773"/>
      <c r="J755" s="1773"/>
      <c r="K755" s="1776"/>
      <c r="L755" s="1774"/>
      <c r="M755" s="1774"/>
      <c r="N755" s="1774"/>
      <c r="O755" s="1774"/>
      <c r="P755" s="1828"/>
      <c r="Q755" s="1828"/>
      <c r="R755" s="1828"/>
      <c r="S755" s="1828"/>
      <c r="T755" s="1828"/>
      <c r="U755" s="1828"/>
      <c r="V755" s="1828"/>
    </row>
    <row r="756" spans="1:22" ht="22.5" customHeight="1" thickTop="1" thickBot="1">
      <c r="A756" s="1772"/>
      <c r="B756" s="1773"/>
      <c r="C756" s="1773"/>
      <c r="D756" s="1773"/>
      <c r="E756" s="1773"/>
      <c r="F756" s="1773"/>
      <c r="G756" s="1773"/>
      <c r="H756" s="1773"/>
      <c r="I756" s="1773"/>
      <c r="J756" s="1773"/>
      <c r="K756" s="1776"/>
      <c r="L756" s="1774"/>
      <c r="M756" s="1774"/>
      <c r="N756" s="1774"/>
      <c r="O756" s="1774"/>
      <c r="P756" s="1828"/>
      <c r="Q756" s="1828"/>
      <c r="R756" s="1828"/>
      <c r="S756" s="1828"/>
      <c r="T756" s="1828"/>
      <c r="U756" s="1828"/>
      <c r="V756" s="1828"/>
    </row>
    <row r="757" spans="1:22" ht="22.5" customHeight="1" thickTop="1" thickBot="1">
      <c r="A757" s="1772"/>
      <c r="B757" s="1773"/>
      <c r="C757" s="1773"/>
      <c r="D757" s="1773"/>
      <c r="E757" s="1773"/>
      <c r="F757" s="1773"/>
      <c r="G757" s="1773"/>
      <c r="H757" s="1773"/>
      <c r="I757" s="1773"/>
      <c r="J757" s="1773"/>
      <c r="K757" s="1776"/>
      <c r="L757" s="1774"/>
      <c r="M757" s="1774"/>
      <c r="N757" s="1774"/>
      <c r="O757" s="1774"/>
      <c r="P757" s="1828"/>
      <c r="Q757" s="1828"/>
      <c r="R757" s="1828"/>
      <c r="S757" s="1828"/>
      <c r="T757" s="1828"/>
      <c r="U757" s="1828"/>
      <c r="V757" s="1828"/>
    </row>
    <row r="758" spans="1:22" ht="22.5" customHeight="1" thickTop="1" thickBot="1">
      <c r="A758" s="1773"/>
      <c r="B758" s="1773"/>
      <c r="C758" s="1773"/>
      <c r="D758" s="1773"/>
      <c r="E758" s="1773"/>
      <c r="F758" s="1773"/>
      <c r="G758" s="1773"/>
      <c r="H758" s="1773"/>
      <c r="I758" s="1773"/>
      <c r="J758" s="1773"/>
      <c r="K758" s="1776"/>
      <c r="L758" s="1774"/>
      <c r="M758" s="1774"/>
      <c r="N758" s="1774"/>
      <c r="O758" s="1774"/>
      <c r="P758" s="1828"/>
      <c r="Q758" s="1828"/>
      <c r="R758" s="1828"/>
      <c r="S758" s="1828"/>
      <c r="T758" s="1828"/>
      <c r="U758" s="1828"/>
      <c r="V758" s="1828"/>
    </row>
    <row r="759" spans="1:22" ht="22.5" customHeight="1" thickTop="1" thickBot="1">
      <c r="A759" s="1772"/>
      <c r="B759" s="1773"/>
      <c r="C759" s="1773"/>
      <c r="D759" s="1773"/>
      <c r="E759" s="1773"/>
      <c r="F759" s="1773"/>
      <c r="G759" s="1773"/>
      <c r="H759" s="1773"/>
      <c r="I759" s="1773"/>
      <c r="J759" s="1773"/>
      <c r="K759" s="1776"/>
      <c r="L759" s="1774"/>
      <c r="M759" s="1774"/>
      <c r="N759" s="1774"/>
      <c r="O759" s="1774"/>
      <c r="P759" s="1828"/>
      <c r="Q759" s="1828"/>
      <c r="R759" s="1828"/>
      <c r="S759" s="1828"/>
      <c r="T759" s="1828"/>
      <c r="U759" s="1828"/>
      <c r="V759" s="1828"/>
    </row>
    <row r="760" spans="1:22" ht="22.5" customHeight="1" thickTop="1" thickBot="1">
      <c r="A760" s="1772"/>
      <c r="B760" s="1773"/>
      <c r="C760" s="1773"/>
      <c r="D760" s="1773"/>
      <c r="E760" s="1773"/>
      <c r="F760" s="1773"/>
      <c r="G760" s="1773"/>
      <c r="H760" s="1773"/>
      <c r="I760" s="1773"/>
      <c r="J760" s="1773"/>
      <c r="K760" s="1776"/>
      <c r="L760" s="1774"/>
      <c r="M760" s="1774"/>
      <c r="N760" s="1774"/>
      <c r="O760" s="1774"/>
      <c r="P760" s="1828"/>
      <c r="Q760" s="1828"/>
      <c r="R760" s="1828"/>
      <c r="S760" s="1828"/>
      <c r="T760" s="1828"/>
      <c r="U760" s="1828"/>
      <c r="V760" s="1828"/>
    </row>
    <row r="761" spans="1:22" ht="22.5" customHeight="1" thickTop="1" thickBot="1">
      <c r="A761" s="1772"/>
      <c r="B761" s="1773"/>
      <c r="C761" s="1773"/>
      <c r="D761" s="1773"/>
      <c r="E761" s="1773"/>
      <c r="F761" s="1773"/>
      <c r="G761" s="1773"/>
      <c r="H761" s="1773"/>
      <c r="I761" s="1773"/>
      <c r="J761" s="1773"/>
      <c r="K761" s="1776"/>
      <c r="L761" s="1774"/>
      <c r="M761" s="1774"/>
      <c r="N761" s="1774"/>
      <c r="O761" s="1774"/>
      <c r="P761" s="1828"/>
      <c r="Q761" s="1828"/>
      <c r="R761" s="1828"/>
      <c r="S761" s="1828"/>
      <c r="T761" s="1828"/>
      <c r="U761" s="1828"/>
      <c r="V761" s="1828"/>
    </row>
    <row r="762" spans="1:22" ht="22.5" customHeight="1" thickTop="1" thickBot="1">
      <c r="A762" s="1772"/>
      <c r="B762" s="1773"/>
      <c r="C762" s="1773"/>
      <c r="D762" s="1773"/>
      <c r="E762" s="1773"/>
      <c r="F762" s="1773"/>
      <c r="G762" s="1773"/>
      <c r="H762" s="1773"/>
      <c r="I762" s="1773"/>
      <c r="J762" s="1773"/>
      <c r="K762" s="1776"/>
      <c r="L762" s="1774"/>
      <c r="M762" s="1774"/>
      <c r="N762" s="1774"/>
      <c r="O762" s="1774"/>
      <c r="P762" s="1828"/>
      <c r="Q762" s="1828"/>
      <c r="R762" s="1828"/>
      <c r="S762" s="1828"/>
      <c r="T762" s="1828"/>
      <c r="U762" s="1828"/>
      <c r="V762" s="1828"/>
    </row>
    <row r="763" spans="1:22" ht="22.5" customHeight="1" thickTop="1" thickBot="1">
      <c r="A763" s="1772"/>
      <c r="B763" s="1773"/>
      <c r="C763" s="1773"/>
      <c r="D763" s="1773"/>
      <c r="E763" s="1773"/>
      <c r="F763" s="1773"/>
      <c r="G763" s="1773"/>
      <c r="H763" s="1773"/>
      <c r="I763" s="1773"/>
      <c r="J763" s="1773"/>
      <c r="K763" s="1776"/>
      <c r="L763" s="1774"/>
      <c r="M763" s="1774"/>
      <c r="N763" s="1774"/>
      <c r="O763" s="1774"/>
      <c r="P763" s="1828"/>
      <c r="Q763" s="1828"/>
      <c r="R763" s="1828"/>
      <c r="S763" s="1828"/>
      <c r="T763" s="1828"/>
      <c r="U763" s="1828"/>
      <c r="V763" s="1828"/>
    </row>
    <row r="764" spans="1:22" ht="22.5" customHeight="1" thickTop="1" thickBot="1">
      <c r="A764" s="1772"/>
      <c r="B764" s="1773"/>
      <c r="C764" s="1773"/>
      <c r="D764" s="1773"/>
      <c r="E764" s="1773"/>
      <c r="F764" s="1773"/>
      <c r="G764" s="1773"/>
      <c r="H764" s="1773"/>
      <c r="I764" s="1773"/>
      <c r="J764" s="1773"/>
      <c r="K764" s="1776"/>
      <c r="L764" s="1774"/>
      <c r="M764" s="1774"/>
      <c r="N764" s="1774"/>
      <c r="O764" s="1774"/>
      <c r="P764" s="1828"/>
      <c r="Q764" s="1828"/>
      <c r="R764" s="1828"/>
      <c r="S764" s="1828"/>
      <c r="T764" s="1828"/>
      <c r="U764" s="1828"/>
      <c r="V764" s="1828"/>
    </row>
    <row r="765" spans="1:22" ht="22.5" customHeight="1" thickTop="1" thickBot="1">
      <c r="A765" s="1772"/>
      <c r="B765" s="1773"/>
      <c r="C765" s="1773"/>
      <c r="D765" s="1773"/>
      <c r="E765" s="1773"/>
      <c r="F765" s="1773"/>
      <c r="G765" s="1773"/>
      <c r="H765" s="1773"/>
      <c r="I765" s="1773"/>
      <c r="J765" s="1773"/>
      <c r="K765" s="1776"/>
      <c r="L765" s="1774"/>
      <c r="M765" s="1774"/>
      <c r="N765" s="1774"/>
      <c r="O765" s="1774"/>
      <c r="P765" s="1828"/>
      <c r="Q765" s="1828"/>
      <c r="R765" s="1828"/>
      <c r="S765" s="1828"/>
      <c r="T765" s="1828"/>
      <c r="U765" s="1828"/>
      <c r="V765" s="1828"/>
    </row>
    <row r="766" spans="1:22" ht="22.5" customHeight="1" thickTop="1" thickBot="1">
      <c r="A766" s="1772"/>
      <c r="B766" s="1773"/>
      <c r="C766" s="1773"/>
      <c r="D766" s="1773"/>
      <c r="E766" s="1773"/>
      <c r="F766" s="1773"/>
      <c r="G766" s="1773"/>
      <c r="H766" s="1773"/>
      <c r="I766" s="1773"/>
      <c r="J766" s="1773"/>
      <c r="K766" s="1776"/>
      <c r="L766" s="1774"/>
      <c r="M766" s="1774"/>
      <c r="N766" s="1774"/>
      <c r="O766" s="1774"/>
      <c r="P766" s="1828"/>
      <c r="Q766" s="1828"/>
      <c r="R766" s="1828"/>
      <c r="S766" s="1828"/>
      <c r="T766" s="1828"/>
      <c r="U766" s="1828"/>
      <c r="V766" s="1828"/>
    </row>
    <row r="767" spans="1:22" ht="22.5" customHeight="1" thickTop="1" thickBot="1">
      <c r="A767" s="1772"/>
      <c r="B767" s="1773"/>
      <c r="C767" s="1773"/>
      <c r="D767" s="1773"/>
      <c r="E767" s="1773"/>
      <c r="F767" s="1773"/>
      <c r="G767" s="1773"/>
      <c r="H767" s="1773"/>
      <c r="I767" s="1773"/>
      <c r="J767" s="1773"/>
      <c r="K767" s="1776"/>
      <c r="L767" s="1774"/>
      <c r="M767" s="1774"/>
      <c r="N767" s="1774"/>
      <c r="O767" s="1774"/>
      <c r="P767" s="1828"/>
      <c r="Q767" s="1828"/>
      <c r="R767" s="1828"/>
      <c r="S767" s="1828"/>
      <c r="T767" s="1828"/>
      <c r="U767" s="1828"/>
      <c r="V767" s="1828"/>
    </row>
    <row r="768" spans="1:22" ht="22.5" customHeight="1" thickTop="1" thickBot="1">
      <c r="A768" s="1772"/>
      <c r="B768" s="1773"/>
      <c r="C768" s="1773"/>
      <c r="D768" s="1773"/>
      <c r="E768" s="1773"/>
      <c r="F768" s="1773"/>
      <c r="G768" s="1773"/>
      <c r="H768" s="1773"/>
      <c r="I768" s="1773"/>
      <c r="J768" s="1773"/>
      <c r="K768" s="1776"/>
      <c r="L768" s="1774"/>
      <c r="M768" s="1774"/>
      <c r="N768" s="1774"/>
      <c r="O768" s="1774"/>
      <c r="P768" s="1828"/>
      <c r="Q768" s="1828"/>
      <c r="R768" s="1828"/>
      <c r="S768" s="1828"/>
      <c r="T768" s="1828"/>
      <c r="U768" s="1828"/>
      <c r="V768" s="1828"/>
    </row>
    <row r="769" spans="1:22" ht="22.5" customHeight="1" thickTop="1" thickBot="1">
      <c r="A769" s="1772"/>
      <c r="B769" s="1773"/>
      <c r="C769" s="1773"/>
      <c r="D769" s="1773"/>
      <c r="E769" s="1773"/>
      <c r="F769" s="1773"/>
      <c r="G769" s="1773"/>
      <c r="H769" s="1773"/>
      <c r="I769" s="1773"/>
      <c r="J769" s="1773"/>
      <c r="K769" s="1776"/>
      <c r="L769" s="1774"/>
      <c r="M769" s="1774"/>
      <c r="N769" s="1774"/>
      <c r="O769" s="1774"/>
      <c r="P769" s="1828"/>
      <c r="Q769" s="1828"/>
      <c r="R769" s="1828"/>
      <c r="S769" s="1828"/>
      <c r="T769" s="1828"/>
      <c r="U769" s="1828"/>
      <c r="V769" s="1828"/>
    </row>
    <row r="770" spans="1:22" ht="22.5" customHeight="1" thickTop="1" thickBot="1">
      <c r="A770" s="1772"/>
      <c r="B770" s="1773"/>
      <c r="C770" s="1773"/>
      <c r="D770" s="1773"/>
      <c r="E770" s="1773"/>
      <c r="F770" s="1773"/>
      <c r="G770" s="1773"/>
      <c r="H770" s="1773"/>
      <c r="I770" s="1773"/>
      <c r="J770" s="1773"/>
      <c r="K770" s="1776"/>
      <c r="L770" s="1774"/>
      <c r="M770" s="1774"/>
      <c r="N770" s="1774"/>
      <c r="O770" s="1774"/>
      <c r="P770" s="1828"/>
      <c r="Q770" s="1828"/>
      <c r="R770" s="1828"/>
      <c r="S770" s="1828"/>
      <c r="T770" s="1828"/>
      <c r="U770" s="1828"/>
      <c r="V770" s="1828"/>
    </row>
    <row r="771" spans="1:22" ht="22.5" customHeight="1" thickTop="1" thickBot="1">
      <c r="A771" s="1772"/>
      <c r="B771" s="1773"/>
      <c r="C771" s="1773"/>
      <c r="D771" s="1773"/>
      <c r="E771" s="1773"/>
      <c r="F771" s="1773"/>
      <c r="G771" s="1773"/>
      <c r="H771" s="1773"/>
      <c r="I771" s="1773"/>
      <c r="J771" s="1773"/>
      <c r="K771" s="1776"/>
      <c r="L771" s="1774"/>
      <c r="M771" s="1774"/>
      <c r="N771" s="1774"/>
      <c r="O771" s="1774"/>
      <c r="P771" s="1828"/>
      <c r="Q771" s="1828"/>
      <c r="R771" s="1828"/>
      <c r="S771" s="1828"/>
      <c r="T771" s="1828"/>
      <c r="U771" s="1828"/>
      <c r="V771" s="1828"/>
    </row>
    <row r="772" spans="1:22" ht="22.5" customHeight="1" thickTop="1" thickBot="1">
      <c r="A772" s="1772"/>
      <c r="B772" s="1773"/>
      <c r="C772" s="1773"/>
      <c r="D772" s="1773"/>
      <c r="E772" s="1773"/>
      <c r="F772" s="1773"/>
      <c r="G772" s="1773"/>
      <c r="H772" s="1773"/>
      <c r="I772" s="1773"/>
      <c r="J772" s="1773"/>
      <c r="K772" s="1776"/>
      <c r="L772" s="1774"/>
      <c r="M772" s="1774"/>
      <c r="N772" s="1774"/>
      <c r="O772" s="1774"/>
      <c r="P772" s="1828"/>
      <c r="Q772" s="1828"/>
      <c r="R772" s="1828"/>
      <c r="S772" s="1828"/>
      <c r="T772" s="1828"/>
      <c r="U772" s="1828"/>
      <c r="V772" s="1828"/>
    </row>
    <row r="773" spans="1:22" ht="22.5" customHeight="1" thickTop="1" thickBot="1">
      <c r="A773" s="1772"/>
      <c r="B773" s="1773"/>
      <c r="C773" s="1773"/>
      <c r="D773" s="1773"/>
      <c r="E773" s="1773"/>
      <c r="F773" s="1773"/>
      <c r="G773" s="1773"/>
      <c r="H773" s="1773"/>
      <c r="I773" s="1773"/>
      <c r="J773" s="1773"/>
      <c r="K773" s="1776"/>
      <c r="L773" s="1774"/>
      <c r="M773" s="1774"/>
      <c r="N773" s="1774"/>
      <c r="O773" s="1774"/>
      <c r="P773" s="1828"/>
      <c r="Q773" s="1828"/>
      <c r="R773" s="1828"/>
      <c r="S773" s="1828"/>
      <c r="T773" s="1828"/>
      <c r="U773" s="1828"/>
      <c r="V773" s="1828"/>
    </row>
    <row r="774" spans="1:22" ht="22.5" customHeight="1" thickTop="1" thickBot="1">
      <c r="A774" s="1772"/>
      <c r="B774" s="1773"/>
      <c r="C774" s="1773"/>
      <c r="D774" s="1773"/>
      <c r="E774" s="1773"/>
      <c r="F774" s="1773"/>
      <c r="G774" s="1773"/>
      <c r="H774" s="1773"/>
      <c r="I774" s="1773"/>
      <c r="J774" s="1773"/>
      <c r="K774" s="1776"/>
      <c r="L774" s="1774"/>
      <c r="M774" s="1774"/>
      <c r="N774" s="1774"/>
      <c r="O774" s="1774"/>
      <c r="P774" s="1828"/>
      <c r="Q774" s="1828"/>
      <c r="R774" s="1828"/>
      <c r="S774" s="1828"/>
      <c r="T774" s="1828"/>
      <c r="U774" s="1828"/>
      <c r="V774" s="1828"/>
    </row>
    <row r="775" spans="1:22" ht="22.5" customHeight="1" thickTop="1" thickBot="1">
      <c r="A775" s="1772"/>
      <c r="B775" s="1773"/>
      <c r="C775" s="1773"/>
      <c r="D775" s="1773"/>
      <c r="E775" s="1773"/>
      <c r="F775" s="1773"/>
      <c r="G775" s="1773"/>
      <c r="H775" s="1773"/>
      <c r="I775" s="1773"/>
      <c r="J775" s="1773"/>
      <c r="K775" s="1776"/>
      <c r="L775" s="1774"/>
      <c r="M775" s="1774"/>
      <c r="N775" s="1774"/>
      <c r="O775" s="1774"/>
      <c r="P775" s="1828"/>
      <c r="Q775" s="1828"/>
      <c r="R775" s="1828"/>
      <c r="S775" s="1828"/>
      <c r="T775" s="1828"/>
      <c r="U775" s="1828"/>
      <c r="V775" s="1828"/>
    </row>
    <row r="776" spans="1:22" ht="22.5" customHeight="1" thickTop="1" thickBot="1">
      <c r="A776" s="1772"/>
      <c r="B776" s="1773"/>
      <c r="C776" s="1773"/>
      <c r="D776" s="1773"/>
      <c r="E776" s="1773"/>
      <c r="F776" s="1773"/>
      <c r="G776" s="1773"/>
      <c r="H776" s="1773"/>
      <c r="I776" s="1773"/>
      <c r="J776" s="1773"/>
      <c r="K776" s="1776"/>
      <c r="L776" s="1774"/>
      <c r="M776" s="1774"/>
      <c r="N776" s="1774"/>
      <c r="O776" s="1774"/>
      <c r="P776" s="1828"/>
      <c r="Q776" s="1828"/>
      <c r="R776" s="1828"/>
      <c r="S776" s="1828"/>
      <c r="T776" s="1828"/>
      <c r="U776" s="1828"/>
      <c r="V776" s="1828"/>
    </row>
    <row r="777" spans="1:22" ht="22.5" customHeight="1" thickTop="1" thickBot="1">
      <c r="A777" s="1772"/>
      <c r="B777" s="1773"/>
      <c r="C777" s="1773"/>
      <c r="D777" s="1773"/>
      <c r="E777" s="1773"/>
      <c r="F777" s="1773"/>
      <c r="G777" s="1773"/>
      <c r="H777" s="1773"/>
      <c r="I777" s="1773"/>
      <c r="J777" s="1773"/>
      <c r="K777" s="1776"/>
      <c r="L777" s="1774"/>
      <c r="M777" s="1774"/>
      <c r="N777" s="1774"/>
      <c r="O777" s="1774"/>
      <c r="P777" s="1828"/>
      <c r="Q777" s="1828"/>
      <c r="R777" s="1828"/>
      <c r="S777" s="1828"/>
      <c r="T777" s="1828"/>
      <c r="U777" s="1828"/>
      <c r="V777" s="1828"/>
    </row>
    <row r="778" spans="1:22" ht="22.5" customHeight="1" thickTop="1" thickBot="1">
      <c r="A778" s="1772"/>
      <c r="B778" s="1773"/>
      <c r="C778" s="1773"/>
      <c r="D778" s="1773"/>
      <c r="E778" s="1773"/>
      <c r="F778" s="1773"/>
      <c r="G778" s="1773"/>
      <c r="H778" s="1773"/>
      <c r="I778" s="1773"/>
      <c r="J778" s="1773"/>
      <c r="K778" s="1776"/>
      <c r="L778" s="1774"/>
      <c r="M778" s="1774"/>
      <c r="N778" s="1774"/>
      <c r="O778" s="1774"/>
      <c r="P778" s="1828"/>
      <c r="Q778" s="1828"/>
      <c r="R778" s="1828"/>
      <c r="S778" s="1828"/>
      <c r="T778" s="1828"/>
      <c r="U778" s="1828"/>
      <c r="V778" s="1828"/>
    </row>
    <row r="779" spans="1:22" ht="22.5" customHeight="1" thickTop="1" thickBot="1">
      <c r="A779" s="1772"/>
      <c r="B779" s="1773"/>
      <c r="C779" s="1773"/>
      <c r="D779" s="1773"/>
      <c r="E779" s="1773"/>
      <c r="F779" s="1773"/>
      <c r="G779" s="1773"/>
      <c r="H779" s="1773"/>
      <c r="I779" s="1773"/>
      <c r="J779" s="1773"/>
      <c r="K779" s="1776"/>
      <c r="L779" s="1774"/>
      <c r="M779" s="1774"/>
      <c r="N779" s="1774"/>
      <c r="O779" s="1774"/>
      <c r="P779" s="1828"/>
      <c r="Q779" s="1828"/>
      <c r="R779" s="1828"/>
      <c r="S779" s="1828"/>
      <c r="T779" s="1828"/>
      <c r="U779" s="1828"/>
      <c r="V779" s="1828"/>
    </row>
    <row r="780" spans="1:22" ht="22.5" customHeight="1" thickTop="1" thickBot="1">
      <c r="A780" s="1772"/>
      <c r="B780" s="1773"/>
      <c r="C780" s="1773"/>
      <c r="D780" s="1773"/>
      <c r="E780" s="1773"/>
      <c r="F780" s="1773"/>
      <c r="G780" s="1773"/>
      <c r="H780" s="1773"/>
      <c r="I780" s="1773"/>
      <c r="J780" s="1773"/>
      <c r="K780" s="1776"/>
      <c r="L780" s="1774"/>
      <c r="M780" s="1774"/>
      <c r="N780" s="1774"/>
      <c r="O780" s="1774"/>
      <c r="P780" s="1828"/>
      <c r="Q780" s="1828"/>
      <c r="R780" s="1828"/>
      <c r="S780" s="1828"/>
      <c r="T780" s="1828"/>
      <c r="U780" s="1828"/>
      <c r="V780" s="1828"/>
    </row>
    <row r="781" spans="1:22" ht="22.5" customHeight="1" thickTop="1" thickBot="1">
      <c r="A781" s="1772"/>
      <c r="B781" s="1773"/>
      <c r="C781" s="1773"/>
      <c r="D781" s="1773"/>
      <c r="E781" s="1773"/>
      <c r="F781" s="1773"/>
      <c r="G781" s="1773"/>
      <c r="H781" s="1773"/>
      <c r="I781" s="1773"/>
      <c r="J781" s="1773"/>
      <c r="K781" s="1776"/>
      <c r="L781" s="1774"/>
      <c r="M781" s="1774"/>
      <c r="N781" s="1774"/>
      <c r="O781" s="1774"/>
      <c r="P781" s="1828"/>
      <c r="Q781" s="1828"/>
      <c r="R781" s="1828"/>
      <c r="S781" s="1828"/>
      <c r="T781" s="1828"/>
      <c r="U781" s="1828"/>
      <c r="V781" s="1828"/>
    </row>
    <row r="782" spans="1:22" ht="22.5" customHeight="1" thickTop="1" thickBot="1">
      <c r="A782" s="1772"/>
      <c r="B782" s="1773"/>
      <c r="C782" s="1773"/>
      <c r="D782" s="1773"/>
      <c r="E782" s="1773"/>
      <c r="F782" s="1773"/>
      <c r="G782" s="1773"/>
      <c r="H782" s="1773"/>
      <c r="I782" s="1773"/>
      <c r="J782" s="1773"/>
      <c r="K782" s="1776"/>
      <c r="L782" s="1774"/>
      <c r="M782" s="1774"/>
      <c r="N782" s="1774"/>
      <c r="O782" s="1774"/>
      <c r="P782" s="1828"/>
      <c r="Q782" s="1828"/>
      <c r="R782" s="1828"/>
      <c r="S782" s="1828"/>
      <c r="T782" s="1828"/>
      <c r="U782" s="1828"/>
      <c r="V782" s="1828"/>
    </row>
    <row r="783" spans="1:22" ht="22.5" customHeight="1" thickTop="1" thickBot="1">
      <c r="A783" s="1772"/>
      <c r="B783" s="1773"/>
      <c r="C783" s="1773"/>
      <c r="D783" s="1773"/>
      <c r="E783" s="1773"/>
      <c r="F783" s="1773"/>
      <c r="G783" s="1773"/>
      <c r="H783" s="1773"/>
      <c r="I783" s="1773"/>
      <c r="J783" s="1773"/>
      <c r="K783" s="1776"/>
      <c r="L783" s="1774"/>
      <c r="M783" s="1774"/>
      <c r="N783" s="1774"/>
      <c r="O783" s="1774"/>
      <c r="P783" s="1828"/>
      <c r="Q783" s="1828"/>
      <c r="R783" s="1828"/>
      <c r="S783" s="1828"/>
      <c r="T783" s="1828"/>
      <c r="U783" s="1828"/>
      <c r="V783" s="1828"/>
    </row>
    <row r="784" spans="1:22" ht="22.5" customHeight="1" thickTop="1" thickBot="1">
      <c r="A784" s="1772"/>
      <c r="B784" s="1773"/>
      <c r="C784" s="1773"/>
      <c r="D784" s="1773"/>
      <c r="E784" s="1773"/>
      <c r="F784" s="1773"/>
      <c r="G784" s="1773"/>
      <c r="H784" s="1773"/>
      <c r="I784" s="1773"/>
      <c r="J784" s="1773"/>
      <c r="K784" s="1776"/>
      <c r="L784" s="1774"/>
      <c r="M784" s="1774"/>
      <c r="N784" s="1774"/>
      <c r="O784" s="1774"/>
      <c r="P784" s="1828"/>
      <c r="Q784" s="1828"/>
      <c r="R784" s="1828"/>
      <c r="S784" s="1828"/>
      <c r="T784" s="1828"/>
      <c r="U784" s="1828"/>
      <c r="V784" s="1828"/>
    </row>
    <row r="785" spans="1:22" ht="22.5" customHeight="1" thickTop="1" thickBot="1">
      <c r="A785" s="1772"/>
      <c r="B785" s="1773"/>
      <c r="C785" s="1773"/>
      <c r="D785" s="1773"/>
      <c r="E785" s="1773"/>
      <c r="F785" s="1773"/>
      <c r="G785" s="1773"/>
      <c r="H785" s="1773"/>
      <c r="I785" s="1773"/>
      <c r="J785" s="1773"/>
      <c r="K785" s="1776"/>
      <c r="L785" s="1774"/>
      <c r="M785" s="1774"/>
      <c r="N785" s="1774"/>
      <c r="O785" s="1774"/>
      <c r="P785" s="1828"/>
      <c r="Q785" s="1828"/>
      <c r="R785" s="1828"/>
      <c r="S785" s="1828"/>
      <c r="T785" s="1828"/>
      <c r="U785" s="1828"/>
      <c r="V785" s="1828"/>
    </row>
    <row r="786" spans="1:22" ht="22.5" customHeight="1" thickTop="1" thickBot="1">
      <c r="A786" s="1772"/>
      <c r="B786" s="1773"/>
      <c r="C786" s="1773"/>
      <c r="D786" s="1773"/>
      <c r="E786" s="1773"/>
      <c r="F786" s="1773"/>
      <c r="G786" s="1773"/>
      <c r="H786" s="1773"/>
      <c r="I786" s="1773"/>
      <c r="J786" s="1773"/>
      <c r="K786" s="1776"/>
      <c r="L786" s="1774"/>
      <c r="M786" s="1774"/>
      <c r="N786" s="1774"/>
      <c r="O786" s="1774"/>
      <c r="P786" s="1828"/>
      <c r="Q786" s="1828"/>
      <c r="R786" s="1828"/>
      <c r="S786" s="1828"/>
      <c r="T786" s="1828"/>
      <c r="U786" s="1828"/>
      <c r="V786" s="1828"/>
    </row>
    <row r="787" spans="1:22" ht="22.5" customHeight="1" thickTop="1" thickBot="1">
      <c r="A787" s="1772"/>
      <c r="B787" s="1773"/>
      <c r="C787" s="1773"/>
      <c r="D787" s="1773"/>
      <c r="E787" s="1773"/>
      <c r="F787" s="1773"/>
      <c r="G787" s="1773"/>
      <c r="H787" s="1773"/>
      <c r="I787" s="1773"/>
      <c r="J787" s="1773"/>
      <c r="K787" s="1776"/>
      <c r="L787" s="1774"/>
      <c r="M787" s="1774"/>
      <c r="N787" s="1774"/>
      <c r="O787" s="1774"/>
      <c r="P787" s="1828"/>
      <c r="Q787" s="1828"/>
      <c r="R787" s="1828"/>
      <c r="S787" s="1828"/>
      <c r="T787" s="1828"/>
      <c r="U787" s="1828"/>
      <c r="V787" s="1828"/>
    </row>
    <row r="788" spans="1:22" ht="22.5" customHeight="1" thickTop="1" thickBot="1">
      <c r="A788" s="1772"/>
      <c r="B788" s="1773"/>
      <c r="C788" s="1773"/>
      <c r="D788" s="1773"/>
      <c r="E788" s="1773"/>
      <c r="F788" s="1773"/>
      <c r="G788" s="1773"/>
      <c r="H788" s="1773"/>
      <c r="I788" s="1773"/>
      <c r="J788" s="1773"/>
      <c r="K788" s="1776"/>
      <c r="L788" s="1774"/>
      <c r="M788" s="1774"/>
      <c r="N788" s="1774"/>
      <c r="O788" s="1774"/>
      <c r="P788" s="1828"/>
      <c r="Q788" s="1828"/>
      <c r="R788" s="1828"/>
      <c r="S788" s="1828"/>
      <c r="T788" s="1828"/>
      <c r="U788" s="1828"/>
      <c r="V788" s="1828"/>
    </row>
    <row r="789" spans="1:22" ht="22.5" customHeight="1" thickTop="1" thickBot="1">
      <c r="A789" s="1772"/>
      <c r="B789" s="1773"/>
      <c r="C789" s="1773"/>
      <c r="D789" s="1773"/>
      <c r="E789" s="1773"/>
      <c r="F789" s="1773"/>
      <c r="G789" s="1773"/>
      <c r="H789" s="1773"/>
      <c r="I789" s="1773"/>
      <c r="J789" s="1773"/>
      <c r="K789" s="1776"/>
      <c r="L789" s="1774"/>
      <c r="M789" s="1774"/>
      <c r="N789" s="1774"/>
      <c r="O789" s="1774"/>
      <c r="P789" s="1828"/>
      <c r="Q789" s="1828"/>
      <c r="R789" s="1828"/>
      <c r="S789" s="1828"/>
      <c r="T789" s="1828"/>
      <c r="U789" s="1828"/>
      <c r="V789" s="1828"/>
    </row>
    <row r="790" spans="1:22" ht="22.5" customHeight="1" thickTop="1" thickBot="1">
      <c r="A790" s="1772"/>
      <c r="B790" s="1773"/>
      <c r="C790" s="1773"/>
      <c r="D790" s="1773"/>
      <c r="E790" s="1773"/>
      <c r="F790" s="1773"/>
      <c r="G790" s="1773"/>
      <c r="H790" s="1773"/>
      <c r="I790" s="1773"/>
      <c r="J790" s="1773"/>
      <c r="K790" s="1776"/>
      <c r="L790" s="1774"/>
      <c r="M790" s="1774"/>
      <c r="N790" s="1774"/>
      <c r="O790" s="1774"/>
      <c r="P790" s="1828"/>
      <c r="Q790" s="1828"/>
      <c r="R790" s="1828"/>
      <c r="S790" s="1828"/>
      <c r="T790" s="1828"/>
      <c r="U790" s="1828"/>
      <c r="V790" s="1828"/>
    </row>
    <row r="791" spans="1:22" ht="22.5" customHeight="1" thickTop="1" thickBot="1">
      <c r="A791" s="1772"/>
      <c r="B791" s="1773"/>
      <c r="C791" s="1773"/>
      <c r="D791" s="1773"/>
      <c r="E791" s="1773"/>
      <c r="F791" s="1773"/>
      <c r="G791" s="1773"/>
      <c r="H791" s="1773"/>
      <c r="I791" s="1773"/>
      <c r="J791" s="1773"/>
      <c r="K791" s="1776"/>
      <c r="L791" s="1774"/>
      <c r="M791" s="1774"/>
      <c r="N791" s="1774"/>
      <c r="O791" s="1774"/>
      <c r="P791" s="1828"/>
      <c r="Q791" s="1828"/>
      <c r="R791" s="1828"/>
      <c r="S791" s="1828"/>
      <c r="T791" s="1828"/>
      <c r="U791" s="1828"/>
      <c r="V791" s="1828"/>
    </row>
    <row r="792" spans="1:22" ht="22.5" customHeight="1" thickTop="1" thickBot="1">
      <c r="A792" s="1772"/>
      <c r="B792" s="1773"/>
      <c r="C792" s="1773"/>
      <c r="D792" s="1773"/>
      <c r="E792" s="1773"/>
      <c r="F792" s="1773"/>
      <c r="G792" s="1773"/>
      <c r="H792" s="1773"/>
      <c r="I792" s="1773"/>
      <c r="J792" s="1773"/>
      <c r="K792" s="1776"/>
      <c r="L792" s="1774"/>
      <c r="M792" s="1774"/>
      <c r="N792" s="1774"/>
      <c r="O792" s="1774"/>
      <c r="P792" s="1828"/>
      <c r="Q792" s="1828"/>
      <c r="R792" s="1828"/>
      <c r="S792" s="1828"/>
      <c r="T792" s="1828"/>
      <c r="U792" s="1828"/>
      <c r="V792" s="1828"/>
    </row>
    <row r="793" spans="1:22" ht="22.5" customHeight="1" thickTop="1" thickBot="1">
      <c r="A793" s="1772"/>
      <c r="B793" s="1773"/>
      <c r="C793" s="1773"/>
      <c r="D793" s="1773"/>
      <c r="E793" s="1773"/>
      <c r="F793" s="1773"/>
      <c r="G793" s="1773"/>
      <c r="H793" s="1773"/>
      <c r="I793" s="1773"/>
      <c r="J793" s="1773"/>
      <c r="K793" s="1776"/>
      <c r="L793" s="1774"/>
      <c r="M793" s="1774"/>
      <c r="N793" s="1774"/>
      <c r="O793" s="1774"/>
      <c r="P793" s="1828"/>
      <c r="Q793" s="1828"/>
      <c r="R793" s="1828"/>
      <c r="S793" s="1828"/>
      <c r="T793" s="1828"/>
      <c r="U793" s="1828"/>
      <c r="V793" s="1828"/>
    </row>
    <row r="794" spans="1:22" ht="22.5" customHeight="1" thickTop="1" thickBot="1">
      <c r="A794" s="1772"/>
      <c r="B794" s="1773"/>
      <c r="C794" s="1773"/>
      <c r="D794" s="1773"/>
      <c r="E794" s="1773"/>
      <c r="F794" s="1773"/>
      <c r="G794" s="1773"/>
      <c r="H794" s="1773"/>
      <c r="I794" s="1773"/>
      <c r="J794" s="1773"/>
      <c r="K794" s="1776"/>
      <c r="L794" s="1774"/>
      <c r="M794" s="1774"/>
      <c r="N794" s="1774"/>
      <c r="O794" s="1774"/>
      <c r="P794" s="1828"/>
      <c r="Q794" s="1828"/>
      <c r="R794" s="1828"/>
      <c r="S794" s="1828"/>
      <c r="T794" s="1828"/>
      <c r="U794" s="1828"/>
      <c r="V794" s="1828"/>
    </row>
    <row r="795" spans="1:22" ht="22.5" customHeight="1" thickTop="1" thickBot="1">
      <c r="A795" s="1772"/>
      <c r="B795" s="1773"/>
      <c r="C795" s="1773"/>
      <c r="D795" s="1773"/>
      <c r="E795" s="1773"/>
      <c r="F795" s="1773"/>
      <c r="G795" s="1773"/>
      <c r="H795" s="1773"/>
      <c r="I795" s="1773"/>
      <c r="J795" s="1773"/>
      <c r="K795" s="1776"/>
      <c r="L795" s="1774"/>
      <c r="M795" s="1774"/>
      <c r="N795" s="1774"/>
      <c r="O795" s="1774"/>
      <c r="P795" s="1828"/>
      <c r="Q795" s="1828"/>
      <c r="R795" s="1828"/>
      <c r="S795" s="1828"/>
      <c r="T795" s="1828"/>
      <c r="U795" s="1828"/>
      <c r="V795" s="1828"/>
    </row>
    <row r="796" spans="1:22" ht="22.5" customHeight="1" thickTop="1" thickBot="1">
      <c r="A796" s="1772"/>
      <c r="B796" s="1773"/>
      <c r="C796" s="1773"/>
      <c r="D796" s="1773"/>
      <c r="E796" s="1773"/>
      <c r="F796" s="1773"/>
      <c r="G796" s="1773"/>
      <c r="H796" s="1773"/>
      <c r="I796" s="1773"/>
      <c r="J796" s="1773"/>
      <c r="K796" s="1776"/>
      <c r="L796" s="1774"/>
      <c r="M796" s="1774"/>
      <c r="N796" s="1774"/>
      <c r="O796" s="1774"/>
      <c r="P796" s="1828"/>
      <c r="Q796" s="1828"/>
      <c r="R796" s="1828"/>
      <c r="S796" s="1828"/>
      <c r="T796" s="1828"/>
      <c r="U796" s="1828"/>
      <c r="V796" s="1828"/>
    </row>
    <row r="797" spans="1:22" ht="22.5" customHeight="1" thickTop="1" thickBot="1">
      <c r="A797" s="1772"/>
      <c r="B797" s="1773"/>
      <c r="C797" s="1773"/>
      <c r="D797" s="1773"/>
      <c r="E797" s="1773"/>
      <c r="F797" s="1773"/>
      <c r="G797" s="1773"/>
      <c r="H797" s="1773"/>
      <c r="I797" s="1773"/>
      <c r="J797" s="1773"/>
      <c r="K797" s="1776"/>
      <c r="L797" s="1774"/>
      <c r="M797" s="1774"/>
      <c r="N797" s="1774"/>
      <c r="O797" s="1774"/>
      <c r="P797" s="1828"/>
      <c r="Q797" s="1828"/>
      <c r="R797" s="1828"/>
      <c r="S797" s="1828"/>
      <c r="T797" s="1828"/>
      <c r="U797" s="1828"/>
      <c r="V797" s="1828"/>
    </row>
    <row r="798" spans="1:22" ht="22.5" customHeight="1" thickTop="1" thickBot="1">
      <c r="A798" s="1772"/>
      <c r="B798" s="1773"/>
      <c r="C798" s="1773"/>
      <c r="D798" s="1773"/>
      <c r="E798" s="1773"/>
      <c r="F798" s="1773"/>
      <c r="G798" s="1773"/>
      <c r="H798" s="1773"/>
      <c r="I798" s="1773"/>
      <c r="J798" s="1773"/>
      <c r="K798" s="1776"/>
      <c r="L798" s="1774"/>
      <c r="M798" s="1774"/>
      <c r="N798" s="1774"/>
      <c r="O798" s="1774"/>
      <c r="P798" s="1828"/>
      <c r="Q798" s="1828"/>
      <c r="R798" s="1828"/>
      <c r="S798" s="1828"/>
      <c r="T798" s="1828"/>
      <c r="U798" s="1828"/>
      <c r="V798" s="1828"/>
    </row>
    <row r="799" spans="1:22" ht="22.5" customHeight="1" thickTop="1" thickBot="1">
      <c r="A799" s="1772"/>
      <c r="B799" s="1773"/>
      <c r="C799" s="1773"/>
      <c r="D799" s="1773"/>
      <c r="E799" s="1773"/>
      <c r="F799" s="1773"/>
      <c r="G799" s="1773"/>
      <c r="H799" s="1773"/>
      <c r="I799" s="1773"/>
      <c r="J799" s="1773"/>
      <c r="K799" s="1776"/>
      <c r="L799" s="1774"/>
      <c r="M799" s="1774"/>
      <c r="N799" s="1774"/>
      <c r="O799" s="1774"/>
      <c r="P799" s="1828"/>
      <c r="Q799" s="1828"/>
      <c r="R799" s="1828"/>
      <c r="S799" s="1828"/>
      <c r="T799" s="1828"/>
      <c r="U799" s="1828"/>
      <c r="V799" s="1828"/>
    </row>
    <row r="800" spans="1:22" ht="22.5" customHeight="1" thickTop="1" thickBot="1">
      <c r="A800" s="1772"/>
      <c r="B800" s="1773"/>
      <c r="C800" s="1773"/>
      <c r="D800" s="1773"/>
      <c r="E800" s="1773"/>
      <c r="F800" s="1773"/>
      <c r="G800" s="1773"/>
      <c r="H800" s="1773"/>
      <c r="I800" s="1773"/>
      <c r="J800" s="1773"/>
      <c r="K800" s="1776"/>
      <c r="L800" s="1774"/>
      <c r="M800" s="1774"/>
      <c r="N800" s="1774"/>
      <c r="O800" s="1774"/>
      <c r="P800" s="1828"/>
      <c r="Q800" s="1828"/>
      <c r="R800" s="1828"/>
      <c r="S800" s="1828"/>
      <c r="T800" s="1828"/>
      <c r="U800" s="1828"/>
      <c r="V800" s="1828"/>
    </row>
    <row r="801" spans="1:22" ht="22.5" customHeight="1" thickTop="1" thickBot="1">
      <c r="A801" s="1772"/>
      <c r="B801" s="1773"/>
      <c r="C801" s="1773"/>
      <c r="D801" s="1773"/>
      <c r="E801" s="1773"/>
      <c r="F801" s="1773"/>
      <c r="G801" s="1773"/>
      <c r="H801" s="1773"/>
      <c r="I801" s="1773"/>
      <c r="J801" s="1773"/>
      <c r="K801" s="1776"/>
      <c r="L801" s="1774"/>
      <c r="M801" s="1774"/>
      <c r="N801" s="1774"/>
      <c r="O801" s="1774"/>
      <c r="P801" s="1828"/>
      <c r="Q801" s="1828"/>
      <c r="R801" s="1828"/>
      <c r="S801" s="1828"/>
      <c r="T801" s="1828"/>
      <c r="U801" s="1828"/>
      <c r="V801" s="1828"/>
    </row>
    <row r="802" spans="1:22" ht="22.5" customHeight="1" thickTop="1" thickBot="1">
      <c r="A802" s="1772"/>
      <c r="B802" s="1773"/>
      <c r="C802" s="1773"/>
      <c r="D802" s="1773"/>
      <c r="E802" s="1773"/>
      <c r="F802" s="1773"/>
      <c r="G802" s="1773"/>
      <c r="H802" s="1773"/>
      <c r="I802" s="1773"/>
      <c r="J802" s="1773"/>
      <c r="K802" s="1776"/>
      <c r="L802" s="1774"/>
      <c r="M802" s="1774"/>
      <c r="N802" s="1774"/>
      <c r="O802" s="1774"/>
      <c r="P802" s="1828"/>
      <c r="Q802" s="1828"/>
      <c r="R802" s="1828"/>
      <c r="S802" s="1828"/>
      <c r="T802" s="1828"/>
      <c r="U802" s="1828"/>
      <c r="V802" s="1828"/>
    </row>
    <row r="803" spans="1:22" ht="22.5" customHeight="1" thickTop="1" thickBot="1">
      <c r="A803" s="1772"/>
      <c r="B803" s="1773"/>
      <c r="C803" s="1773"/>
      <c r="D803" s="1773"/>
      <c r="E803" s="1773"/>
      <c r="F803" s="1773"/>
      <c r="G803" s="1773"/>
      <c r="H803" s="1773"/>
      <c r="I803" s="1773"/>
      <c r="J803" s="1773"/>
      <c r="K803" s="1776"/>
      <c r="L803" s="1774"/>
      <c r="M803" s="1774"/>
      <c r="N803" s="1774"/>
      <c r="O803" s="1774"/>
      <c r="P803" s="1828"/>
      <c r="Q803" s="1828"/>
      <c r="R803" s="1828"/>
      <c r="S803" s="1828"/>
      <c r="T803" s="1828"/>
      <c r="U803" s="1828"/>
      <c r="V803" s="1828"/>
    </row>
    <row r="804" spans="1:22" ht="22.5" customHeight="1" thickTop="1" thickBot="1">
      <c r="A804" s="1772"/>
      <c r="B804" s="1773"/>
      <c r="C804" s="1773"/>
      <c r="D804" s="1773"/>
      <c r="E804" s="1773"/>
      <c r="F804" s="1773"/>
      <c r="G804" s="1773"/>
      <c r="H804" s="1773"/>
      <c r="I804" s="1773"/>
      <c r="J804" s="1773"/>
      <c r="K804" s="1776"/>
      <c r="L804" s="1774"/>
      <c r="M804" s="1774"/>
      <c r="N804" s="1774"/>
      <c r="O804" s="1774"/>
      <c r="P804" s="1828"/>
      <c r="Q804" s="1828"/>
      <c r="R804" s="1828"/>
      <c r="S804" s="1828"/>
      <c r="T804" s="1828"/>
      <c r="U804" s="1828"/>
      <c r="V804" s="1828"/>
    </row>
    <row r="805" spans="1:22" ht="22.5" customHeight="1" thickTop="1" thickBot="1">
      <c r="A805" s="1772"/>
      <c r="B805" s="1773"/>
      <c r="C805" s="1773"/>
      <c r="D805" s="1773"/>
      <c r="E805" s="1773"/>
      <c r="F805" s="1773"/>
      <c r="G805" s="1773"/>
      <c r="H805" s="1773"/>
      <c r="I805" s="1773"/>
      <c r="J805" s="1773"/>
      <c r="K805" s="1776"/>
      <c r="L805" s="1774"/>
      <c r="M805" s="1774"/>
      <c r="N805" s="1774"/>
      <c r="O805" s="1774"/>
      <c r="P805" s="1828"/>
      <c r="Q805" s="1828"/>
      <c r="R805" s="1828"/>
      <c r="S805" s="1828"/>
      <c r="T805" s="1828"/>
      <c r="U805" s="1828"/>
      <c r="V805" s="1828"/>
    </row>
    <row r="806" spans="1:22" ht="22.5" customHeight="1" thickTop="1" thickBot="1">
      <c r="A806" s="1772"/>
      <c r="B806" s="1773"/>
      <c r="C806" s="1773"/>
      <c r="D806" s="1773"/>
      <c r="E806" s="1773"/>
      <c r="F806" s="1773"/>
      <c r="G806" s="1773"/>
      <c r="H806" s="1773"/>
      <c r="I806" s="1773"/>
      <c r="J806" s="1773"/>
      <c r="K806" s="1776"/>
      <c r="L806" s="1774"/>
      <c r="M806" s="1774"/>
      <c r="N806" s="1774"/>
      <c r="O806" s="1774"/>
      <c r="P806" s="1828"/>
      <c r="Q806" s="1828"/>
      <c r="R806" s="1828"/>
      <c r="S806" s="1828"/>
      <c r="T806" s="1828"/>
      <c r="U806" s="1828"/>
      <c r="V806" s="1828"/>
    </row>
    <row r="807" spans="1:22" ht="22.5" customHeight="1" thickTop="1" thickBot="1">
      <c r="A807" s="1772"/>
      <c r="B807" s="1773"/>
      <c r="C807" s="1773"/>
      <c r="D807" s="1773"/>
      <c r="E807" s="1773"/>
      <c r="F807" s="1773"/>
      <c r="G807" s="1773"/>
      <c r="H807" s="1773"/>
      <c r="I807" s="1773"/>
      <c r="J807" s="1773"/>
      <c r="K807" s="1776"/>
      <c r="L807" s="1774"/>
      <c r="M807" s="1774"/>
      <c r="N807" s="1774"/>
      <c r="O807" s="1774"/>
      <c r="P807" s="1828"/>
      <c r="Q807" s="1828"/>
      <c r="R807" s="1828"/>
      <c r="S807" s="1828"/>
      <c r="T807" s="1828"/>
      <c r="U807" s="1828"/>
      <c r="V807" s="1828"/>
    </row>
    <row r="808" spans="1:22" ht="22.5" customHeight="1" thickTop="1" thickBot="1">
      <c r="A808" s="1772"/>
      <c r="B808" s="1773"/>
      <c r="C808" s="1773"/>
      <c r="D808" s="1773"/>
      <c r="E808" s="1773"/>
      <c r="F808" s="1773"/>
      <c r="G808" s="1773"/>
      <c r="H808" s="1773"/>
      <c r="I808" s="1773"/>
      <c r="J808" s="1773"/>
      <c r="K808" s="1776"/>
      <c r="L808" s="1774"/>
      <c r="M808" s="1774"/>
      <c r="N808" s="1774"/>
      <c r="O808" s="1774"/>
      <c r="P808" s="1828"/>
      <c r="Q808" s="1828"/>
      <c r="R808" s="1828"/>
      <c r="S808" s="1828"/>
      <c r="T808" s="1828"/>
      <c r="U808" s="1828"/>
      <c r="V808" s="1828"/>
    </row>
    <row r="809" spans="1:22" ht="22.5" customHeight="1" thickTop="1" thickBot="1">
      <c r="A809" s="1772"/>
      <c r="B809" s="1773"/>
      <c r="C809" s="1773"/>
      <c r="D809" s="1773"/>
      <c r="E809" s="1773"/>
      <c r="F809" s="1773"/>
      <c r="G809" s="1773"/>
      <c r="H809" s="1773"/>
      <c r="I809" s="1773"/>
      <c r="J809" s="1773"/>
      <c r="K809" s="1776"/>
      <c r="L809" s="1774"/>
      <c r="M809" s="1774"/>
      <c r="N809" s="1774"/>
      <c r="O809" s="1774"/>
      <c r="P809" s="1828"/>
      <c r="Q809" s="1828"/>
      <c r="R809" s="1828"/>
      <c r="S809" s="1828"/>
      <c r="T809" s="1828"/>
      <c r="U809" s="1828"/>
      <c r="V809" s="1828"/>
    </row>
    <row r="810" spans="1:22" ht="22.5" customHeight="1" thickTop="1" thickBot="1">
      <c r="A810" s="1772"/>
      <c r="B810" s="1773"/>
      <c r="C810" s="1773"/>
      <c r="D810" s="1773"/>
      <c r="E810" s="1773"/>
      <c r="F810" s="1773"/>
      <c r="G810" s="1773"/>
      <c r="H810" s="1773"/>
      <c r="I810" s="1773"/>
      <c r="J810" s="1773"/>
      <c r="K810" s="1776"/>
      <c r="L810" s="1774"/>
      <c r="M810" s="1774"/>
      <c r="N810" s="1774"/>
      <c r="O810" s="1774"/>
      <c r="P810" s="1828"/>
      <c r="Q810" s="1828"/>
      <c r="R810" s="1828"/>
      <c r="S810" s="1828"/>
      <c r="T810" s="1828"/>
      <c r="U810" s="1828"/>
      <c r="V810" s="1828"/>
    </row>
    <row r="811" spans="1:22" ht="22.5" customHeight="1" thickTop="1" thickBot="1">
      <c r="A811" s="1772"/>
      <c r="B811" s="1773"/>
      <c r="C811" s="1773"/>
      <c r="D811" s="1773"/>
      <c r="E811" s="1773"/>
      <c r="F811" s="1773"/>
      <c r="G811" s="1773"/>
      <c r="H811" s="1773"/>
      <c r="I811" s="1773"/>
      <c r="J811" s="1773"/>
      <c r="K811" s="1776"/>
      <c r="L811" s="1774"/>
      <c r="M811" s="1774"/>
      <c r="N811" s="1774"/>
      <c r="O811" s="1774"/>
      <c r="P811" s="1828"/>
      <c r="Q811" s="1828"/>
      <c r="R811" s="1828"/>
      <c r="S811" s="1828"/>
      <c r="T811" s="1828"/>
      <c r="U811" s="1828"/>
      <c r="V811" s="1828"/>
    </row>
    <row r="812" spans="1:22" ht="22.5" customHeight="1" thickTop="1" thickBot="1">
      <c r="A812" s="1772"/>
      <c r="B812" s="1773"/>
      <c r="C812" s="1773"/>
      <c r="D812" s="1773"/>
      <c r="E812" s="1773"/>
      <c r="F812" s="1773"/>
      <c r="G812" s="1773"/>
      <c r="H812" s="1773"/>
      <c r="I812" s="1773"/>
      <c r="J812" s="1773"/>
      <c r="K812" s="1776"/>
      <c r="L812" s="1774"/>
      <c r="M812" s="1774"/>
      <c r="N812" s="1774"/>
      <c r="O812" s="1774"/>
      <c r="P812" s="1828"/>
      <c r="Q812" s="1828"/>
      <c r="R812" s="1828"/>
      <c r="S812" s="1828"/>
      <c r="T812" s="1828"/>
      <c r="U812" s="1828"/>
      <c r="V812" s="1828"/>
    </row>
    <row r="813" spans="1:22" ht="22.5" customHeight="1" thickTop="1" thickBot="1">
      <c r="A813" s="1772"/>
      <c r="B813" s="1773"/>
      <c r="C813" s="1773"/>
      <c r="D813" s="1773"/>
      <c r="E813" s="1773"/>
      <c r="F813" s="1773"/>
      <c r="G813" s="1773"/>
      <c r="H813" s="1773"/>
      <c r="I813" s="1773"/>
      <c r="J813" s="1773"/>
      <c r="K813" s="1776"/>
      <c r="L813" s="1774"/>
      <c r="M813" s="1774"/>
      <c r="N813" s="1774"/>
      <c r="O813" s="1774"/>
      <c r="P813" s="1828"/>
      <c r="Q813" s="1828"/>
      <c r="R813" s="1828"/>
      <c r="S813" s="1828"/>
      <c r="T813" s="1828"/>
      <c r="U813" s="1828"/>
      <c r="V813" s="1828"/>
    </row>
    <row r="814" spans="1:22" ht="22.5" customHeight="1" thickTop="1" thickBot="1">
      <c r="A814" s="1772"/>
      <c r="B814" s="1773"/>
      <c r="C814" s="1773"/>
      <c r="D814" s="1773"/>
      <c r="E814" s="1773"/>
      <c r="F814" s="1773"/>
      <c r="G814" s="1773"/>
      <c r="H814" s="1773"/>
      <c r="I814" s="1773"/>
      <c r="J814" s="1773"/>
      <c r="K814" s="1776"/>
      <c r="L814" s="1774"/>
      <c r="M814" s="1774"/>
      <c r="N814" s="1774"/>
      <c r="O814" s="1774"/>
      <c r="P814" s="1828"/>
      <c r="Q814" s="1828"/>
      <c r="R814" s="1828"/>
      <c r="S814" s="1828"/>
      <c r="T814" s="1828"/>
      <c r="U814" s="1828"/>
      <c r="V814" s="1828"/>
    </row>
    <row r="815" spans="1:22" ht="22.5" customHeight="1" thickTop="1" thickBot="1">
      <c r="A815" s="1772"/>
      <c r="B815" s="1773"/>
      <c r="C815" s="1773"/>
      <c r="D815" s="1773"/>
      <c r="E815" s="1773"/>
      <c r="F815" s="1773"/>
      <c r="G815" s="1773"/>
      <c r="H815" s="1773"/>
      <c r="I815" s="1773"/>
      <c r="J815" s="1773"/>
      <c r="K815" s="1776"/>
      <c r="L815" s="1774"/>
      <c r="M815" s="1774"/>
      <c r="N815" s="1774"/>
      <c r="O815" s="1774"/>
      <c r="P815" s="1828"/>
      <c r="Q815" s="1828"/>
      <c r="R815" s="1828"/>
      <c r="S815" s="1828"/>
      <c r="T815" s="1828"/>
      <c r="U815" s="1828"/>
      <c r="V815" s="1828"/>
    </row>
    <row r="816" spans="1:22" ht="22.5" customHeight="1" thickTop="1" thickBot="1">
      <c r="A816" s="1772"/>
      <c r="B816" s="1773"/>
      <c r="C816" s="1773"/>
      <c r="D816" s="1773"/>
      <c r="E816" s="1773"/>
      <c r="F816" s="1773"/>
      <c r="G816" s="1773"/>
      <c r="H816" s="1773"/>
      <c r="I816" s="1773"/>
      <c r="J816" s="1773"/>
      <c r="K816" s="1776"/>
      <c r="L816" s="1774"/>
      <c r="M816" s="1774"/>
      <c r="N816" s="1774"/>
      <c r="O816" s="1774"/>
      <c r="P816" s="1828"/>
      <c r="Q816" s="1828"/>
      <c r="R816" s="1828"/>
      <c r="S816" s="1828"/>
      <c r="T816" s="1828"/>
      <c r="U816" s="1828"/>
      <c r="V816" s="1828"/>
    </row>
    <row r="817" spans="1:22" ht="22.5" customHeight="1" thickTop="1" thickBot="1">
      <c r="A817" s="1772"/>
      <c r="B817" s="1773"/>
      <c r="C817" s="1773"/>
      <c r="D817" s="1773"/>
      <c r="E817" s="1773"/>
      <c r="F817" s="1773"/>
      <c r="G817" s="1773"/>
      <c r="H817" s="1773"/>
      <c r="I817" s="1773"/>
      <c r="J817" s="1773"/>
      <c r="K817" s="1776"/>
      <c r="L817" s="1774"/>
      <c r="M817" s="1774"/>
      <c r="N817" s="1774"/>
      <c r="O817" s="1774"/>
      <c r="P817" s="1828"/>
      <c r="Q817" s="1828"/>
      <c r="R817" s="1828"/>
      <c r="S817" s="1828"/>
      <c r="T817" s="1828"/>
      <c r="U817" s="1828"/>
      <c r="V817" s="1828"/>
    </row>
    <row r="818" spans="1:22" ht="22.5" customHeight="1" thickTop="1" thickBot="1">
      <c r="A818" s="1772"/>
      <c r="B818" s="1773"/>
      <c r="C818" s="1773"/>
      <c r="D818" s="1773"/>
      <c r="E818" s="1773"/>
      <c r="F818" s="1773"/>
      <c r="G818" s="1773"/>
      <c r="H818" s="1773"/>
      <c r="I818" s="1773"/>
      <c r="J818" s="1773"/>
      <c r="K818" s="1776"/>
      <c r="L818" s="1774"/>
      <c r="M818" s="1774"/>
      <c r="N818" s="1774"/>
      <c r="O818" s="1774"/>
      <c r="P818" s="1828"/>
      <c r="Q818" s="1828"/>
      <c r="R818" s="1828"/>
      <c r="S818" s="1828"/>
      <c r="T818" s="1828"/>
      <c r="U818" s="1828"/>
      <c r="V818" s="1828"/>
    </row>
    <row r="819" spans="1:22" ht="22.5" customHeight="1" thickTop="1" thickBot="1">
      <c r="A819" s="1772"/>
      <c r="B819" s="1773"/>
      <c r="C819" s="1773"/>
      <c r="D819" s="1773"/>
      <c r="E819" s="1773"/>
      <c r="F819" s="1773"/>
      <c r="G819" s="1773"/>
      <c r="H819" s="1773"/>
      <c r="I819" s="1773"/>
      <c r="J819" s="1773"/>
      <c r="K819" s="1776"/>
      <c r="L819" s="1774"/>
      <c r="M819" s="1774"/>
      <c r="N819" s="1774"/>
      <c r="O819" s="1774"/>
      <c r="P819" s="1828"/>
      <c r="Q819" s="1828"/>
      <c r="R819" s="1828"/>
      <c r="S819" s="1828"/>
      <c r="T819" s="1828"/>
      <c r="U819" s="1828"/>
      <c r="V819" s="1828"/>
    </row>
    <row r="820" spans="1:22" ht="22.5" customHeight="1" thickTop="1" thickBot="1">
      <c r="A820" s="1772"/>
      <c r="B820" s="1773"/>
      <c r="C820" s="1773"/>
      <c r="D820" s="1773"/>
      <c r="E820" s="1773"/>
      <c r="F820" s="1773"/>
      <c r="G820" s="1773"/>
      <c r="H820" s="1773"/>
      <c r="I820" s="1773"/>
      <c r="J820" s="1773"/>
      <c r="K820" s="1776"/>
      <c r="L820" s="1774"/>
      <c r="M820" s="1774"/>
      <c r="N820" s="1774"/>
      <c r="O820" s="1774"/>
      <c r="P820" s="1828"/>
      <c r="Q820" s="1828"/>
      <c r="R820" s="1828"/>
      <c r="S820" s="1828"/>
      <c r="T820" s="1828"/>
      <c r="U820" s="1828"/>
      <c r="V820" s="1828"/>
    </row>
    <row r="821" spans="1:22" ht="22.5" customHeight="1" thickTop="1" thickBot="1">
      <c r="A821" s="1772"/>
      <c r="B821" s="1773"/>
      <c r="C821" s="1773"/>
      <c r="D821" s="1773"/>
      <c r="E821" s="1773"/>
      <c r="F821" s="1773"/>
      <c r="G821" s="1773"/>
      <c r="H821" s="1773"/>
      <c r="I821" s="1773"/>
      <c r="J821" s="1773"/>
      <c r="K821" s="1776"/>
      <c r="L821" s="1774"/>
      <c r="M821" s="1774"/>
      <c r="N821" s="1774"/>
      <c r="O821" s="1774"/>
      <c r="P821" s="1828"/>
      <c r="Q821" s="1828"/>
      <c r="R821" s="1828"/>
      <c r="S821" s="1828"/>
      <c r="T821" s="1828"/>
      <c r="U821" s="1828"/>
      <c r="V821" s="1828"/>
    </row>
    <row r="822" spans="1:22" ht="22.5" customHeight="1" thickTop="1" thickBot="1">
      <c r="A822" s="1772"/>
      <c r="B822" s="1773"/>
      <c r="C822" s="1773"/>
      <c r="D822" s="1773"/>
      <c r="E822" s="1773"/>
      <c r="F822" s="1773"/>
      <c r="G822" s="1773"/>
      <c r="H822" s="1773"/>
      <c r="I822" s="1773"/>
      <c r="J822" s="1773"/>
      <c r="K822" s="1776"/>
      <c r="L822" s="1774"/>
      <c r="M822" s="1774"/>
      <c r="N822" s="1774"/>
      <c r="O822" s="1774"/>
      <c r="P822" s="1828"/>
      <c r="Q822" s="1828"/>
      <c r="R822" s="1828"/>
      <c r="S822" s="1828"/>
      <c r="T822" s="1828"/>
      <c r="U822" s="1828"/>
      <c r="V822" s="1828"/>
    </row>
    <row r="823" spans="1:22" ht="22.5" customHeight="1" thickTop="1" thickBot="1">
      <c r="A823" s="1772"/>
      <c r="B823" s="1773"/>
      <c r="C823" s="1773"/>
      <c r="D823" s="1773"/>
      <c r="E823" s="1773"/>
      <c r="F823" s="1773"/>
      <c r="G823" s="1773"/>
      <c r="H823" s="1773"/>
      <c r="I823" s="1773"/>
      <c r="J823" s="1773"/>
      <c r="K823" s="1776"/>
      <c r="L823" s="1774"/>
      <c r="M823" s="1774"/>
      <c r="N823" s="1774"/>
      <c r="O823" s="1774"/>
      <c r="P823" s="1828"/>
      <c r="Q823" s="1828"/>
      <c r="R823" s="1828"/>
      <c r="S823" s="1828"/>
      <c r="T823" s="1828"/>
      <c r="U823" s="1828"/>
      <c r="V823" s="1828"/>
    </row>
    <row r="824" spans="1:22" ht="22.5" customHeight="1" thickTop="1" thickBot="1">
      <c r="A824" s="1772"/>
      <c r="B824" s="1773"/>
      <c r="C824" s="1773"/>
      <c r="D824" s="1773"/>
      <c r="E824" s="1773"/>
      <c r="F824" s="1773"/>
      <c r="G824" s="1773"/>
      <c r="H824" s="1773"/>
      <c r="I824" s="1773"/>
      <c r="J824" s="1773"/>
      <c r="K824" s="1776"/>
      <c r="L824" s="1774"/>
      <c r="M824" s="1774"/>
      <c r="N824" s="1774"/>
      <c r="O824" s="1774"/>
      <c r="P824" s="1828"/>
      <c r="Q824" s="1828"/>
      <c r="R824" s="1828"/>
      <c r="S824" s="1828"/>
      <c r="T824" s="1828"/>
      <c r="U824" s="1828"/>
      <c r="V824" s="1828"/>
    </row>
    <row r="825" spans="1:22" ht="22.5" customHeight="1" thickTop="1" thickBot="1">
      <c r="A825" s="1772"/>
      <c r="B825" s="1773"/>
      <c r="C825" s="1773"/>
      <c r="D825" s="1773"/>
      <c r="E825" s="1773"/>
      <c r="F825" s="1773"/>
      <c r="G825" s="1773"/>
      <c r="H825" s="1773"/>
      <c r="I825" s="1773"/>
      <c r="J825" s="1773"/>
      <c r="K825" s="1776"/>
      <c r="L825" s="1774"/>
      <c r="M825" s="1774"/>
      <c r="N825" s="1774"/>
      <c r="O825" s="1774"/>
      <c r="P825" s="1828"/>
      <c r="Q825" s="1828"/>
      <c r="R825" s="1828"/>
      <c r="S825" s="1828"/>
      <c r="T825" s="1828"/>
      <c r="U825" s="1828"/>
      <c r="V825" s="1828"/>
    </row>
    <row r="826" spans="1:22" ht="22.5" customHeight="1" thickTop="1" thickBot="1">
      <c r="A826" s="1772"/>
      <c r="B826" s="1773"/>
      <c r="C826" s="1773"/>
      <c r="D826" s="1773"/>
      <c r="E826" s="1773"/>
      <c r="F826" s="1773"/>
      <c r="G826" s="1773"/>
      <c r="H826" s="1773"/>
      <c r="I826" s="1773"/>
      <c r="J826" s="1773"/>
      <c r="K826" s="1776"/>
      <c r="L826" s="1774"/>
      <c r="M826" s="1774"/>
      <c r="N826" s="1774"/>
      <c r="O826" s="1774"/>
      <c r="P826" s="1828"/>
      <c r="Q826" s="1828"/>
      <c r="R826" s="1828"/>
      <c r="S826" s="1828"/>
      <c r="T826" s="1828"/>
      <c r="U826" s="1828"/>
      <c r="V826" s="1828"/>
    </row>
    <row r="827" spans="1:22" ht="22.5" customHeight="1" thickTop="1" thickBot="1">
      <c r="A827" s="1772"/>
      <c r="B827" s="1773"/>
      <c r="C827" s="1773"/>
      <c r="D827" s="1773"/>
      <c r="E827" s="1773"/>
      <c r="F827" s="1773"/>
      <c r="G827" s="1773"/>
      <c r="H827" s="1773"/>
      <c r="I827" s="1773"/>
      <c r="J827" s="1773"/>
      <c r="K827" s="1776"/>
      <c r="L827" s="1774"/>
      <c r="M827" s="1774"/>
      <c r="N827" s="1774"/>
      <c r="O827" s="1774"/>
      <c r="P827" s="1828"/>
      <c r="Q827" s="1828"/>
      <c r="R827" s="1828"/>
      <c r="S827" s="1828"/>
      <c r="T827" s="1828"/>
      <c r="U827" s="1828"/>
      <c r="V827" s="1828"/>
    </row>
    <row r="828" spans="1:22" ht="22.5" customHeight="1" thickTop="1" thickBot="1">
      <c r="A828" s="1772"/>
      <c r="B828" s="1773"/>
      <c r="C828" s="1773"/>
      <c r="D828" s="1773"/>
      <c r="E828" s="1773"/>
      <c r="F828" s="1773"/>
      <c r="G828" s="1773"/>
      <c r="H828" s="1773"/>
      <c r="I828" s="1773"/>
      <c r="J828" s="1773"/>
      <c r="K828" s="1776"/>
      <c r="L828" s="1774"/>
      <c r="M828" s="1774"/>
      <c r="N828" s="1774"/>
      <c r="O828" s="1774"/>
      <c r="P828" s="1828"/>
      <c r="Q828" s="1828"/>
      <c r="R828" s="1828"/>
      <c r="S828" s="1828"/>
      <c r="T828" s="1828"/>
      <c r="U828" s="1828"/>
      <c r="V828" s="1828"/>
    </row>
    <row r="829" spans="1:22" ht="22.5" customHeight="1" thickTop="1" thickBot="1">
      <c r="A829" s="1772"/>
      <c r="B829" s="1773"/>
      <c r="C829" s="1773"/>
      <c r="D829" s="1773"/>
      <c r="E829" s="1773"/>
      <c r="F829" s="1773"/>
      <c r="G829" s="1773"/>
      <c r="H829" s="1773"/>
      <c r="I829" s="1773"/>
      <c r="J829" s="1773"/>
      <c r="K829" s="1776"/>
      <c r="L829" s="1774"/>
      <c r="M829" s="1774"/>
      <c r="N829" s="1774"/>
      <c r="O829" s="1774"/>
      <c r="P829" s="1828"/>
      <c r="Q829" s="1828"/>
      <c r="R829" s="1828"/>
      <c r="S829" s="1828"/>
      <c r="T829" s="1828"/>
      <c r="U829" s="1828"/>
      <c r="V829" s="1828"/>
    </row>
    <row r="830" spans="1:22" ht="22.5" customHeight="1" thickTop="1" thickBot="1">
      <c r="A830" s="1772"/>
      <c r="B830" s="1773"/>
      <c r="C830" s="1773"/>
      <c r="D830" s="1773"/>
      <c r="E830" s="1773"/>
      <c r="F830" s="1773"/>
      <c r="G830" s="1773"/>
      <c r="H830" s="1773"/>
      <c r="I830" s="1773"/>
      <c r="J830" s="1773"/>
      <c r="K830" s="1776"/>
      <c r="L830" s="1774"/>
      <c r="M830" s="1774"/>
      <c r="N830" s="1774"/>
      <c r="O830" s="1774"/>
      <c r="P830" s="1828"/>
      <c r="Q830" s="1828"/>
      <c r="R830" s="1828"/>
      <c r="S830" s="1828"/>
      <c r="T830" s="1828"/>
      <c r="U830" s="1828"/>
      <c r="V830" s="1828"/>
    </row>
    <row r="831" spans="1:22" ht="22.5" customHeight="1" thickTop="1" thickBot="1">
      <c r="A831" s="1772"/>
      <c r="B831" s="1773"/>
      <c r="C831" s="1773"/>
      <c r="D831" s="1773"/>
      <c r="E831" s="1773"/>
      <c r="F831" s="1773"/>
      <c r="G831" s="1773"/>
      <c r="H831" s="1773"/>
      <c r="I831" s="1773"/>
      <c r="J831" s="1773"/>
      <c r="K831" s="1776"/>
      <c r="L831" s="1774"/>
      <c r="M831" s="1774"/>
      <c r="N831" s="1774"/>
      <c r="O831" s="1774"/>
      <c r="P831" s="1828"/>
      <c r="Q831" s="1828"/>
      <c r="R831" s="1828"/>
      <c r="S831" s="1828"/>
      <c r="T831" s="1828"/>
      <c r="U831" s="1828"/>
      <c r="V831" s="1828"/>
    </row>
    <row r="832" spans="1:22" ht="22.5" customHeight="1" thickTop="1" thickBot="1">
      <c r="A832" s="1772"/>
      <c r="B832" s="1773"/>
      <c r="C832" s="1773"/>
      <c r="D832" s="1773"/>
      <c r="E832" s="1773"/>
      <c r="F832" s="1773"/>
      <c r="G832" s="1773"/>
      <c r="H832" s="1773"/>
      <c r="I832" s="1773"/>
      <c r="J832" s="1773"/>
      <c r="K832" s="1776"/>
      <c r="L832" s="1774"/>
      <c r="M832" s="1774"/>
      <c r="N832" s="1774"/>
      <c r="O832" s="1774"/>
      <c r="P832" s="1828"/>
      <c r="Q832" s="1828"/>
      <c r="R832" s="1828"/>
      <c r="S832" s="1828"/>
      <c r="T832" s="1828"/>
      <c r="U832" s="1828"/>
      <c r="V832" s="1828"/>
    </row>
    <row r="833" spans="1:22" ht="22.5" customHeight="1" thickTop="1" thickBot="1">
      <c r="A833" s="1772"/>
      <c r="B833" s="1773"/>
      <c r="C833" s="1773"/>
      <c r="D833" s="1773"/>
      <c r="E833" s="1773"/>
      <c r="F833" s="1773"/>
      <c r="G833" s="1773"/>
      <c r="H833" s="1773"/>
      <c r="I833" s="1773"/>
      <c r="J833" s="1773"/>
      <c r="K833" s="1776"/>
      <c r="L833" s="1774"/>
      <c r="M833" s="1774"/>
      <c r="N833" s="1774"/>
      <c r="O833" s="1774"/>
      <c r="P833" s="1828"/>
      <c r="Q833" s="1828"/>
      <c r="R833" s="1828"/>
      <c r="S833" s="1828"/>
      <c r="T833" s="1828"/>
      <c r="U833" s="1828"/>
      <c r="V833" s="1828"/>
    </row>
    <row r="834" spans="1:22" ht="22.5" customHeight="1" thickTop="1" thickBot="1">
      <c r="A834" s="1772"/>
      <c r="B834" s="1773"/>
      <c r="C834" s="1773"/>
      <c r="D834" s="1773"/>
      <c r="E834" s="1773"/>
      <c r="F834" s="1773"/>
      <c r="G834" s="1773"/>
      <c r="H834" s="1773"/>
      <c r="I834" s="1773"/>
      <c r="J834" s="1773"/>
      <c r="K834" s="1776"/>
      <c r="L834" s="1774"/>
      <c r="M834" s="1774"/>
      <c r="N834" s="1774"/>
      <c r="O834" s="1774"/>
      <c r="P834" s="1828"/>
      <c r="Q834" s="1828"/>
      <c r="R834" s="1828"/>
      <c r="S834" s="1828"/>
      <c r="T834" s="1828"/>
      <c r="U834" s="1828"/>
      <c r="V834" s="1828"/>
    </row>
    <row r="835" spans="1:22" ht="22.5" customHeight="1" thickTop="1" thickBot="1">
      <c r="A835" s="1772"/>
      <c r="B835" s="1773"/>
      <c r="C835" s="1773"/>
      <c r="D835" s="1773"/>
      <c r="E835" s="1773"/>
      <c r="F835" s="1773"/>
      <c r="G835" s="1773"/>
      <c r="H835" s="1773"/>
      <c r="I835" s="1773"/>
      <c r="J835" s="1773"/>
      <c r="K835" s="1776"/>
      <c r="L835" s="1774"/>
      <c r="M835" s="1774"/>
      <c r="N835" s="1774"/>
      <c r="O835" s="1774"/>
      <c r="P835" s="1828"/>
      <c r="Q835" s="1828"/>
      <c r="R835" s="1828"/>
      <c r="S835" s="1828"/>
      <c r="T835" s="1828"/>
      <c r="U835" s="1828"/>
      <c r="V835" s="1828"/>
    </row>
    <row r="836" spans="1:22" ht="22.5" customHeight="1" thickTop="1" thickBot="1">
      <c r="A836" s="1772"/>
      <c r="B836" s="1773"/>
      <c r="C836" s="1773"/>
      <c r="D836" s="1773"/>
      <c r="E836" s="1773"/>
      <c r="F836" s="1773"/>
      <c r="G836" s="1773"/>
      <c r="H836" s="1773"/>
      <c r="I836" s="1773"/>
      <c r="J836" s="1773"/>
      <c r="K836" s="1776"/>
      <c r="L836" s="1774"/>
      <c r="M836" s="1774"/>
      <c r="N836" s="1774"/>
      <c r="O836" s="1774"/>
      <c r="P836" s="1828"/>
      <c r="Q836" s="1828"/>
      <c r="R836" s="1828"/>
      <c r="S836" s="1828"/>
      <c r="T836" s="1828"/>
      <c r="U836" s="1828"/>
      <c r="V836" s="1828"/>
    </row>
    <row r="837" spans="1:22" ht="22.5" customHeight="1" thickTop="1" thickBot="1">
      <c r="A837" s="1772"/>
      <c r="B837" s="1773"/>
      <c r="C837" s="1773"/>
      <c r="D837" s="1773"/>
      <c r="E837" s="1773"/>
      <c r="F837" s="1773"/>
      <c r="G837" s="1773"/>
      <c r="H837" s="1773"/>
      <c r="I837" s="1773"/>
      <c r="J837" s="1773"/>
      <c r="K837" s="1776"/>
      <c r="L837" s="1774"/>
      <c r="M837" s="1774"/>
      <c r="N837" s="1774"/>
      <c r="O837" s="1774"/>
      <c r="P837" s="1828"/>
      <c r="Q837" s="1828"/>
      <c r="R837" s="1828"/>
      <c r="S837" s="1828"/>
      <c r="T837" s="1828"/>
      <c r="U837" s="1828"/>
      <c r="V837" s="1828"/>
    </row>
    <row r="838" spans="1:22" ht="22.5" customHeight="1" thickTop="1" thickBot="1">
      <c r="A838" s="1772"/>
      <c r="B838" s="1773"/>
      <c r="C838" s="1773"/>
      <c r="D838" s="1773"/>
      <c r="E838" s="1773"/>
      <c r="F838" s="1773"/>
      <c r="G838" s="1773"/>
      <c r="H838" s="1773"/>
      <c r="I838" s="1773"/>
      <c r="J838" s="1773"/>
      <c r="K838" s="1776"/>
      <c r="L838" s="1774"/>
      <c r="M838" s="1774"/>
      <c r="N838" s="1774"/>
      <c r="O838" s="1774"/>
      <c r="P838" s="1828"/>
      <c r="Q838" s="1828"/>
      <c r="R838" s="1828"/>
      <c r="S838" s="1828"/>
      <c r="T838" s="1828"/>
      <c r="U838" s="1828"/>
      <c r="V838" s="1828"/>
    </row>
    <row r="839" spans="1:22" ht="22.5" customHeight="1" thickTop="1" thickBot="1">
      <c r="A839" s="1772"/>
      <c r="B839" s="1773"/>
      <c r="C839" s="1773"/>
      <c r="D839" s="1773"/>
      <c r="E839" s="1773"/>
      <c r="F839" s="1773"/>
      <c r="G839" s="1773"/>
      <c r="H839" s="1773"/>
      <c r="I839" s="1773"/>
      <c r="J839" s="1773"/>
      <c r="K839" s="1776"/>
      <c r="L839" s="1774"/>
      <c r="M839" s="1774"/>
      <c r="N839" s="1774"/>
      <c r="O839" s="1774"/>
      <c r="P839" s="1828"/>
      <c r="Q839" s="1828"/>
      <c r="R839" s="1828"/>
      <c r="S839" s="1828"/>
      <c r="T839" s="1828"/>
      <c r="U839" s="1828"/>
      <c r="V839" s="1828"/>
    </row>
    <row r="840" spans="1:22" ht="22.5" customHeight="1" thickTop="1" thickBot="1">
      <c r="A840" s="1772"/>
      <c r="B840" s="1773"/>
      <c r="C840" s="1773"/>
      <c r="D840" s="1773"/>
      <c r="E840" s="1773"/>
      <c r="F840" s="1773"/>
      <c r="G840" s="1773"/>
      <c r="H840" s="1773"/>
      <c r="I840" s="1773"/>
      <c r="J840" s="1773"/>
      <c r="K840" s="1776"/>
      <c r="L840" s="1774"/>
      <c r="M840" s="1774"/>
      <c r="N840" s="1774"/>
      <c r="O840" s="1774"/>
      <c r="P840" s="1828"/>
      <c r="Q840" s="1828"/>
      <c r="R840" s="1828"/>
      <c r="S840" s="1828"/>
      <c r="T840" s="1828"/>
      <c r="U840" s="1828"/>
      <c r="V840" s="1828"/>
    </row>
    <row r="841" spans="1:22" ht="22.5" customHeight="1" thickTop="1" thickBot="1">
      <c r="A841" s="1772"/>
      <c r="B841" s="1773"/>
      <c r="C841" s="1773"/>
      <c r="D841" s="1773"/>
      <c r="E841" s="1773"/>
      <c r="F841" s="1773"/>
      <c r="G841" s="1773"/>
      <c r="H841" s="1773"/>
      <c r="I841" s="1773"/>
      <c r="J841" s="1773"/>
      <c r="K841" s="1776"/>
      <c r="L841" s="1774"/>
      <c r="M841" s="1774"/>
      <c r="N841" s="1774"/>
      <c r="O841" s="1774"/>
      <c r="P841" s="1828"/>
      <c r="Q841" s="1828"/>
      <c r="R841" s="1828"/>
      <c r="S841" s="1828"/>
      <c r="T841" s="1828"/>
      <c r="U841" s="1828"/>
      <c r="V841" s="1828"/>
    </row>
    <row r="842" spans="1:22" ht="22.5" customHeight="1" thickTop="1" thickBot="1">
      <c r="A842" s="1772"/>
      <c r="B842" s="1773"/>
      <c r="C842" s="1773"/>
      <c r="D842" s="1773"/>
      <c r="E842" s="1773"/>
      <c r="F842" s="1773"/>
      <c r="G842" s="1773"/>
      <c r="H842" s="1773"/>
      <c r="I842" s="1773"/>
      <c r="J842" s="1773"/>
      <c r="K842" s="1776"/>
      <c r="L842" s="1774"/>
      <c r="M842" s="1774"/>
      <c r="N842" s="1774"/>
      <c r="O842" s="1774"/>
      <c r="P842" s="1828"/>
      <c r="Q842" s="1828"/>
      <c r="R842" s="1828"/>
      <c r="S842" s="1828"/>
      <c r="T842" s="1828"/>
      <c r="U842" s="1828"/>
      <c r="V842" s="1828"/>
    </row>
    <row r="843" spans="1:22" ht="22.5" customHeight="1" thickTop="1" thickBot="1">
      <c r="A843" s="1772"/>
      <c r="B843" s="1773"/>
      <c r="C843" s="1773"/>
      <c r="D843" s="1773"/>
      <c r="E843" s="1773"/>
      <c r="F843" s="1773"/>
      <c r="G843" s="1773"/>
      <c r="H843" s="1773"/>
      <c r="I843" s="1773"/>
      <c r="J843" s="1773"/>
      <c r="K843" s="1776"/>
      <c r="L843" s="1774"/>
      <c r="M843" s="1774"/>
      <c r="N843" s="1774"/>
      <c r="O843" s="1774"/>
      <c r="P843" s="1828"/>
      <c r="Q843" s="1828"/>
      <c r="R843" s="1828"/>
      <c r="S843" s="1828"/>
      <c r="T843" s="1828"/>
      <c r="U843" s="1828"/>
      <c r="V843" s="1828"/>
    </row>
    <row r="844" spans="1:22" ht="22.5" customHeight="1" thickTop="1" thickBot="1">
      <c r="A844" s="1772"/>
      <c r="B844" s="1773"/>
      <c r="C844" s="1773"/>
      <c r="D844" s="1773"/>
      <c r="E844" s="1773"/>
      <c r="F844" s="1773"/>
      <c r="G844" s="1773"/>
      <c r="H844" s="1773"/>
      <c r="I844" s="1773"/>
      <c r="J844" s="1773"/>
      <c r="K844" s="1776"/>
      <c r="L844" s="1774"/>
      <c r="M844" s="1774"/>
      <c r="N844" s="1774"/>
      <c r="O844" s="1774"/>
      <c r="P844" s="1828"/>
      <c r="Q844" s="1828"/>
      <c r="R844" s="1828"/>
      <c r="S844" s="1828"/>
      <c r="T844" s="1828"/>
      <c r="U844" s="1828"/>
      <c r="V844" s="1828"/>
    </row>
    <row r="845" spans="1:22" ht="22.5" customHeight="1" thickTop="1" thickBot="1">
      <c r="A845" s="1772"/>
      <c r="B845" s="1773"/>
      <c r="C845" s="1773"/>
      <c r="D845" s="1773"/>
      <c r="E845" s="1773"/>
      <c r="F845" s="1773"/>
      <c r="G845" s="1773"/>
      <c r="H845" s="1773"/>
      <c r="I845" s="1773"/>
      <c r="J845" s="1773"/>
      <c r="K845" s="1776"/>
      <c r="L845" s="1774"/>
      <c r="M845" s="1774"/>
      <c r="N845" s="1774"/>
      <c r="O845" s="1774"/>
      <c r="P845" s="1828"/>
      <c r="Q845" s="1828"/>
      <c r="R845" s="1828"/>
      <c r="S845" s="1828"/>
      <c r="T845" s="1828"/>
      <c r="U845" s="1828"/>
      <c r="V845" s="1828"/>
    </row>
    <row r="846" spans="1:22" ht="22.5" customHeight="1" thickTop="1" thickBot="1">
      <c r="A846" s="1772"/>
      <c r="B846" s="1773"/>
      <c r="C846" s="1773"/>
      <c r="D846" s="1773"/>
      <c r="E846" s="1773"/>
      <c r="F846" s="1773"/>
      <c r="G846" s="1773"/>
      <c r="H846" s="1773"/>
      <c r="I846" s="1773"/>
      <c r="J846" s="1773"/>
      <c r="K846" s="1776"/>
      <c r="L846" s="1774"/>
      <c r="M846" s="1774"/>
      <c r="N846" s="1774"/>
      <c r="O846" s="1774"/>
      <c r="P846" s="1828"/>
      <c r="Q846" s="1828"/>
      <c r="R846" s="1828"/>
      <c r="S846" s="1828"/>
      <c r="T846" s="1828"/>
      <c r="U846" s="1828"/>
      <c r="V846" s="1828"/>
    </row>
    <row r="847" spans="1:22" ht="22.5" customHeight="1" thickTop="1" thickBot="1">
      <c r="A847" s="1772"/>
      <c r="B847" s="1773"/>
      <c r="C847" s="1773"/>
      <c r="D847" s="1773"/>
      <c r="E847" s="1773"/>
      <c r="F847" s="1773"/>
      <c r="G847" s="1773"/>
      <c r="H847" s="1773"/>
      <c r="I847" s="1773"/>
      <c r="J847" s="1773"/>
      <c r="K847" s="1776"/>
      <c r="L847" s="1774"/>
      <c r="M847" s="1774"/>
      <c r="N847" s="1774"/>
      <c r="O847" s="1774"/>
      <c r="P847" s="1828"/>
      <c r="Q847" s="1828"/>
      <c r="R847" s="1828"/>
      <c r="S847" s="1828"/>
      <c r="T847" s="1828"/>
      <c r="U847" s="1828"/>
      <c r="V847" s="1828"/>
    </row>
    <row r="848" spans="1:22" ht="22.5" customHeight="1" thickTop="1" thickBot="1">
      <c r="A848" s="1772"/>
      <c r="B848" s="1773"/>
      <c r="C848" s="1773"/>
      <c r="D848" s="1773"/>
      <c r="E848" s="1773"/>
      <c r="F848" s="1773"/>
      <c r="G848" s="1773"/>
      <c r="H848" s="1773"/>
      <c r="I848" s="1773"/>
      <c r="J848" s="1773"/>
      <c r="K848" s="1776"/>
      <c r="L848" s="1774"/>
      <c r="M848" s="1774"/>
      <c r="N848" s="1774"/>
      <c r="O848" s="1774"/>
      <c r="P848" s="1828"/>
      <c r="Q848" s="1828"/>
      <c r="R848" s="1828"/>
      <c r="S848" s="1828"/>
      <c r="T848" s="1828"/>
      <c r="U848" s="1828"/>
      <c r="V848" s="1828"/>
    </row>
    <row r="849" spans="1:22" ht="22.5" customHeight="1" thickTop="1" thickBot="1">
      <c r="A849" s="1772"/>
      <c r="B849" s="1773"/>
      <c r="C849" s="1773"/>
      <c r="D849" s="1773"/>
      <c r="E849" s="1773"/>
      <c r="F849" s="1773"/>
      <c r="G849" s="1773"/>
      <c r="H849" s="1773"/>
      <c r="I849" s="1773"/>
      <c r="J849" s="1773"/>
      <c r="K849" s="1776"/>
      <c r="L849" s="1774"/>
      <c r="M849" s="1774"/>
      <c r="N849" s="1774"/>
      <c r="O849" s="1774"/>
      <c r="P849" s="1828"/>
      <c r="Q849" s="1828"/>
      <c r="R849" s="1828"/>
      <c r="S849" s="1828"/>
      <c r="T849" s="1828"/>
      <c r="U849" s="1828"/>
      <c r="V849" s="1828"/>
    </row>
    <row r="850" spans="1:22" ht="22.5" customHeight="1" thickTop="1" thickBot="1">
      <c r="A850" s="1772"/>
      <c r="B850" s="1773"/>
      <c r="C850" s="1773"/>
      <c r="D850" s="1773"/>
      <c r="E850" s="1773"/>
      <c r="F850" s="1773"/>
      <c r="G850" s="1773"/>
      <c r="H850" s="1773"/>
      <c r="I850" s="1773"/>
      <c r="J850" s="1773"/>
      <c r="K850" s="1776"/>
      <c r="L850" s="1774"/>
      <c r="M850" s="1774"/>
      <c r="N850" s="1774"/>
      <c r="O850" s="1774"/>
      <c r="P850" s="1828"/>
      <c r="Q850" s="1828"/>
      <c r="R850" s="1828"/>
      <c r="S850" s="1828"/>
      <c r="T850" s="1828"/>
      <c r="U850" s="1828"/>
      <c r="V850" s="1828"/>
    </row>
    <row r="851" spans="1:22" ht="22.5" customHeight="1" thickTop="1" thickBot="1">
      <c r="A851" s="1772"/>
      <c r="B851" s="1773"/>
      <c r="C851" s="1773"/>
      <c r="D851" s="1773"/>
      <c r="E851" s="1773"/>
      <c r="F851" s="1773"/>
      <c r="G851" s="1773"/>
      <c r="H851" s="1773"/>
      <c r="I851" s="1773"/>
      <c r="J851" s="1773"/>
      <c r="K851" s="1776"/>
      <c r="L851" s="1774"/>
      <c r="M851" s="1774"/>
      <c r="N851" s="1774"/>
      <c r="O851" s="1774"/>
      <c r="P851" s="1828"/>
      <c r="Q851" s="1828"/>
      <c r="R851" s="1828"/>
      <c r="S851" s="1828"/>
      <c r="T851" s="1828"/>
      <c r="U851" s="1828"/>
      <c r="V851" s="1828"/>
    </row>
    <row r="852" spans="1:22" ht="22.5" customHeight="1" thickTop="1" thickBot="1">
      <c r="A852" s="1772"/>
      <c r="B852" s="1773"/>
      <c r="C852" s="1773"/>
      <c r="D852" s="1773"/>
      <c r="E852" s="1773"/>
      <c r="F852" s="1773"/>
      <c r="G852" s="1773"/>
      <c r="H852" s="1773"/>
      <c r="I852" s="1773"/>
      <c r="J852" s="1773"/>
      <c r="K852" s="1776"/>
      <c r="L852" s="1774"/>
      <c r="M852" s="1774"/>
      <c r="N852" s="1774"/>
      <c r="O852" s="1774"/>
      <c r="P852" s="1828"/>
      <c r="Q852" s="1828"/>
      <c r="R852" s="1828"/>
      <c r="S852" s="1828"/>
      <c r="T852" s="1828"/>
      <c r="U852" s="1828"/>
      <c r="V852" s="1828"/>
    </row>
    <row r="853" spans="1:22" ht="22.5" customHeight="1" thickTop="1" thickBot="1">
      <c r="A853" s="1772"/>
      <c r="B853" s="1773"/>
      <c r="C853" s="1773"/>
      <c r="D853" s="1773"/>
      <c r="E853" s="1773"/>
      <c r="F853" s="1773"/>
      <c r="G853" s="1773"/>
      <c r="H853" s="1773"/>
      <c r="I853" s="1773"/>
      <c r="J853" s="1773"/>
      <c r="K853" s="1776"/>
      <c r="L853" s="1774"/>
      <c r="M853" s="1774"/>
      <c r="N853" s="1774"/>
      <c r="O853" s="1774"/>
      <c r="P853" s="1828"/>
      <c r="Q853" s="1828"/>
      <c r="R853" s="1828"/>
      <c r="S853" s="1828"/>
      <c r="T853" s="1828"/>
      <c r="U853" s="1828"/>
      <c r="V853" s="1828"/>
    </row>
    <row r="854" spans="1:22" ht="22.5" customHeight="1" thickTop="1" thickBot="1">
      <c r="A854" s="1772"/>
      <c r="B854" s="1773"/>
      <c r="C854" s="1773"/>
      <c r="D854" s="1773"/>
      <c r="E854" s="1773"/>
      <c r="F854" s="1773"/>
      <c r="G854" s="1773"/>
      <c r="H854" s="1773"/>
      <c r="I854" s="1773"/>
      <c r="J854" s="1773"/>
      <c r="K854" s="1776"/>
      <c r="L854" s="1774"/>
      <c r="M854" s="1774"/>
      <c r="N854" s="1774"/>
      <c r="O854" s="1774"/>
      <c r="P854" s="1828"/>
      <c r="Q854" s="1828"/>
      <c r="R854" s="1828"/>
      <c r="S854" s="1828"/>
      <c r="T854" s="1828"/>
      <c r="U854" s="1828"/>
      <c r="V854" s="1828"/>
    </row>
    <row r="855" spans="1:22" ht="22.5" customHeight="1" thickTop="1" thickBot="1">
      <c r="A855" s="1772"/>
      <c r="B855" s="1773"/>
      <c r="C855" s="1773"/>
      <c r="D855" s="1773"/>
      <c r="E855" s="1773"/>
      <c r="F855" s="1773"/>
      <c r="G855" s="1773"/>
      <c r="H855" s="1773"/>
      <c r="I855" s="1773"/>
      <c r="J855" s="1773"/>
      <c r="K855" s="1776"/>
      <c r="L855" s="1774"/>
      <c r="M855" s="1774"/>
      <c r="N855" s="1774"/>
      <c r="O855" s="1774"/>
      <c r="P855" s="1828"/>
      <c r="Q855" s="1828"/>
      <c r="R855" s="1828"/>
      <c r="S855" s="1828"/>
      <c r="T855" s="1828"/>
      <c r="U855" s="1828"/>
      <c r="V855" s="1828"/>
    </row>
    <row r="856" spans="1:22" ht="22.5" customHeight="1" thickTop="1" thickBot="1">
      <c r="A856" s="1772"/>
      <c r="B856" s="1773"/>
      <c r="C856" s="1773"/>
      <c r="D856" s="1773"/>
      <c r="E856" s="1773"/>
      <c r="F856" s="1773"/>
      <c r="G856" s="1773"/>
      <c r="H856" s="1773"/>
      <c r="I856" s="1773"/>
      <c r="J856" s="1773"/>
      <c r="K856" s="1776"/>
      <c r="L856" s="1774"/>
      <c r="M856" s="1774"/>
      <c r="N856" s="1774"/>
      <c r="O856" s="1774"/>
      <c r="P856" s="1828"/>
      <c r="Q856" s="1828"/>
      <c r="R856" s="1828"/>
      <c r="S856" s="1828"/>
      <c r="T856" s="1828"/>
      <c r="U856" s="1828"/>
      <c r="V856" s="1828"/>
    </row>
    <row r="857" spans="1:22" ht="22.5" customHeight="1" thickTop="1" thickBot="1">
      <c r="A857" s="1772"/>
      <c r="B857" s="1773"/>
      <c r="C857" s="1773"/>
      <c r="D857" s="1773"/>
      <c r="E857" s="1773"/>
      <c r="F857" s="1773"/>
      <c r="G857" s="1773"/>
      <c r="H857" s="1773"/>
      <c r="I857" s="1773"/>
      <c r="J857" s="1773"/>
      <c r="K857" s="1776"/>
      <c r="L857" s="1774"/>
      <c r="M857" s="1774"/>
      <c r="N857" s="1774"/>
      <c r="O857" s="1774"/>
      <c r="P857" s="1828"/>
      <c r="Q857" s="1828"/>
      <c r="R857" s="1828"/>
      <c r="S857" s="1828"/>
      <c r="T857" s="1828"/>
      <c r="U857" s="1828"/>
      <c r="V857" s="1828"/>
    </row>
    <row r="858" spans="1:22" ht="22.5" customHeight="1" thickTop="1" thickBot="1">
      <c r="A858" s="1772"/>
      <c r="B858" s="1773"/>
      <c r="C858" s="1773"/>
      <c r="D858" s="1773"/>
      <c r="E858" s="1773"/>
      <c r="F858" s="1773"/>
      <c r="G858" s="1773"/>
      <c r="H858" s="1773"/>
      <c r="I858" s="1773"/>
      <c r="J858" s="1773"/>
      <c r="K858" s="1776"/>
      <c r="L858" s="1774"/>
      <c r="M858" s="1774"/>
      <c r="N858" s="1774"/>
      <c r="O858" s="1774"/>
      <c r="P858" s="1828"/>
      <c r="Q858" s="1828"/>
      <c r="R858" s="1828"/>
      <c r="S858" s="1828"/>
      <c r="T858" s="1828"/>
      <c r="U858" s="1828"/>
      <c r="V858" s="1828"/>
    </row>
    <row r="859" spans="1:22" ht="22.5" customHeight="1" thickTop="1" thickBot="1">
      <c r="A859" s="1772"/>
      <c r="B859" s="1773"/>
      <c r="C859" s="1773"/>
      <c r="D859" s="1773"/>
      <c r="E859" s="1773"/>
      <c r="F859" s="1773"/>
      <c r="G859" s="1773"/>
      <c r="H859" s="1773"/>
      <c r="I859" s="1773"/>
      <c r="J859" s="1773"/>
      <c r="K859" s="1776"/>
      <c r="L859" s="1774"/>
      <c r="M859" s="1774"/>
      <c r="N859" s="1774"/>
      <c r="O859" s="1774"/>
      <c r="P859" s="1828"/>
      <c r="Q859" s="1828"/>
      <c r="R859" s="1828"/>
      <c r="S859" s="1828"/>
      <c r="T859" s="1828"/>
      <c r="U859" s="1828"/>
      <c r="V859" s="1828"/>
    </row>
    <row r="860" spans="1:22" ht="22.5" customHeight="1" thickTop="1" thickBot="1">
      <c r="A860" s="1772"/>
      <c r="B860" s="1773"/>
      <c r="C860" s="1773"/>
      <c r="D860" s="1773"/>
      <c r="E860" s="1773"/>
      <c r="F860" s="1773"/>
      <c r="G860" s="1773"/>
      <c r="H860" s="1773"/>
      <c r="I860" s="1773"/>
      <c r="J860" s="1773"/>
      <c r="K860" s="1776"/>
      <c r="L860" s="1774"/>
      <c r="M860" s="1774"/>
      <c r="N860" s="1774"/>
      <c r="O860" s="1774"/>
      <c r="P860" s="1828"/>
      <c r="Q860" s="1828"/>
      <c r="R860" s="1828"/>
      <c r="S860" s="1828"/>
      <c r="T860" s="1828"/>
      <c r="U860" s="1828"/>
      <c r="V860" s="1828"/>
    </row>
    <row r="861" spans="1:22" ht="22.5" customHeight="1" thickTop="1" thickBot="1">
      <c r="A861" s="1772"/>
      <c r="B861" s="1773"/>
      <c r="C861" s="1773"/>
      <c r="D861" s="1773"/>
      <c r="E861" s="1773"/>
      <c r="F861" s="1773"/>
      <c r="G861" s="1773"/>
      <c r="H861" s="1773"/>
      <c r="I861" s="1773"/>
      <c r="J861" s="1773"/>
      <c r="K861" s="1776"/>
      <c r="L861" s="1774"/>
      <c r="M861" s="1774"/>
      <c r="N861" s="1774"/>
      <c r="O861" s="1774"/>
      <c r="P861" s="1828"/>
      <c r="Q861" s="1828"/>
      <c r="R861" s="1828"/>
      <c r="S861" s="1828"/>
      <c r="T861" s="1828"/>
      <c r="U861" s="1828"/>
      <c r="V861" s="1828"/>
    </row>
    <row r="862" spans="1:22" ht="22.5" customHeight="1" thickTop="1" thickBot="1">
      <c r="A862" s="1772"/>
      <c r="B862" s="1773"/>
      <c r="C862" s="1773"/>
      <c r="D862" s="1773"/>
      <c r="E862" s="1773"/>
      <c r="F862" s="1773"/>
      <c r="G862" s="1773"/>
      <c r="H862" s="1773"/>
      <c r="I862" s="1773"/>
      <c r="J862" s="1773"/>
      <c r="K862" s="1776"/>
      <c r="L862" s="1774"/>
      <c r="M862" s="1774"/>
      <c r="N862" s="1774"/>
      <c r="O862" s="1774"/>
      <c r="P862" s="1828"/>
      <c r="Q862" s="1828"/>
      <c r="R862" s="1828"/>
      <c r="S862" s="1828"/>
      <c r="T862" s="1828"/>
      <c r="U862" s="1828"/>
      <c r="V862" s="1828"/>
    </row>
    <row r="863" spans="1:22" ht="22.5" customHeight="1" thickTop="1" thickBot="1">
      <c r="A863" s="1772"/>
      <c r="B863" s="1773"/>
      <c r="C863" s="1773"/>
      <c r="D863" s="1773"/>
      <c r="E863" s="1773"/>
      <c r="F863" s="1773"/>
      <c r="G863" s="1773"/>
      <c r="H863" s="1773"/>
      <c r="I863" s="1773"/>
      <c r="J863" s="1773"/>
      <c r="K863" s="1776"/>
      <c r="L863" s="1774"/>
      <c r="M863" s="1774"/>
      <c r="N863" s="1774"/>
      <c r="O863" s="1774"/>
      <c r="P863" s="1828"/>
      <c r="Q863" s="1828"/>
      <c r="R863" s="1828"/>
      <c r="S863" s="1828"/>
      <c r="T863" s="1828"/>
      <c r="U863" s="1828"/>
      <c r="V863" s="1828"/>
    </row>
    <row r="864" spans="1:22" ht="22.5" customHeight="1" thickTop="1" thickBot="1">
      <c r="A864" s="1772"/>
      <c r="B864" s="1773"/>
      <c r="C864" s="1773"/>
      <c r="D864" s="1773"/>
      <c r="E864" s="1773"/>
      <c r="F864" s="1773"/>
      <c r="G864" s="1773"/>
      <c r="H864" s="1773"/>
      <c r="I864" s="1773"/>
      <c r="J864" s="1773"/>
      <c r="K864" s="1776"/>
      <c r="L864" s="1774"/>
      <c r="M864" s="1774"/>
      <c r="N864" s="1774"/>
      <c r="O864" s="1774"/>
      <c r="P864" s="1828"/>
      <c r="Q864" s="1828"/>
      <c r="R864" s="1828"/>
      <c r="S864" s="1828"/>
      <c r="T864" s="1828"/>
      <c r="U864" s="1828"/>
      <c r="V864" s="1828"/>
    </row>
    <row r="865" spans="1:22" ht="22.5" customHeight="1" thickTop="1" thickBot="1">
      <c r="A865" s="1772"/>
      <c r="B865" s="1773"/>
      <c r="C865" s="1773"/>
      <c r="D865" s="1773"/>
      <c r="E865" s="1773"/>
      <c r="F865" s="1773"/>
      <c r="G865" s="1773"/>
      <c r="H865" s="1773"/>
      <c r="I865" s="1773"/>
      <c r="J865" s="1773"/>
      <c r="K865" s="1776"/>
      <c r="L865" s="1774"/>
      <c r="M865" s="1774"/>
      <c r="N865" s="1774"/>
      <c r="O865" s="1774"/>
      <c r="P865" s="1828"/>
      <c r="Q865" s="1828"/>
      <c r="R865" s="1828"/>
      <c r="S865" s="1828"/>
      <c r="T865" s="1828"/>
      <c r="U865" s="1828"/>
      <c r="V865" s="1828"/>
    </row>
    <row r="866" spans="1:22" ht="22.5" customHeight="1" thickTop="1" thickBot="1">
      <c r="A866" s="1772"/>
      <c r="B866" s="1773"/>
      <c r="C866" s="1773"/>
      <c r="D866" s="1773"/>
      <c r="E866" s="1773"/>
      <c r="F866" s="1773"/>
      <c r="G866" s="1773"/>
      <c r="H866" s="1773"/>
      <c r="I866" s="1773"/>
      <c r="J866" s="1773"/>
      <c r="K866" s="1776"/>
      <c r="L866" s="1774"/>
      <c r="M866" s="1774"/>
      <c r="N866" s="1774"/>
      <c r="O866" s="1774"/>
      <c r="P866" s="1828"/>
      <c r="Q866" s="1828"/>
      <c r="R866" s="1828"/>
      <c r="S866" s="1828"/>
      <c r="T866" s="1828"/>
      <c r="U866" s="1828"/>
      <c r="V866" s="1828"/>
    </row>
    <row r="867" spans="1:22" ht="22.5" customHeight="1" thickTop="1" thickBot="1">
      <c r="A867" s="1772"/>
      <c r="B867" s="1773"/>
      <c r="C867" s="1773"/>
      <c r="D867" s="1773"/>
      <c r="E867" s="1773"/>
      <c r="F867" s="1773"/>
      <c r="G867" s="1773"/>
      <c r="H867" s="1773"/>
      <c r="I867" s="1773"/>
      <c r="J867" s="1773"/>
      <c r="K867" s="1776"/>
      <c r="L867" s="1774"/>
      <c r="M867" s="1774"/>
      <c r="N867" s="1774"/>
      <c r="O867" s="1774"/>
      <c r="P867" s="1828"/>
      <c r="Q867" s="1828"/>
      <c r="R867" s="1828"/>
      <c r="S867" s="1828"/>
      <c r="T867" s="1828"/>
      <c r="U867" s="1828"/>
      <c r="V867" s="1828"/>
    </row>
    <row r="868" spans="1:22" ht="22.5" customHeight="1" thickTop="1" thickBot="1">
      <c r="A868" s="1772"/>
      <c r="B868" s="1773"/>
      <c r="C868" s="1773"/>
      <c r="D868" s="1773"/>
      <c r="E868" s="1773"/>
      <c r="F868" s="1773"/>
      <c r="G868" s="1773"/>
      <c r="H868" s="1773"/>
      <c r="I868" s="1773"/>
      <c r="J868" s="1773"/>
      <c r="K868" s="1776"/>
      <c r="L868" s="1774"/>
      <c r="M868" s="1774"/>
      <c r="N868" s="1774"/>
      <c r="O868" s="1774"/>
      <c r="P868" s="1828"/>
      <c r="Q868" s="1828"/>
      <c r="R868" s="1828"/>
      <c r="S868" s="1828"/>
      <c r="T868" s="1828"/>
      <c r="U868" s="1828"/>
      <c r="V868" s="1828"/>
    </row>
    <row r="869" spans="1:22" ht="22.5" customHeight="1" thickTop="1" thickBot="1">
      <c r="A869" s="1772"/>
      <c r="B869" s="1773"/>
      <c r="C869" s="1773"/>
      <c r="D869" s="1773"/>
      <c r="E869" s="1773"/>
      <c r="F869" s="1773"/>
      <c r="G869" s="1773"/>
      <c r="H869" s="1773"/>
      <c r="I869" s="1773"/>
      <c r="J869" s="1773"/>
      <c r="K869" s="1776"/>
      <c r="L869" s="1774"/>
      <c r="M869" s="1774"/>
      <c r="N869" s="1774"/>
      <c r="O869" s="1774"/>
      <c r="P869" s="1828"/>
      <c r="Q869" s="1828"/>
      <c r="R869" s="1828"/>
      <c r="S869" s="1828"/>
      <c r="T869" s="1828"/>
      <c r="U869" s="1828"/>
      <c r="V869" s="1828"/>
    </row>
    <row r="870" spans="1:22" ht="22.5" customHeight="1" thickTop="1" thickBot="1">
      <c r="A870" s="1772"/>
      <c r="B870" s="1773"/>
      <c r="C870" s="1773"/>
      <c r="D870" s="1773"/>
      <c r="E870" s="1773"/>
      <c r="F870" s="1773"/>
      <c r="G870" s="1773"/>
      <c r="H870" s="1773"/>
      <c r="I870" s="1773"/>
      <c r="J870" s="1773"/>
      <c r="K870" s="1776"/>
      <c r="L870" s="1774"/>
      <c r="M870" s="1774"/>
      <c r="N870" s="1774"/>
      <c r="O870" s="1774"/>
      <c r="P870" s="1828"/>
      <c r="Q870" s="1828"/>
      <c r="R870" s="1828"/>
      <c r="S870" s="1828"/>
      <c r="T870" s="1828"/>
      <c r="U870" s="1828"/>
      <c r="V870" s="1828"/>
    </row>
    <row r="871" spans="1:22" ht="22.5" customHeight="1" thickTop="1" thickBot="1">
      <c r="A871" s="1772"/>
      <c r="B871" s="1773"/>
      <c r="C871" s="1773"/>
      <c r="D871" s="1773"/>
      <c r="E871" s="1773"/>
      <c r="F871" s="1773"/>
      <c r="G871" s="1773"/>
      <c r="H871" s="1773"/>
      <c r="I871" s="1773"/>
      <c r="J871" s="1773"/>
      <c r="K871" s="1776"/>
      <c r="L871" s="1774"/>
      <c r="M871" s="1774"/>
      <c r="N871" s="1774"/>
      <c r="O871" s="1774"/>
      <c r="P871" s="1828"/>
      <c r="Q871" s="1828"/>
      <c r="R871" s="1828"/>
      <c r="S871" s="1828"/>
      <c r="T871" s="1828"/>
      <c r="U871" s="1828"/>
      <c r="V871" s="1828"/>
    </row>
    <row r="872" spans="1:22" ht="22.5" customHeight="1" thickTop="1" thickBot="1">
      <c r="A872" s="1772"/>
      <c r="B872" s="1773"/>
      <c r="C872" s="1773"/>
      <c r="D872" s="1773"/>
      <c r="E872" s="1773"/>
      <c r="F872" s="1773"/>
      <c r="G872" s="1773"/>
      <c r="H872" s="1773"/>
      <c r="I872" s="1773"/>
      <c r="J872" s="1773"/>
      <c r="K872" s="1776"/>
      <c r="L872" s="1774"/>
      <c r="M872" s="1774"/>
      <c r="N872" s="1774"/>
      <c r="O872" s="1774"/>
      <c r="P872" s="1828"/>
      <c r="Q872" s="1828"/>
      <c r="R872" s="1828"/>
      <c r="S872" s="1828"/>
      <c r="T872" s="1828"/>
      <c r="U872" s="1828"/>
      <c r="V872" s="1828"/>
    </row>
    <row r="873" spans="1:22" ht="22.5" customHeight="1" thickTop="1" thickBot="1">
      <c r="A873" s="1772"/>
      <c r="B873" s="1773"/>
      <c r="C873" s="1773"/>
      <c r="D873" s="1773"/>
      <c r="E873" s="1773"/>
      <c r="F873" s="1773"/>
      <c r="G873" s="1773"/>
      <c r="H873" s="1773"/>
      <c r="I873" s="1773"/>
      <c r="J873" s="1773"/>
      <c r="K873" s="1776"/>
      <c r="L873" s="1774"/>
      <c r="M873" s="1774"/>
      <c r="N873" s="1774"/>
      <c r="O873" s="1774"/>
      <c r="P873" s="1828"/>
      <c r="Q873" s="1828"/>
      <c r="R873" s="1828"/>
      <c r="S873" s="1828"/>
      <c r="T873" s="1828"/>
      <c r="U873" s="1828"/>
      <c r="V873" s="1828"/>
    </row>
    <row r="874" spans="1:22" ht="22.5" customHeight="1" thickTop="1" thickBot="1">
      <c r="A874" s="1772"/>
      <c r="B874" s="1773"/>
      <c r="C874" s="1773"/>
      <c r="D874" s="1773"/>
      <c r="E874" s="1773"/>
      <c r="F874" s="1773"/>
      <c r="G874" s="1773"/>
      <c r="H874" s="1773"/>
      <c r="I874" s="1773"/>
      <c r="J874" s="1773"/>
      <c r="K874" s="1776"/>
      <c r="L874" s="1774"/>
      <c r="M874" s="1774"/>
      <c r="N874" s="1774"/>
      <c r="O874" s="1774"/>
      <c r="P874" s="1828"/>
      <c r="Q874" s="1828"/>
      <c r="R874" s="1828"/>
      <c r="S874" s="1828"/>
      <c r="T874" s="1828"/>
      <c r="U874" s="1828"/>
      <c r="V874" s="1828"/>
    </row>
    <row r="875" spans="1:22" ht="22.5" customHeight="1" thickTop="1" thickBot="1">
      <c r="A875" s="1772"/>
      <c r="B875" s="1773"/>
      <c r="C875" s="1773"/>
      <c r="D875" s="1773"/>
      <c r="E875" s="1773"/>
      <c r="F875" s="1773"/>
      <c r="G875" s="1773"/>
      <c r="H875" s="1773"/>
      <c r="I875" s="1773"/>
      <c r="J875" s="1773"/>
      <c r="K875" s="1776"/>
      <c r="L875" s="1774"/>
      <c r="M875" s="1774"/>
      <c r="N875" s="1774"/>
      <c r="O875" s="1774"/>
      <c r="P875" s="1828"/>
      <c r="Q875" s="1828"/>
      <c r="R875" s="1828"/>
      <c r="S875" s="1828"/>
      <c r="T875" s="1828"/>
      <c r="U875" s="1828"/>
      <c r="V875" s="1828"/>
    </row>
    <row r="876" spans="1:22" ht="22.5" customHeight="1" thickTop="1" thickBot="1">
      <c r="A876" s="1772"/>
      <c r="B876" s="1773"/>
      <c r="C876" s="1773"/>
      <c r="D876" s="1773"/>
      <c r="E876" s="1773"/>
      <c r="F876" s="1773"/>
      <c r="G876" s="1773"/>
      <c r="H876" s="1773"/>
      <c r="I876" s="1773"/>
      <c r="J876" s="1773"/>
      <c r="K876" s="1776"/>
      <c r="L876" s="1774"/>
      <c r="M876" s="1774"/>
      <c r="N876" s="1774"/>
      <c r="O876" s="1774"/>
      <c r="P876" s="1828"/>
      <c r="Q876" s="1828"/>
      <c r="R876" s="1828"/>
      <c r="S876" s="1828"/>
      <c r="T876" s="1828"/>
      <c r="U876" s="1828"/>
      <c r="V876" s="1828"/>
    </row>
    <row r="877" spans="1:22" ht="22.5" customHeight="1" thickTop="1" thickBot="1">
      <c r="A877" s="1772"/>
      <c r="B877" s="1773"/>
      <c r="C877" s="1773"/>
      <c r="D877" s="1773"/>
      <c r="E877" s="1773"/>
      <c r="F877" s="1773"/>
      <c r="G877" s="1773"/>
      <c r="H877" s="1773"/>
      <c r="I877" s="1773"/>
      <c r="J877" s="1773"/>
      <c r="K877" s="1776"/>
      <c r="L877" s="1774"/>
      <c r="M877" s="1774"/>
      <c r="N877" s="1774"/>
      <c r="O877" s="1774"/>
      <c r="P877" s="1828"/>
      <c r="Q877" s="1828"/>
      <c r="R877" s="1828"/>
      <c r="S877" s="1828"/>
      <c r="T877" s="1828"/>
      <c r="U877" s="1828"/>
      <c r="V877" s="1828"/>
    </row>
    <row r="878" spans="1:22" ht="22.5" customHeight="1" thickTop="1" thickBot="1">
      <c r="A878" s="1772"/>
      <c r="B878" s="1773"/>
      <c r="C878" s="1773"/>
      <c r="D878" s="1773"/>
      <c r="E878" s="1773"/>
      <c r="F878" s="1773"/>
      <c r="G878" s="1773"/>
      <c r="H878" s="1773"/>
      <c r="I878" s="1773"/>
      <c r="J878" s="1773"/>
      <c r="K878" s="1776"/>
      <c r="L878" s="1774"/>
      <c r="M878" s="1774"/>
      <c r="N878" s="1774"/>
      <c r="O878" s="1774"/>
      <c r="P878" s="1828"/>
      <c r="Q878" s="1828"/>
      <c r="R878" s="1828"/>
      <c r="S878" s="1828"/>
      <c r="T878" s="1828"/>
      <c r="U878" s="1828"/>
      <c r="V878" s="1828"/>
    </row>
    <row r="879" spans="1:22" ht="22.5" customHeight="1" thickTop="1" thickBot="1">
      <c r="A879" s="1772"/>
      <c r="B879" s="1773"/>
      <c r="C879" s="1773"/>
      <c r="D879" s="1773"/>
      <c r="E879" s="1773"/>
      <c r="F879" s="1773"/>
      <c r="G879" s="1773"/>
      <c r="H879" s="1773"/>
      <c r="I879" s="1773"/>
      <c r="J879" s="1773"/>
      <c r="K879" s="1776"/>
      <c r="L879" s="1774"/>
      <c r="M879" s="1774"/>
      <c r="N879" s="1774"/>
      <c r="O879" s="1774"/>
      <c r="P879" s="1828"/>
      <c r="Q879" s="1828"/>
      <c r="R879" s="1828"/>
      <c r="S879" s="1828"/>
      <c r="T879" s="1828"/>
      <c r="U879" s="1828"/>
      <c r="V879" s="1828"/>
    </row>
    <row r="880" spans="1:22" ht="22.5" customHeight="1" thickTop="1" thickBot="1">
      <c r="A880" s="1772"/>
      <c r="B880" s="1773"/>
      <c r="C880" s="1773"/>
      <c r="D880" s="1773"/>
      <c r="E880" s="1773"/>
      <c r="F880" s="1773"/>
      <c r="G880" s="1773"/>
      <c r="H880" s="1773"/>
      <c r="I880" s="1773"/>
      <c r="J880" s="1773"/>
      <c r="K880" s="1776"/>
      <c r="L880" s="1774"/>
      <c r="M880" s="1774"/>
      <c r="N880" s="1774"/>
      <c r="O880" s="1774"/>
      <c r="P880" s="1828"/>
      <c r="Q880" s="1828"/>
      <c r="R880" s="1828"/>
      <c r="S880" s="1828"/>
      <c r="T880" s="1828"/>
      <c r="U880" s="1828"/>
      <c r="V880" s="1828"/>
    </row>
    <row r="881" spans="1:22" ht="22.5" customHeight="1" thickTop="1" thickBot="1">
      <c r="A881" s="1772"/>
      <c r="B881" s="1773"/>
      <c r="C881" s="1773"/>
      <c r="D881" s="1773"/>
      <c r="E881" s="1773"/>
      <c r="F881" s="1773"/>
      <c r="G881" s="1773"/>
      <c r="H881" s="1773"/>
      <c r="I881" s="1773"/>
      <c r="J881" s="1773"/>
      <c r="K881" s="1776"/>
      <c r="L881" s="1774"/>
      <c r="M881" s="1774"/>
      <c r="N881" s="1774"/>
      <c r="O881" s="1774"/>
      <c r="P881" s="1828"/>
      <c r="Q881" s="1828"/>
      <c r="R881" s="1828"/>
      <c r="S881" s="1828"/>
      <c r="T881" s="1828"/>
      <c r="U881" s="1828"/>
      <c r="V881" s="1828"/>
    </row>
    <row r="882" spans="1:22" ht="22.5" customHeight="1" thickTop="1" thickBot="1">
      <c r="A882" s="1772"/>
      <c r="B882" s="1773"/>
      <c r="C882" s="1773"/>
      <c r="D882" s="1773"/>
      <c r="E882" s="1773"/>
      <c r="F882" s="1773"/>
      <c r="G882" s="1773"/>
      <c r="H882" s="1773"/>
      <c r="I882" s="1773"/>
      <c r="J882" s="1773"/>
      <c r="K882" s="1776"/>
      <c r="L882" s="1774"/>
      <c r="M882" s="1774"/>
      <c r="N882" s="1774"/>
      <c r="O882" s="1774"/>
      <c r="P882" s="1828"/>
      <c r="Q882" s="1828"/>
      <c r="R882" s="1828"/>
      <c r="S882" s="1828"/>
      <c r="T882" s="1828"/>
      <c r="U882" s="1828"/>
      <c r="V882" s="1828"/>
    </row>
    <row r="883" spans="1:22" ht="22.5" customHeight="1" thickTop="1" thickBot="1">
      <c r="A883" s="1772"/>
      <c r="B883" s="1773"/>
      <c r="C883" s="1773"/>
      <c r="D883" s="1773"/>
      <c r="E883" s="1773"/>
      <c r="F883" s="1773"/>
      <c r="G883" s="1773"/>
      <c r="H883" s="1773"/>
      <c r="I883" s="1773"/>
      <c r="J883" s="1773"/>
      <c r="K883" s="1776"/>
      <c r="L883" s="1774"/>
      <c r="M883" s="1774"/>
      <c r="N883" s="1774"/>
      <c r="O883" s="1774"/>
      <c r="P883" s="1828"/>
      <c r="Q883" s="1828"/>
      <c r="R883" s="1828"/>
      <c r="S883" s="1828"/>
      <c r="T883" s="1828"/>
      <c r="U883" s="1828"/>
      <c r="V883" s="1828"/>
    </row>
    <row r="884" spans="1:22" ht="22.5" customHeight="1" thickTop="1" thickBot="1">
      <c r="A884" s="1772"/>
      <c r="B884" s="1773"/>
      <c r="C884" s="1773"/>
      <c r="D884" s="1773"/>
      <c r="E884" s="1773"/>
      <c r="F884" s="1773"/>
      <c r="G884" s="1773"/>
      <c r="H884" s="1773"/>
      <c r="I884" s="1773"/>
      <c r="J884" s="1773"/>
      <c r="K884" s="1776"/>
      <c r="L884" s="1774"/>
      <c r="M884" s="1774"/>
      <c r="N884" s="1774"/>
      <c r="O884" s="1774"/>
      <c r="P884" s="1828"/>
      <c r="Q884" s="1828"/>
      <c r="R884" s="1828"/>
      <c r="S884" s="1828"/>
      <c r="T884" s="1828"/>
      <c r="U884" s="1828"/>
      <c r="V884" s="1828"/>
    </row>
    <row r="885" spans="1:22" ht="22.5" customHeight="1" thickTop="1" thickBot="1">
      <c r="A885" s="1772"/>
      <c r="B885" s="1773"/>
      <c r="C885" s="1773"/>
      <c r="D885" s="1773"/>
      <c r="E885" s="1773"/>
      <c r="F885" s="1773"/>
      <c r="G885" s="1773"/>
      <c r="H885" s="1773"/>
      <c r="I885" s="1773"/>
      <c r="J885" s="1773"/>
      <c r="K885" s="1776"/>
      <c r="L885" s="1774"/>
      <c r="M885" s="1774"/>
      <c r="N885" s="1774"/>
      <c r="O885" s="1774"/>
      <c r="P885" s="1828"/>
      <c r="Q885" s="1828"/>
      <c r="R885" s="1828"/>
      <c r="S885" s="1828"/>
      <c r="T885" s="1828"/>
      <c r="U885" s="1828"/>
      <c r="V885" s="1828"/>
    </row>
    <row r="886" spans="1:22" ht="22.5" customHeight="1" thickTop="1" thickBot="1">
      <c r="A886" s="1772"/>
      <c r="B886" s="1773"/>
      <c r="C886" s="1773"/>
      <c r="D886" s="1773"/>
      <c r="E886" s="1773"/>
      <c r="F886" s="1773"/>
      <c r="G886" s="1773"/>
      <c r="H886" s="1773"/>
      <c r="I886" s="1773"/>
      <c r="J886" s="1773"/>
      <c r="K886" s="1776"/>
      <c r="L886" s="1774"/>
      <c r="M886" s="1774"/>
      <c r="N886" s="1774"/>
      <c r="O886" s="1774"/>
      <c r="P886" s="1828"/>
      <c r="Q886" s="1828"/>
      <c r="R886" s="1828"/>
      <c r="S886" s="1828"/>
      <c r="T886" s="1828"/>
      <c r="U886" s="1828"/>
      <c r="V886" s="1828"/>
    </row>
    <row r="887" spans="1:22" ht="22.5" customHeight="1" thickTop="1" thickBot="1">
      <c r="A887" s="1772"/>
      <c r="B887" s="1773"/>
      <c r="C887" s="1773"/>
      <c r="D887" s="1773"/>
      <c r="E887" s="1773"/>
      <c r="F887" s="1773"/>
      <c r="G887" s="1773"/>
      <c r="H887" s="1773"/>
      <c r="I887" s="1773"/>
      <c r="J887" s="1773"/>
      <c r="K887" s="1776"/>
      <c r="L887" s="1774"/>
      <c r="M887" s="1774"/>
      <c r="N887" s="1774"/>
      <c r="O887" s="1774"/>
      <c r="P887" s="1828"/>
      <c r="Q887" s="1828"/>
      <c r="R887" s="1828"/>
      <c r="S887" s="1828"/>
      <c r="T887" s="1828"/>
      <c r="U887" s="1828"/>
      <c r="V887" s="1828"/>
    </row>
    <row r="888" spans="1:22" ht="22.5" customHeight="1" thickTop="1" thickBot="1">
      <c r="A888" s="1772"/>
      <c r="B888" s="1773"/>
      <c r="C888" s="1773"/>
      <c r="D888" s="1773"/>
      <c r="E888" s="1773"/>
      <c r="F888" s="1773"/>
      <c r="G888" s="1773"/>
      <c r="H888" s="1773"/>
      <c r="I888" s="1773"/>
      <c r="J888" s="1773"/>
      <c r="K888" s="1776"/>
      <c r="L888" s="1774"/>
      <c r="M888" s="1774"/>
      <c r="N888" s="1774"/>
      <c r="O888" s="1774"/>
      <c r="P888" s="1828"/>
      <c r="Q888" s="1828"/>
      <c r="R888" s="1828"/>
      <c r="S888" s="1828"/>
      <c r="T888" s="1828"/>
      <c r="U888" s="1828"/>
      <c r="V888" s="1828"/>
    </row>
    <row r="889" spans="1:22" ht="22.5" customHeight="1" thickTop="1" thickBot="1">
      <c r="A889" s="1772"/>
      <c r="B889" s="1773"/>
      <c r="C889" s="1773"/>
      <c r="D889" s="1773"/>
      <c r="E889" s="1773"/>
      <c r="F889" s="1773"/>
      <c r="G889" s="1773"/>
      <c r="H889" s="1773"/>
      <c r="I889" s="1773"/>
      <c r="J889" s="1773"/>
      <c r="K889" s="1776"/>
      <c r="L889" s="1774"/>
      <c r="M889" s="1774"/>
      <c r="N889" s="1774"/>
      <c r="O889" s="1774"/>
      <c r="P889" s="1828"/>
      <c r="Q889" s="1828"/>
      <c r="R889" s="1828"/>
      <c r="S889" s="1828"/>
      <c r="T889" s="1828"/>
      <c r="U889" s="1828"/>
      <c r="V889" s="1828"/>
    </row>
    <row r="890" spans="1:22" ht="22.5" customHeight="1" thickTop="1" thickBot="1">
      <c r="A890" s="1772"/>
      <c r="B890" s="1773"/>
      <c r="C890" s="1773"/>
      <c r="D890" s="1773"/>
      <c r="E890" s="1773"/>
      <c r="F890" s="1773"/>
      <c r="G890" s="1773"/>
      <c r="H890" s="1773"/>
      <c r="I890" s="1773"/>
      <c r="J890" s="1773"/>
      <c r="K890" s="1776"/>
      <c r="L890" s="1774"/>
      <c r="M890" s="1774"/>
      <c r="N890" s="1774"/>
      <c r="O890" s="1774"/>
      <c r="P890" s="1828"/>
      <c r="Q890" s="1828"/>
      <c r="R890" s="1828"/>
      <c r="S890" s="1828"/>
      <c r="T890" s="1828"/>
      <c r="U890" s="1828"/>
      <c r="V890" s="1828"/>
    </row>
    <row r="891" spans="1:22" ht="22.5" customHeight="1" thickTop="1" thickBot="1">
      <c r="A891" s="1772"/>
      <c r="B891" s="1773"/>
      <c r="C891" s="1773"/>
      <c r="D891" s="1773"/>
      <c r="E891" s="1773"/>
      <c r="F891" s="1773"/>
      <c r="G891" s="1773"/>
      <c r="H891" s="1773"/>
      <c r="I891" s="1773"/>
      <c r="J891" s="1773"/>
      <c r="K891" s="1776"/>
      <c r="L891" s="1774"/>
      <c r="M891" s="1774"/>
      <c r="N891" s="1774"/>
      <c r="O891" s="1774"/>
      <c r="P891" s="1828"/>
      <c r="Q891" s="1828"/>
      <c r="R891" s="1828"/>
      <c r="S891" s="1828"/>
      <c r="T891" s="1828"/>
      <c r="U891" s="1828"/>
      <c r="V891" s="1828"/>
    </row>
    <row r="892" spans="1:22" ht="22.5" customHeight="1" thickTop="1" thickBot="1">
      <c r="A892" s="1772"/>
      <c r="B892" s="1773"/>
      <c r="C892" s="1773"/>
      <c r="D892" s="1773"/>
      <c r="E892" s="1773"/>
      <c r="F892" s="1773"/>
      <c r="G892" s="1773"/>
      <c r="H892" s="1773"/>
      <c r="I892" s="1773"/>
      <c r="J892" s="1773"/>
      <c r="K892" s="1776"/>
      <c r="L892" s="1774"/>
      <c r="M892" s="1774"/>
      <c r="N892" s="1774"/>
      <c r="O892" s="1774"/>
      <c r="P892" s="1828"/>
      <c r="Q892" s="1828"/>
      <c r="R892" s="1828"/>
      <c r="S892" s="1828"/>
      <c r="T892" s="1828"/>
      <c r="U892" s="1828"/>
      <c r="V892" s="1828"/>
    </row>
    <row r="893" spans="1:22" ht="22.5" customHeight="1" thickTop="1" thickBot="1">
      <c r="A893" s="1772"/>
      <c r="B893" s="1773"/>
      <c r="C893" s="1773"/>
      <c r="D893" s="1773"/>
      <c r="E893" s="1773"/>
      <c r="F893" s="1773"/>
      <c r="G893" s="1773"/>
      <c r="H893" s="1773"/>
      <c r="I893" s="1773"/>
      <c r="J893" s="1773"/>
      <c r="K893" s="1776"/>
      <c r="L893" s="1774"/>
      <c r="M893" s="1774"/>
      <c r="N893" s="1774"/>
      <c r="O893" s="1774"/>
      <c r="P893" s="1828"/>
      <c r="Q893" s="1828"/>
      <c r="R893" s="1828"/>
      <c r="S893" s="1828"/>
      <c r="T893" s="1828"/>
      <c r="U893" s="1828"/>
      <c r="V893" s="1828"/>
    </row>
    <row r="894" spans="1:22" ht="22.5" customHeight="1" thickTop="1" thickBot="1">
      <c r="A894" s="1772"/>
      <c r="B894" s="1773"/>
      <c r="C894" s="1773"/>
      <c r="D894" s="1773"/>
      <c r="E894" s="1773"/>
      <c r="F894" s="1773"/>
      <c r="G894" s="1773"/>
      <c r="H894" s="1773"/>
      <c r="I894" s="1773"/>
      <c r="J894" s="1773"/>
      <c r="K894" s="1776"/>
      <c r="L894" s="1774"/>
      <c r="M894" s="1774"/>
      <c r="N894" s="1774"/>
      <c r="O894" s="1774"/>
      <c r="P894" s="1828"/>
      <c r="Q894" s="1828"/>
      <c r="R894" s="1828"/>
      <c r="S894" s="1828"/>
      <c r="T894" s="1828"/>
      <c r="U894" s="1828"/>
      <c r="V894" s="1828"/>
    </row>
    <row r="895" spans="1:22" ht="22.5" customHeight="1" thickTop="1" thickBot="1">
      <c r="A895" s="1772"/>
      <c r="B895" s="1773"/>
      <c r="C895" s="1773"/>
      <c r="D895" s="1773"/>
      <c r="E895" s="1773"/>
      <c r="F895" s="1773"/>
      <c r="G895" s="1773"/>
      <c r="H895" s="1773"/>
      <c r="I895" s="1773"/>
      <c r="J895" s="1773"/>
      <c r="K895" s="1776"/>
      <c r="L895" s="1774"/>
      <c r="M895" s="1774"/>
      <c r="N895" s="1774"/>
      <c r="O895" s="1774"/>
      <c r="P895" s="1828"/>
      <c r="Q895" s="1828"/>
      <c r="R895" s="1828"/>
      <c r="S895" s="1828"/>
      <c r="T895" s="1828"/>
      <c r="U895" s="1828"/>
      <c r="V895" s="1828"/>
    </row>
    <row r="896" spans="1:22" ht="22.5" customHeight="1" thickTop="1" thickBot="1">
      <c r="A896" s="1772"/>
      <c r="B896" s="1773"/>
      <c r="C896" s="1773"/>
      <c r="D896" s="1773"/>
      <c r="E896" s="1773"/>
      <c r="F896" s="1773"/>
      <c r="G896" s="1773"/>
      <c r="H896" s="1773"/>
      <c r="I896" s="1773"/>
      <c r="J896" s="1773"/>
      <c r="K896" s="1776"/>
      <c r="L896" s="1774"/>
      <c r="M896" s="1774"/>
      <c r="N896" s="1774"/>
      <c r="O896" s="1774"/>
      <c r="P896" s="1828"/>
      <c r="Q896" s="1828"/>
      <c r="R896" s="1828"/>
      <c r="S896" s="1828"/>
      <c r="T896" s="1828"/>
      <c r="U896" s="1828"/>
      <c r="V896" s="1828"/>
    </row>
    <row r="897" spans="1:22" ht="22.5" customHeight="1" thickTop="1" thickBot="1">
      <c r="A897" s="1772"/>
      <c r="B897" s="1773"/>
      <c r="C897" s="1773"/>
      <c r="D897" s="1773"/>
      <c r="E897" s="1773"/>
      <c r="F897" s="1773"/>
      <c r="G897" s="1773"/>
      <c r="H897" s="1773"/>
      <c r="I897" s="1773"/>
      <c r="J897" s="1773"/>
      <c r="K897" s="1776"/>
      <c r="L897" s="1774"/>
      <c r="M897" s="1774"/>
      <c r="N897" s="1774"/>
      <c r="O897" s="1774"/>
      <c r="P897" s="1828"/>
      <c r="Q897" s="1828"/>
      <c r="R897" s="1828"/>
      <c r="S897" s="1828"/>
      <c r="T897" s="1828"/>
      <c r="U897" s="1828"/>
      <c r="V897" s="1828"/>
    </row>
    <row r="898" spans="1:22" ht="22.5" customHeight="1" thickTop="1" thickBot="1">
      <c r="A898" s="1772"/>
      <c r="B898" s="1773"/>
      <c r="C898" s="1773"/>
      <c r="D898" s="1773"/>
      <c r="E898" s="1773"/>
      <c r="F898" s="1773"/>
      <c r="G898" s="1773"/>
      <c r="H898" s="1773"/>
      <c r="I898" s="1773"/>
      <c r="J898" s="1773"/>
      <c r="K898" s="1776"/>
      <c r="L898" s="1774"/>
      <c r="M898" s="1774"/>
      <c r="N898" s="1774"/>
      <c r="O898" s="1774"/>
      <c r="P898" s="1828"/>
      <c r="Q898" s="1828"/>
      <c r="R898" s="1828"/>
      <c r="S898" s="1828"/>
      <c r="T898" s="1828"/>
      <c r="U898" s="1828"/>
      <c r="V898" s="1828"/>
    </row>
    <row r="899" spans="1:22" ht="22.5" customHeight="1" thickTop="1" thickBot="1">
      <c r="A899" s="1772"/>
      <c r="B899" s="1773"/>
      <c r="C899" s="1773"/>
      <c r="D899" s="1773"/>
      <c r="E899" s="1773"/>
      <c r="F899" s="1773"/>
      <c r="G899" s="1773"/>
      <c r="H899" s="1773"/>
      <c r="I899" s="1773"/>
      <c r="J899" s="1773"/>
      <c r="K899" s="1776"/>
      <c r="L899" s="1774"/>
      <c r="M899" s="1774"/>
      <c r="N899" s="1774"/>
      <c r="O899" s="1774"/>
      <c r="P899" s="1828"/>
      <c r="Q899" s="1828"/>
      <c r="R899" s="1828"/>
      <c r="S899" s="1828"/>
      <c r="T899" s="1828"/>
      <c r="U899" s="1828"/>
      <c r="V899" s="1828"/>
    </row>
    <row r="900" spans="1:22" ht="22.5" customHeight="1" thickTop="1" thickBot="1">
      <c r="A900" s="1772"/>
      <c r="B900" s="1773"/>
      <c r="C900" s="1773"/>
      <c r="D900" s="1773"/>
      <c r="E900" s="1773"/>
      <c r="F900" s="1773"/>
      <c r="G900" s="1773"/>
      <c r="H900" s="1773"/>
      <c r="I900" s="1773"/>
      <c r="J900" s="1773"/>
      <c r="K900" s="1776"/>
      <c r="L900" s="1774"/>
      <c r="M900" s="1774"/>
      <c r="N900" s="1774"/>
      <c r="O900" s="1774"/>
      <c r="P900" s="1828"/>
      <c r="Q900" s="1828"/>
      <c r="R900" s="1828"/>
      <c r="S900" s="1828"/>
      <c r="T900" s="1828"/>
      <c r="U900" s="1828"/>
      <c r="V900" s="1828"/>
    </row>
    <row r="901" spans="1:22" ht="22.5" customHeight="1" thickTop="1" thickBot="1">
      <c r="A901" s="1772"/>
      <c r="B901" s="1773"/>
      <c r="C901" s="1773"/>
      <c r="D901" s="1773"/>
      <c r="E901" s="1773"/>
      <c r="F901" s="1773"/>
      <c r="G901" s="1773"/>
      <c r="H901" s="1773"/>
      <c r="I901" s="1773"/>
      <c r="J901" s="1773"/>
      <c r="K901" s="1776"/>
      <c r="L901" s="1774"/>
      <c r="M901" s="1774"/>
      <c r="N901" s="1774"/>
      <c r="O901" s="1774"/>
      <c r="P901" s="1828"/>
      <c r="Q901" s="1828"/>
      <c r="R901" s="1828"/>
      <c r="S901" s="1828"/>
      <c r="T901" s="1828"/>
      <c r="U901" s="1828"/>
      <c r="V901" s="1828"/>
    </row>
    <row r="902" spans="1:22" ht="22.5" customHeight="1" thickTop="1" thickBot="1">
      <c r="A902" s="1772"/>
      <c r="B902" s="1773"/>
      <c r="C902" s="1773"/>
      <c r="D902" s="1773"/>
      <c r="E902" s="1773"/>
      <c r="F902" s="1773"/>
      <c r="G902" s="1773"/>
      <c r="H902" s="1773"/>
      <c r="I902" s="1773"/>
      <c r="J902" s="1773"/>
      <c r="K902" s="1776"/>
      <c r="L902" s="1774"/>
      <c r="M902" s="1774"/>
      <c r="N902" s="1774"/>
      <c r="O902" s="1774"/>
      <c r="P902" s="1828"/>
      <c r="Q902" s="1828"/>
      <c r="R902" s="1828"/>
      <c r="S902" s="1828"/>
      <c r="T902" s="1828"/>
      <c r="U902" s="1828"/>
      <c r="V902" s="1828"/>
    </row>
    <row r="903" spans="1:22" ht="22.5" customHeight="1" thickTop="1" thickBot="1">
      <c r="A903" s="1772"/>
      <c r="B903" s="1773"/>
      <c r="C903" s="1773"/>
      <c r="D903" s="1773"/>
      <c r="E903" s="1773"/>
      <c r="F903" s="1773"/>
      <c r="G903" s="1773"/>
      <c r="H903" s="1773"/>
      <c r="I903" s="1773"/>
      <c r="J903" s="1773"/>
      <c r="K903" s="1776"/>
      <c r="L903" s="1774"/>
      <c r="M903" s="1774"/>
      <c r="N903" s="1774"/>
      <c r="O903" s="1774"/>
      <c r="P903" s="1828"/>
      <c r="Q903" s="1828"/>
      <c r="R903" s="1828"/>
      <c r="S903" s="1828"/>
      <c r="T903" s="1828"/>
      <c r="U903" s="1828"/>
      <c r="V903" s="1828"/>
    </row>
    <row r="904" spans="1:22" ht="22.5" customHeight="1" thickTop="1" thickBot="1">
      <c r="A904" s="1772"/>
      <c r="B904" s="1773"/>
      <c r="C904" s="1773"/>
      <c r="D904" s="1773"/>
      <c r="E904" s="1773"/>
      <c r="F904" s="1773"/>
      <c r="G904" s="1773"/>
      <c r="H904" s="1773"/>
      <c r="I904" s="1773"/>
      <c r="J904" s="1773"/>
      <c r="K904" s="1776"/>
      <c r="L904" s="1774"/>
      <c r="M904" s="1774"/>
      <c r="N904" s="1774"/>
      <c r="O904" s="1774"/>
      <c r="P904" s="1828"/>
      <c r="Q904" s="1828"/>
      <c r="R904" s="1828"/>
      <c r="S904" s="1828"/>
      <c r="T904" s="1828"/>
      <c r="U904" s="1828"/>
      <c r="V904" s="1828"/>
    </row>
    <row r="905" spans="1:22" ht="22.5" customHeight="1" thickTop="1" thickBot="1">
      <c r="A905" s="1772"/>
      <c r="B905" s="1773"/>
      <c r="C905" s="1773"/>
      <c r="D905" s="1773"/>
      <c r="E905" s="1773"/>
      <c r="F905" s="1773"/>
      <c r="G905" s="1773"/>
      <c r="H905" s="1773"/>
      <c r="I905" s="1773"/>
      <c r="J905" s="1773"/>
      <c r="K905" s="1829"/>
      <c r="L905" s="1830"/>
      <c r="M905" s="1830"/>
      <c r="N905" s="1830"/>
      <c r="O905" s="1830"/>
      <c r="P905" s="1831"/>
      <c r="Q905" s="1831"/>
      <c r="R905" s="1831"/>
      <c r="S905" s="1831"/>
      <c r="T905" s="1831"/>
      <c r="U905" s="1831"/>
      <c r="V905" s="1831"/>
    </row>
    <row r="906" spans="1:22" ht="22.5" customHeight="1" thickTop="1" thickBot="1">
      <c r="A906" s="1772"/>
      <c r="B906" s="1773"/>
      <c r="C906" s="1773"/>
      <c r="D906" s="1773"/>
      <c r="E906" s="1773"/>
      <c r="F906" s="1773"/>
      <c r="G906" s="1773"/>
      <c r="H906" s="1773"/>
      <c r="I906" s="1773"/>
      <c r="J906" s="1773"/>
      <c r="K906" s="1776"/>
      <c r="L906" s="1830"/>
      <c r="M906" s="1830"/>
      <c r="N906" s="1830"/>
      <c r="O906" s="1830"/>
      <c r="P906" s="1832"/>
      <c r="Q906" s="1832"/>
      <c r="R906" s="1832"/>
      <c r="S906" s="1832"/>
      <c r="T906" s="1832"/>
      <c r="U906" s="1832"/>
      <c r="V906" s="1832"/>
    </row>
    <row r="907" spans="1:22" ht="22.5" customHeight="1" thickTop="1" thickBot="1">
      <c r="A907" s="1772"/>
      <c r="B907" s="1773"/>
      <c r="C907" s="1773"/>
      <c r="D907" s="1773"/>
      <c r="E907" s="1773"/>
      <c r="F907" s="1773"/>
      <c r="G907" s="1773"/>
      <c r="H907" s="1773"/>
      <c r="I907" s="1773"/>
      <c r="J907" s="1773"/>
      <c r="K907" s="1776"/>
      <c r="L907" s="1830"/>
      <c r="M907" s="1830"/>
      <c r="N907" s="1830"/>
      <c r="O907" s="1830"/>
      <c r="P907" s="1832"/>
      <c r="Q907" s="1832"/>
      <c r="R907" s="1832"/>
      <c r="S907" s="1832"/>
      <c r="T907" s="1832"/>
      <c r="U907" s="1832"/>
      <c r="V907" s="1832"/>
    </row>
    <row r="908" spans="1:22" ht="22.5" customHeight="1" thickTop="1" thickBot="1">
      <c r="A908" s="1772"/>
      <c r="B908" s="1773"/>
      <c r="C908" s="1773"/>
      <c r="D908" s="1773"/>
      <c r="E908" s="1773"/>
      <c r="F908" s="1773"/>
      <c r="G908" s="1773"/>
      <c r="H908" s="1773"/>
      <c r="I908" s="1773"/>
      <c r="J908" s="1773"/>
      <c r="K908" s="1776"/>
      <c r="L908" s="1830"/>
      <c r="M908" s="1830"/>
      <c r="N908" s="1830"/>
      <c r="O908" s="1830"/>
      <c r="P908" s="1832"/>
      <c r="Q908" s="1832"/>
      <c r="R908" s="1832"/>
      <c r="S908" s="1832"/>
      <c r="T908" s="1832"/>
      <c r="U908" s="1832"/>
      <c r="V908" s="1832"/>
    </row>
    <row r="909" spans="1:22" ht="22.5" customHeight="1" thickTop="1" thickBot="1">
      <c r="A909" s="1772"/>
      <c r="B909" s="1773"/>
      <c r="C909" s="1773"/>
      <c r="D909" s="1773"/>
      <c r="E909" s="1773"/>
      <c r="F909" s="1773"/>
      <c r="G909" s="1773"/>
      <c r="H909" s="1773"/>
      <c r="I909" s="1773"/>
      <c r="J909" s="1773"/>
      <c r="K909" s="1776"/>
      <c r="L909" s="1830"/>
      <c r="M909" s="1830"/>
      <c r="N909" s="1830"/>
      <c r="O909" s="1830"/>
      <c r="P909" s="1832"/>
      <c r="Q909" s="1832"/>
      <c r="R909" s="1832"/>
      <c r="S909" s="1832"/>
      <c r="T909" s="1832"/>
      <c r="U909" s="1832"/>
      <c r="V909" s="1832"/>
    </row>
    <row r="910" spans="1:22" ht="22.5" customHeight="1" thickTop="1" thickBot="1">
      <c r="A910" s="1772"/>
      <c r="B910" s="1773"/>
      <c r="C910" s="1773"/>
      <c r="D910" s="1773"/>
      <c r="E910" s="1773"/>
      <c r="F910" s="1773"/>
      <c r="G910" s="1773"/>
      <c r="H910" s="1773"/>
      <c r="I910" s="1773"/>
      <c r="J910" s="1773"/>
      <c r="K910" s="1776"/>
      <c r="L910" s="1830"/>
      <c r="M910" s="1830"/>
      <c r="N910" s="1830"/>
      <c r="O910" s="1830"/>
      <c r="P910" s="1832"/>
      <c r="Q910" s="1832"/>
      <c r="R910" s="1832"/>
      <c r="S910" s="1832"/>
      <c r="T910" s="1832"/>
      <c r="U910" s="1832"/>
      <c r="V910" s="1832"/>
    </row>
    <row r="911" spans="1:22" ht="22.5" customHeight="1" thickTop="1" thickBot="1">
      <c r="A911" s="1772"/>
      <c r="B911" s="1773"/>
      <c r="C911" s="1773"/>
      <c r="D911" s="1773"/>
      <c r="E911" s="1773"/>
      <c r="F911" s="1773"/>
      <c r="G911" s="1773"/>
      <c r="H911" s="1773"/>
      <c r="I911" s="1773"/>
      <c r="J911" s="1773"/>
      <c r="K911" s="1776"/>
      <c r="L911" s="1830"/>
      <c r="M911" s="1830"/>
      <c r="N911" s="1830"/>
      <c r="O911" s="1830"/>
      <c r="P911" s="1832"/>
      <c r="Q911" s="1832"/>
      <c r="R911" s="1832"/>
      <c r="S911" s="1832"/>
      <c r="T911" s="1832"/>
      <c r="U911" s="1832"/>
      <c r="V911" s="1832"/>
    </row>
    <row r="912" spans="1:22" ht="22.5" customHeight="1" thickTop="1" thickBot="1">
      <c r="A912" s="1772"/>
      <c r="B912" s="1773"/>
      <c r="C912" s="1773"/>
      <c r="D912" s="1773"/>
      <c r="E912" s="1773"/>
      <c r="F912" s="1773"/>
      <c r="G912" s="1773"/>
      <c r="H912" s="1773"/>
      <c r="I912" s="1773"/>
      <c r="J912" s="1773"/>
      <c r="K912" s="1776"/>
      <c r="L912" s="1830"/>
      <c r="M912" s="1830"/>
      <c r="N912" s="1830"/>
      <c r="O912" s="1830"/>
      <c r="P912" s="1832"/>
      <c r="Q912" s="1832"/>
      <c r="R912" s="1832"/>
      <c r="S912" s="1832"/>
      <c r="T912" s="1832"/>
      <c r="U912" s="1832"/>
      <c r="V912" s="1832"/>
    </row>
    <row r="913" spans="1:22" ht="22.5" customHeight="1" thickTop="1" thickBot="1">
      <c r="A913" s="1772"/>
      <c r="B913" s="1773"/>
      <c r="C913" s="1773"/>
      <c r="D913" s="1773"/>
      <c r="E913" s="1773"/>
      <c r="F913" s="1773"/>
      <c r="G913" s="1773"/>
      <c r="H913" s="1773"/>
      <c r="I913" s="1773"/>
      <c r="J913" s="1773"/>
      <c r="K913" s="1776"/>
      <c r="L913" s="1830"/>
      <c r="M913" s="1830"/>
      <c r="N913" s="1830"/>
      <c r="O913" s="1830"/>
      <c r="P913" s="1832"/>
      <c r="Q913" s="1832"/>
      <c r="R913" s="1832"/>
      <c r="S913" s="1832"/>
      <c r="T913" s="1832"/>
      <c r="U913" s="1832"/>
      <c r="V913" s="1832"/>
    </row>
    <row r="914" spans="1:22" ht="22.5" customHeight="1" thickTop="1" thickBot="1">
      <c r="A914" s="1772"/>
      <c r="B914" s="1773"/>
      <c r="C914" s="1773"/>
      <c r="D914" s="1773"/>
      <c r="E914" s="1773"/>
      <c r="F914" s="1773"/>
      <c r="G914" s="1773"/>
      <c r="H914" s="1773"/>
      <c r="I914" s="1773"/>
      <c r="J914" s="1773"/>
      <c r="K914" s="1776"/>
      <c r="L914" s="1830"/>
      <c r="M914" s="1830"/>
      <c r="N914" s="1830"/>
      <c r="O914" s="1830"/>
      <c r="P914" s="1832"/>
      <c r="Q914" s="1832"/>
      <c r="R914" s="1832"/>
      <c r="S914" s="1832"/>
      <c r="T914" s="1832"/>
      <c r="U914" s="1832"/>
      <c r="V914" s="1832"/>
    </row>
    <row r="915" spans="1:22" ht="22.5" customHeight="1" thickTop="1" thickBot="1">
      <c r="A915" s="1772"/>
      <c r="B915" s="1773"/>
      <c r="C915" s="1773"/>
      <c r="D915" s="1773"/>
      <c r="E915" s="1773"/>
      <c r="F915" s="1773"/>
      <c r="G915" s="1773"/>
      <c r="H915" s="1773"/>
      <c r="I915" s="1773"/>
      <c r="J915" s="1773"/>
      <c r="K915" s="1776"/>
      <c r="L915" s="1830"/>
      <c r="M915" s="1830"/>
      <c r="N915" s="1830"/>
      <c r="O915" s="1830"/>
      <c r="P915" s="1832"/>
      <c r="Q915" s="1832"/>
      <c r="R915" s="1832"/>
      <c r="S915" s="1832"/>
      <c r="T915" s="1832"/>
      <c r="U915" s="1832"/>
      <c r="V915" s="1832"/>
    </row>
    <row r="916" spans="1:22" ht="22.5" customHeight="1" thickTop="1" thickBot="1">
      <c r="A916" s="1772"/>
      <c r="B916" s="1773"/>
      <c r="C916" s="1773"/>
      <c r="D916" s="1773"/>
      <c r="E916" s="1773"/>
      <c r="F916" s="1773"/>
      <c r="G916" s="1773"/>
      <c r="H916" s="1773"/>
      <c r="I916" s="1773"/>
      <c r="J916" s="1773"/>
      <c r="K916" s="1776"/>
      <c r="L916" s="1830"/>
      <c r="M916" s="1830"/>
      <c r="N916" s="1830"/>
      <c r="O916" s="1830"/>
      <c r="P916" s="1832"/>
      <c r="Q916" s="1832"/>
      <c r="R916" s="1832"/>
      <c r="S916" s="1832"/>
      <c r="T916" s="1832"/>
      <c r="U916" s="1832"/>
      <c r="V916" s="1832"/>
    </row>
    <row r="917" spans="1:22" ht="22.5" customHeight="1" thickTop="1" thickBot="1">
      <c r="A917" s="1772"/>
      <c r="B917" s="1773"/>
      <c r="C917" s="1773"/>
      <c r="D917" s="1773"/>
      <c r="E917" s="1773"/>
      <c r="F917" s="1773"/>
      <c r="G917" s="1773"/>
      <c r="H917" s="1773"/>
      <c r="I917" s="1773"/>
      <c r="J917" s="1773"/>
      <c r="K917" s="1776"/>
      <c r="L917" s="1830"/>
      <c r="M917" s="1830"/>
      <c r="N917" s="1830"/>
      <c r="O917" s="1830"/>
      <c r="P917" s="1832"/>
      <c r="Q917" s="1832"/>
      <c r="R917" s="1832"/>
      <c r="S917" s="1832"/>
      <c r="T917" s="1832"/>
      <c r="U917" s="1832"/>
      <c r="V917" s="1832"/>
    </row>
    <row r="918" spans="1:22" ht="22.5" customHeight="1" thickTop="1" thickBot="1">
      <c r="A918" s="1772"/>
      <c r="B918" s="1773"/>
      <c r="C918" s="1773"/>
      <c r="D918" s="1773"/>
      <c r="E918" s="1773"/>
      <c r="F918" s="1773"/>
      <c r="G918" s="1773"/>
      <c r="H918" s="1773"/>
      <c r="I918" s="1773"/>
      <c r="J918" s="1773"/>
      <c r="K918" s="1776"/>
      <c r="L918" s="1830"/>
      <c r="M918" s="1830"/>
      <c r="N918" s="1830"/>
      <c r="O918" s="1830"/>
      <c r="P918" s="1832"/>
      <c r="Q918" s="1832"/>
      <c r="R918" s="1832"/>
      <c r="S918" s="1832"/>
      <c r="T918" s="1832"/>
      <c r="U918" s="1832"/>
      <c r="V918" s="1832"/>
    </row>
    <row r="919" spans="1:22" ht="22.5" customHeight="1" thickTop="1" thickBot="1">
      <c r="A919" s="1772"/>
      <c r="B919" s="1773"/>
      <c r="C919" s="1773"/>
      <c r="D919" s="1773"/>
      <c r="E919" s="1773"/>
      <c r="F919" s="1773"/>
      <c r="G919" s="1773"/>
      <c r="H919" s="1773"/>
      <c r="I919" s="1773"/>
      <c r="J919" s="1773"/>
      <c r="K919" s="1776"/>
      <c r="L919" s="1830"/>
      <c r="M919" s="1830"/>
      <c r="N919" s="1830"/>
      <c r="O919" s="1830"/>
      <c r="P919" s="1832"/>
      <c r="Q919" s="1832"/>
      <c r="R919" s="1832"/>
      <c r="S919" s="1832"/>
      <c r="T919" s="1832"/>
      <c r="U919" s="1832"/>
      <c r="V919" s="1832"/>
    </row>
    <row r="920" spans="1:22" ht="22.5" customHeight="1" thickTop="1" thickBot="1">
      <c r="A920" s="1772"/>
      <c r="B920" s="1773"/>
      <c r="C920" s="1773"/>
      <c r="D920" s="1773"/>
      <c r="E920" s="1773"/>
      <c r="F920" s="1773"/>
      <c r="G920" s="1773"/>
      <c r="H920" s="1773"/>
      <c r="I920" s="1773"/>
      <c r="J920" s="1773"/>
      <c r="K920" s="1776"/>
      <c r="L920" s="1830"/>
      <c r="M920" s="1830"/>
      <c r="N920" s="1830"/>
      <c r="O920" s="1830"/>
      <c r="P920" s="1832"/>
      <c r="Q920" s="1832"/>
      <c r="R920" s="1832"/>
      <c r="S920" s="1832"/>
      <c r="T920" s="1832"/>
      <c r="U920" s="1832"/>
      <c r="V920" s="1832"/>
    </row>
    <row r="921" spans="1:22" ht="22.5" customHeight="1" thickTop="1" thickBot="1">
      <c r="A921" s="1772"/>
      <c r="B921" s="1773"/>
      <c r="C921" s="1773"/>
      <c r="D921" s="1773"/>
      <c r="E921" s="1773"/>
      <c r="F921" s="1773"/>
      <c r="G921" s="1773"/>
      <c r="H921" s="1773"/>
      <c r="I921" s="1773"/>
      <c r="J921" s="1773"/>
      <c r="K921" s="1776"/>
      <c r="L921" s="1830"/>
      <c r="M921" s="1830"/>
      <c r="N921" s="1830"/>
      <c r="O921" s="1830"/>
      <c r="P921" s="1832"/>
      <c r="Q921" s="1832"/>
      <c r="R921" s="1832"/>
      <c r="S921" s="1832"/>
      <c r="T921" s="1832"/>
      <c r="U921" s="1832"/>
      <c r="V921" s="1832"/>
    </row>
    <row r="922" spans="1:22" ht="22.5" customHeight="1" thickTop="1" thickBot="1">
      <c r="A922" s="1772"/>
      <c r="B922" s="1773"/>
      <c r="C922" s="1773"/>
      <c r="D922" s="1773"/>
      <c r="E922" s="1773"/>
      <c r="F922" s="1773"/>
      <c r="G922" s="1773"/>
      <c r="H922" s="1773"/>
      <c r="I922" s="1773"/>
      <c r="J922" s="1773"/>
      <c r="K922" s="1776"/>
      <c r="L922" s="1830"/>
      <c r="M922" s="1830"/>
      <c r="N922" s="1830"/>
      <c r="O922" s="1830"/>
      <c r="P922" s="1832"/>
      <c r="Q922" s="1832"/>
      <c r="R922" s="1832"/>
      <c r="S922" s="1832"/>
      <c r="T922" s="1832"/>
      <c r="U922" s="1832"/>
      <c r="V922" s="1832"/>
    </row>
    <row r="923" spans="1:22" ht="22.5" customHeight="1" thickTop="1" thickBot="1">
      <c r="A923" s="1772"/>
      <c r="B923" s="1773"/>
      <c r="C923" s="1773"/>
      <c r="D923" s="1773"/>
      <c r="E923" s="1773"/>
      <c r="F923" s="1773"/>
      <c r="G923" s="1773"/>
      <c r="H923" s="1773"/>
      <c r="I923" s="1773"/>
      <c r="J923" s="1773"/>
      <c r="K923" s="1776"/>
      <c r="L923" s="1830"/>
      <c r="M923" s="1830"/>
      <c r="N923" s="1830"/>
      <c r="O923" s="1830"/>
      <c r="P923" s="1832"/>
      <c r="Q923" s="1832"/>
      <c r="R923" s="1832"/>
      <c r="S923" s="1832"/>
      <c r="T923" s="1832"/>
      <c r="U923" s="1832"/>
      <c r="V923" s="1832"/>
    </row>
    <row r="924" spans="1:22" ht="22.5" customHeight="1" thickTop="1" thickBot="1">
      <c r="A924" s="1772"/>
      <c r="B924" s="1773"/>
      <c r="C924" s="1773"/>
      <c r="D924" s="1773"/>
      <c r="E924" s="1773"/>
      <c r="F924" s="1773"/>
      <c r="G924" s="1773"/>
      <c r="H924" s="1773"/>
      <c r="I924" s="1773"/>
      <c r="J924" s="1773"/>
      <c r="K924" s="1776"/>
      <c r="L924" s="1830"/>
      <c r="M924" s="1830"/>
      <c r="N924" s="1830"/>
      <c r="O924" s="1830"/>
      <c r="P924" s="1832"/>
      <c r="Q924" s="1832"/>
      <c r="R924" s="1832"/>
      <c r="S924" s="1832"/>
      <c r="T924" s="1832"/>
      <c r="U924" s="1832"/>
      <c r="V924" s="1832"/>
    </row>
    <row r="925" spans="1:22" ht="22.5" customHeight="1" thickTop="1" thickBot="1">
      <c r="A925" s="1772"/>
      <c r="B925" s="1773"/>
      <c r="C925" s="1773"/>
      <c r="D925" s="1773"/>
      <c r="E925" s="1773"/>
      <c r="F925" s="1773"/>
      <c r="G925" s="1773"/>
      <c r="H925" s="1773"/>
      <c r="I925" s="1773"/>
      <c r="J925" s="1773"/>
      <c r="K925" s="1776"/>
      <c r="L925" s="1830"/>
      <c r="M925" s="1830"/>
      <c r="N925" s="1830"/>
      <c r="O925" s="1830"/>
      <c r="P925" s="1832"/>
      <c r="Q925" s="1832"/>
      <c r="R925" s="1832"/>
      <c r="S925" s="1832"/>
      <c r="T925" s="1832"/>
      <c r="U925" s="1832"/>
      <c r="V925" s="1832"/>
    </row>
    <row r="926" spans="1:22" ht="22.5" customHeight="1" thickTop="1" thickBot="1">
      <c r="A926" s="1772"/>
      <c r="B926" s="1773"/>
      <c r="C926" s="1773"/>
      <c r="D926" s="1773"/>
      <c r="E926" s="1773"/>
      <c r="F926" s="1773"/>
      <c r="G926" s="1773"/>
      <c r="H926" s="1773"/>
      <c r="I926" s="1773"/>
      <c r="J926" s="1773"/>
      <c r="K926" s="1776"/>
      <c r="L926" s="1830"/>
      <c r="M926" s="1830"/>
      <c r="N926" s="1830"/>
      <c r="O926" s="1830"/>
      <c r="P926" s="1832"/>
      <c r="Q926" s="1832"/>
      <c r="R926" s="1832"/>
      <c r="S926" s="1832"/>
      <c r="T926" s="1832"/>
      <c r="U926" s="1832"/>
      <c r="V926" s="1832"/>
    </row>
    <row r="927" spans="1:22" ht="22.5" customHeight="1" thickTop="1" thickBot="1">
      <c r="A927" s="1772"/>
      <c r="B927" s="1773"/>
      <c r="C927" s="1773"/>
      <c r="D927" s="1773"/>
      <c r="E927" s="1773"/>
      <c r="F927" s="1773"/>
      <c r="G927" s="1773"/>
      <c r="H927" s="1773"/>
      <c r="I927" s="1773"/>
      <c r="J927" s="1773"/>
      <c r="K927" s="1776"/>
      <c r="L927" s="1830"/>
      <c r="M927" s="1830"/>
      <c r="N927" s="1830"/>
      <c r="O927" s="1830"/>
      <c r="P927" s="1832"/>
      <c r="Q927" s="1832"/>
      <c r="R927" s="1832"/>
      <c r="S927" s="1832"/>
      <c r="T927" s="1832"/>
      <c r="U927" s="1832"/>
      <c r="V927" s="1832"/>
    </row>
    <row r="928" spans="1:22" ht="22.5" customHeight="1" thickTop="1" thickBot="1">
      <c r="A928" s="1772"/>
      <c r="B928" s="1773"/>
      <c r="C928" s="1773"/>
      <c r="D928" s="1773"/>
      <c r="E928" s="1773"/>
      <c r="F928" s="1773"/>
      <c r="G928" s="1773"/>
      <c r="H928" s="1773"/>
      <c r="I928" s="1773"/>
      <c r="J928" s="1773"/>
      <c r="K928" s="1776"/>
      <c r="L928" s="1830"/>
      <c r="M928" s="1830"/>
      <c r="N928" s="1830"/>
      <c r="O928" s="1830"/>
      <c r="P928" s="1832"/>
      <c r="Q928" s="1832"/>
      <c r="R928" s="1832"/>
      <c r="S928" s="1832"/>
      <c r="T928" s="1832"/>
      <c r="U928" s="1832"/>
      <c r="V928" s="1832"/>
    </row>
    <row r="929" spans="1:22" ht="22.5" customHeight="1" thickTop="1" thickBot="1">
      <c r="A929" s="1772"/>
      <c r="B929" s="1773"/>
      <c r="C929" s="1773"/>
      <c r="D929" s="1773"/>
      <c r="E929" s="1773"/>
      <c r="F929" s="1773"/>
      <c r="G929" s="1773"/>
      <c r="H929" s="1773"/>
      <c r="I929" s="1773"/>
      <c r="J929" s="1773"/>
      <c r="K929" s="1776"/>
      <c r="L929" s="1830"/>
      <c r="M929" s="1830"/>
      <c r="N929" s="1830"/>
      <c r="O929" s="1830"/>
      <c r="P929" s="1832"/>
      <c r="Q929" s="1832"/>
      <c r="R929" s="1832"/>
      <c r="S929" s="1832"/>
      <c r="T929" s="1832"/>
      <c r="U929" s="1832"/>
      <c r="V929" s="1832"/>
    </row>
    <row r="930" spans="1:22" ht="22.5" customHeight="1" thickTop="1" thickBot="1">
      <c r="A930" s="1772"/>
      <c r="B930" s="1773"/>
      <c r="C930" s="1773"/>
      <c r="D930" s="1773"/>
      <c r="E930" s="1773"/>
      <c r="F930" s="1773"/>
      <c r="G930" s="1773"/>
      <c r="H930" s="1773"/>
      <c r="I930" s="1773"/>
      <c r="J930" s="1773"/>
      <c r="K930" s="1776"/>
      <c r="L930" s="1830"/>
      <c r="M930" s="1830"/>
      <c r="N930" s="1830"/>
      <c r="O930" s="1830"/>
      <c r="P930" s="1832"/>
      <c r="Q930" s="1832"/>
      <c r="R930" s="1832"/>
      <c r="S930" s="1832"/>
      <c r="T930" s="1832"/>
      <c r="U930" s="1832"/>
      <c r="V930" s="1832"/>
    </row>
    <row r="931" spans="1:22" ht="22.5" customHeight="1" thickTop="1" thickBot="1">
      <c r="A931" s="1772"/>
      <c r="B931" s="1773"/>
      <c r="C931" s="1773"/>
      <c r="D931" s="1773"/>
      <c r="E931" s="1773"/>
      <c r="F931" s="1773"/>
      <c r="G931" s="1773"/>
      <c r="H931" s="1773"/>
      <c r="I931" s="1773"/>
      <c r="J931" s="1773"/>
      <c r="K931" s="1776"/>
      <c r="L931" s="1830"/>
      <c r="M931" s="1830"/>
      <c r="N931" s="1830"/>
      <c r="O931" s="1830"/>
      <c r="P931" s="1832"/>
      <c r="Q931" s="1832"/>
      <c r="R931" s="1832"/>
      <c r="S931" s="1832"/>
      <c r="T931" s="1832"/>
      <c r="U931" s="1832"/>
      <c r="V931" s="1832"/>
    </row>
    <row r="932" spans="1:22" ht="22.5" customHeight="1" thickTop="1" thickBot="1">
      <c r="A932" s="1772"/>
      <c r="B932" s="1773"/>
      <c r="C932" s="1773"/>
      <c r="D932" s="1773"/>
      <c r="E932" s="1773"/>
      <c r="F932" s="1773"/>
      <c r="G932" s="1773"/>
      <c r="H932" s="1773"/>
      <c r="I932" s="1773"/>
      <c r="J932" s="1773"/>
      <c r="K932" s="1776"/>
      <c r="L932" s="1830"/>
      <c r="M932" s="1830"/>
      <c r="N932" s="1830"/>
      <c r="O932" s="1830"/>
      <c r="P932" s="1832"/>
      <c r="Q932" s="1832"/>
      <c r="R932" s="1832"/>
      <c r="S932" s="1832"/>
      <c r="T932" s="1832"/>
      <c r="U932" s="1832"/>
      <c r="V932" s="1832"/>
    </row>
    <row r="933" spans="1:22" ht="22.5" customHeight="1" thickTop="1" thickBot="1">
      <c r="A933" s="1772"/>
      <c r="B933" s="1773"/>
      <c r="C933" s="1773"/>
      <c r="D933" s="1773"/>
      <c r="E933" s="1773"/>
      <c r="F933" s="1773"/>
      <c r="G933" s="1773"/>
      <c r="H933" s="1773"/>
      <c r="I933" s="1773"/>
      <c r="J933" s="1773"/>
      <c r="K933" s="1776"/>
      <c r="L933" s="1830"/>
      <c r="M933" s="1830"/>
      <c r="N933" s="1830"/>
      <c r="O933" s="1830"/>
      <c r="P933" s="1832"/>
      <c r="Q933" s="1832"/>
      <c r="R933" s="1832"/>
      <c r="S933" s="1832"/>
      <c r="T933" s="1832"/>
      <c r="U933" s="1832"/>
      <c r="V933" s="1832"/>
    </row>
    <row r="934" spans="1:22" ht="22.5" customHeight="1" thickTop="1" thickBot="1">
      <c r="A934" s="1772"/>
      <c r="B934" s="1773"/>
      <c r="C934" s="1773"/>
      <c r="D934" s="1773"/>
      <c r="E934" s="1773"/>
      <c r="F934" s="1773"/>
      <c r="G934" s="1773"/>
      <c r="H934" s="1773"/>
      <c r="I934" s="1773"/>
      <c r="J934" s="1773"/>
      <c r="K934" s="1776"/>
      <c r="L934" s="1830"/>
      <c r="M934" s="1830"/>
      <c r="N934" s="1830"/>
      <c r="O934" s="1830"/>
      <c r="P934" s="1832"/>
      <c r="Q934" s="1832"/>
      <c r="R934" s="1832"/>
      <c r="S934" s="1832"/>
      <c r="T934" s="1832"/>
      <c r="U934" s="1832"/>
      <c r="V934" s="1832"/>
    </row>
    <row r="935" spans="1:22" ht="22.5" customHeight="1" thickTop="1" thickBot="1">
      <c r="A935" s="1772"/>
      <c r="B935" s="1773"/>
      <c r="C935" s="1773"/>
      <c r="D935" s="1773"/>
      <c r="E935" s="1773"/>
      <c r="F935" s="1773"/>
      <c r="G935" s="1773"/>
      <c r="H935" s="1773"/>
      <c r="I935" s="1773"/>
      <c r="J935" s="1773"/>
      <c r="K935" s="1776"/>
      <c r="L935" s="1830"/>
      <c r="M935" s="1830"/>
      <c r="N935" s="1830"/>
      <c r="O935" s="1830"/>
      <c r="P935" s="1832"/>
      <c r="Q935" s="1832"/>
      <c r="R935" s="1832"/>
      <c r="S935" s="1832"/>
      <c r="T935" s="1832"/>
      <c r="U935" s="1832"/>
      <c r="V935" s="1832"/>
    </row>
    <row r="936" spans="1:22" ht="22.5" customHeight="1" thickTop="1" thickBot="1">
      <c r="A936" s="1772"/>
      <c r="B936" s="1773"/>
      <c r="C936" s="1773"/>
      <c r="D936" s="1773"/>
      <c r="E936" s="1773"/>
      <c r="F936" s="1773"/>
      <c r="G936" s="1773"/>
      <c r="H936" s="1773"/>
      <c r="I936" s="1773"/>
      <c r="J936" s="1773"/>
      <c r="K936" s="1776"/>
      <c r="L936" s="1830"/>
      <c r="M936" s="1830"/>
      <c r="N936" s="1830"/>
      <c r="O936" s="1830"/>
      <c r="P936" s="1832"/>
      <c r="Q936" s="1832"/>
      <c r="R936" s="1832"/>
      <c r="S936" s="1832"/>
      <c r="T936" s="1832"/>
      <c r="U936" s="1832"/>
      <c r="V936" s="1832"/>
    </row>
    <row r="937" spans="1:22" ht="22.5" customHeight="1" thickTop="1" thickBot="1">
      <c r="A937" s="1772"/>
      <c r="B937" s="1773"/>
      <c r="C937" s="1773"/>
      <c r="D937" s="1773"/>
      <c r="E937" s="1773"/>
      <c r="F937" s="1773"/>
      <c r="G937" s="1773"/>
      <c r="H937" s="1773"/>
      <c r="I937" s="1773"/>
      <c r="J937" s="1773"/>
      <c r="K937" s="1776"/>
      <c r="L937" s="1830"/>
      <c r="M937" s="1830"/>
      <c r="N937" s="1830"/>
      <c r="O937" s="1830"/>
      <c r="P937" s="1832"/>
      <c r="Q937" s="1832"/>
      <c r="R937" s="1832"/>
      <c r="S937" s="1832"/>
      <c r="T937" s="1832"/>
      <c r="U937" s="1832"/>
      <c r="V937" s="1832"/>
    </row>
    <row r="938" spans="1:22" ht="22.5" customHeight="1" thickTop="1" thickBot="1">
      <c r="A938" s="1772"/>
      <c r="B938" s="1773"/>
      <c r="C938" s="1773"/>
      <c r="D938" s="1773"/>
      <c r="E938" s="1773"/>
      <c r="F938" s="1773"/>
      <c r="G938" s="1773"/>
      <c r="H938" s="1773"/>
      <c r="I938" s="1773"/>
      <c r="J938" s="1773"/>
      <c r="K938" s="1776"/>
      <c r="L938" s="1830"/>
      <c r="M938" s="1830"/>
      <c r="N938" s="1830"/>
      <c r="O938" s="1830"/>
      <c r="P938" s="1832"/>
      <c r="Q938" s="1832"/>
      <c r="R938" s="1832"/>
      <c r="S938" s="1832"/>
      <c r="T938" s="1832"/>
      <c r="U938" s="1832"/>
      <c r="V938" s="1832"/>
    </row>
    <row r="939" spans="1:22" ht="22.5" customHeight="1" thickTop="1" thickBot="1">
      <c r="A939" s="1772"/>
      <c r="B939" s="1773"/>
      <c r="C939" s="1773"/>
      <c r="D939" s="1773"/>
      <c r="E939" s="1773"/>
      <c r="F939" s="1773"/>
      <c r="G939" s="1773"/>
      <c r="H939" s="1773"/>
      <c r="I939" s="1773"/>
      <c r="J939" s="1773"/>
      <c r="K939" s="1776"/>
      <c r="L939" s="1830"/>
      <c r="M939" s="1830"/>
      <c r="N939" s="1830"/>
      <c r="O939" s="1830"/>
      <c r="P939" s="1832"/>
      <c r="Q939" s="1832"/>
      <c r="R939" s="1832"/>
      <c r="S939" s="1832"/>
      <c r="T939" s="1832"/>
      <c r="U939" s="1832"/>
      <c r="V939" s="1832"/>
    </row>
    <row r="940" spans="1:22" ht="22.5" customHeight="1" thickTop="1" thickBot="1">
      <c r="A940" s="1772"/>
      <c r="B940" s="1773"/>
      <c r="C940" s="1773"/>
      <c r="D940" s="1773"/>
      <c r="E940" s="1773"/>
      <c r="F940" s="1773"/>
      <c r="G940" s="1773"/>
      <c r="H940" s="1773"/>
      <c r="I940" s="1773"/>
      <c r="J940" s="1773"/>
      <c r="K940" s="1776"/>
      <c r="L940" s="1830"/>
      <c r="M940" s="1830"/>
      <c r="N940" s="1830"/>
      <c r="O940" s="1830"/>
      <c r="P940" s="1832"/>
      <c r="Q940" s="1832"/>
      <c r="R940" s="1832"/>
      <c r="S940" s="1832"/>
      <c r="T940" s="1832"/>
      <c r="U940" s="1832"/>
      <c r="V940" s="1832"/>
    </row>
    <row r="941" spans="1:22" ht="22.5" customHeight="1" thickTop="1" thickBot="1">
      <c r="A941" s="1772"/>
      <c r="B941" s="1773"/>
      <c r="C941" s="1773"/>
      <c r="D941" s="1773"/>
      <c r="E941" s="1773"/>
      <c r="F941" s="1773"/>
      <c r="G941" s="1773"/>
      <c r="H941" s="1773"/>
      <c r="I941" s="1773"/>
      <c r="J941" s="1773"/>
      <c r="K941" s="1776"/>
      <c r="L941" s="1830"/>
      <c r="M941" s="1830"/>
      <c r="N941" s="1830"/>
      <c r="O941" s="1830"/>
      <c r="P941" s="1832"/>
      <c r="Q941" s="1832"/>
      <c r="R941" s="1832"/>
      <c r="S941" s="1832"/>
      <c r="T941" s="1832"/>
      <c r="U941" s="1832"/>
      <c r="V941" s="1832"/>
    </row>
    <row r="942" spans="1:22" ht="22.5" customHeight="1" thickTop="1" thickBot="1">
      <c r="A942" s="1772"/>
      <c r="B942" s="1773"/>
      <c r="C942" s="1773"/>
      <c r="D942" s="1773"/>
      <c r="E942" s="1773"/>
      <c r="F942" s="1773"/>
      <c r="G942" s="1773"/>
      <c r="H942" s="1773"/>
      <c r="I942" s="1773"/>
      <c r="J942" s="1773"/>
      <c r="K942" s="1776"/>
      <c r="L942" s="1830"/>
      <c r="M942" s="1830"/>
      <c r="N942" s="1830"/>
      <c r="O942" s="1830"/>
      <c r="P942" s="1832"/>
      <c r="Q942" s="1832"/>
      <c r="R942" s="1832"/>
      <c r="S942" s="1832"/>
      <c r="T942" s="1832"/>
      <c r="U942" s="1832"/>
      <c r="V942" s="1832"/>
    </row>
    <row r="943" spans="1:22" ht="22.5" customHeight="1" thickTop="1" thickBot="1">
      <c r="A943" s="1772"/>
      <c r="B943" s="1773"/>
      <c r="C943" s="1773"/>
      <c r="D943" s="1773"/>
      <c r="E943" s="1773"/>
      <c r="F943" s="1773"/>
      <c r="G943" s="1773"/>
      <c r="H943" s="1773"/>
      <c r="I943" s="1773"/>
      <c r="J943" s="1773"/>
      <c r="K943" s="1776"/>
      <c r="L943" s="1830"/>
      <c r="M943" s="1830"/>
      <c r="N943" s="1830"/>
      <c r="O943" s="1830"/>
      <c r="P943" s="1832"/>
      <c r="Q943" s="1832"/>
      <c r="R943" s="1832"/>
      <c r="S943" s="1832"/>
      <c r="T943" s="1832"/>
      <c r="U943" s="1832"/>
      <c r="V943" s="1832"/>
    </row>
    <row r="944" spans="1:22" ht="22.5" customHeight="1" thickTop="1" thickBot="1">
      <c r="A944" s="1772"/>
      <c r="B944" s="1773"/>
      <c r="C944" s="1773"/>
      <c r="D944" s="1773"/>
      <c r="E944" s="1773"/>
      <c r="F944" s="1773"/>
      <c r="G944" s="1773"/>
      <c r="H944" s="1773"/>
      <c r="I944" s="1773"/>
      <c r="J944" s="1773"/>
      <c r="K944" s="1776"/>
      <c r="L944" s="1830"/>
      <c r="M944" s="1830"/>
      <c r="N944" s="1830"/>
      <c r="O944" s="1830"/>
      <c r="P944" s="1832"/>
      <c r="Q944" s="1832"/>
      <c r="R944" s="1832"/>
      <c r="S944" s="1832"/>
      <c r="T944" s="1832"/>
      <c r="U944" s="1832"/>
      <c r="V944" s="1832"/>
    </row>
    <row r="945" spans="1:22" ht="22.5" customHeight="1" thickTop="1" thickBot="1">
      <c r="A945" s="1772"/>
      <c r="B945" s="1773"/>
      <c r="C945" s="1773"/>
      <c r="D945" s="1773"/>
      <c r="E945" s="1773"/>
      <c r="F945" s="1773"/>
      <c r="G945" s="1773"/>
      <c r="H945" s="1773"/>
      <c r="I945" s="1773"/>
      <c r="J945" s="1773"/>
      <c r="K945" s="1776"/>
      <c r="L945" s="1830"/>
      <c r="M945" s="1830"/>
      <c r="N945" s="1830"/>
      <c r="O945" s="1830"/>
      <c r="P945" s="1832"/>
      <c r="Q945" s="1832"/>
      <c r="R945" s="1832"/>
      <c r="S945" s="1832"/>
      <c r="T945" s="1832"/>
      <c r="U945" s="1832"/>
      <c r="V945" s="1832"/>
    </row>
    <row r="946" spans="1:22" ht="22.5" customHeight="1" thickTop="1" thickBot="1">
      <c r="A946" s="1772"/>
      <c r="B946" s="1773"/>
      <c r="C946" s="1773"/>
      <c r="D946" s="1773"/>
      <c r="E946" s="1773"/>
      <c r="F946" s="1773"/>
      <c r="G946" s="1773"/>
      <c r="H946" s="1773"/>
      <c r="I946" s="1773"/>
      <c r="J946" s="1773"/>
      <c r="K946" s="1776"/>
      <c r="L946" s="1830"/>
      <c r="M946" s="1830"/>
      <c r="N946" s="1830"/>
      <c r="O946" s="1830"/>
      <c r="P946" s="1832"/>
      <c r="Q946" s="1832"/>
      <c r="R946" s="1832"/>
      <c r="S946" s="1832"/>
      <c r="T946" s="1832"/>
      <c r="U946" s="1832"/>
      <c r="V946" s="1832"/>
    </row>
    <row r="947" spans="1:22" ht="22.5" customHeight="1" thickTop="1" thickBot="1">
      <c r="A947" s="1772"/>
      <c r="B947" s="1773"/>
      <c r="C947" s="1773"/>
      <c r="D947" s="1773"/>
      <c r="E947" s="1773"/>
      <c r="F947" s="1773"/>
      <c r="G947" s="1773"/>
      <c r="H947" s="1773"/>
      <c r="I947" s="1773"/>
      <c r="J947" s="1773"/>
      <c r="K947" s="1776"/>
      <c r="L947" s="1830"/>
      <c r="M947" s="1830"/>
      <c r="N947" s="1830"/>
      <c r="O947" s="1830"/>
      <c r="P947" s="1832"/>
      <c r="Q947" s="1832"/>
      <c r="R947" s="1832"/>
      <c r="S947" s="1832"/>
      <c r="T947" s="1832"/>
      <c r="U947" s="1832"/>
      <c r="V947" s="1832"/>
    </row>
    <row r="948" spans="1:22" ht="22.5" customHeight="1" thickTop="1" thickBot="1">
      <c r="A948" s="1772"/>
      <c r="B948" s="1773"/>
      <c r="C948" s="1773"/>
      <c r="D948" s="1773"/>
      <c r="E948" s="1773"/>
      <c r="F948" s="1773"/>
      <c r="G948" s="1773"/>
      <c r="H948" s="1773"/>
      <c r="I948" s="1773"/>
      <c r="J948" s="1773"/>
      <c r="K948" s="1776"/>
      <c r="L948" s="1830"/>
      <c r="M948" s="1830"/>
      <c r="N948" s="1830"/>
      <c r="O948" s="1830"/>
      <c r="P948" s="1832"/>
      <c r="Q948" s="1832"/>
      <c r="R948" s="1832"/>
      <c r="S948" s="1832"/>
      <c r="T948" s="1832"/>
      <c r="U948" s="1832"/>
      <c r="V948" s="1832"/>
    </row>
    <row r="949" spans="1:22" ht="22.5" customHeight="1" thickTop="1" thickBot="1">
      <c r="A949" s="1772"/>
      <c r="B949" s="1773"/>
      <c r="C949" s="1773"/>
      <c r="D949" s="1773"/>
      <c r="E949" s="1773"/>
      <c r="F949" s="1773"/>
      <c r="G949" s="1773"/>
      <c r="H949" s="1773"/>
      <c r="I949" s="1773"/>
      <c r="J949" s="1773"/>
      <c r="K949" s="1776"/>
      <c r="L949" s="1830"/>
      <c r="M949" s="1830"/>
      <c r="N949" s="1830"/>
      <c r="O949" s="1830"/>
      <c r="P949" s="1832"/>
      <c r="Q949" s="1832"/>
      <c r="R949" s="1832"/>
      <c r="S949" s="1832"/>
      <c r="T949" s="1832"/>
      <c r="U949" s="1832"/>
      <c r="V949" s="1832"/>
    </row>
    <row r="950" spans="1:22" ht="22.5" customHeight="1" thickTop="1" thickBot="1">
      <c r="A950" s="1772"/>
      <c r="B950" s="1773"/>
      <c r="C950" s="1773"/>
      <c r="D950" s="1773"/>
      <c r="E950" s="1773"/>
      <c r="F950" s="1773"/>
      <c r="G950" s="1773"/>
      <c r="H950" s="1773"/>
      <c r="I950" s="1773"/>
      <c r="J950" s="1773"/>
      <c r="K950" s="1776"/>
      <c r="L950" s="1830"/>
      <c r="M950" s="1830"/>
      <c r="N950" s="1830"/>
      <c r="O950" s="1830"/>
      <c r="P950" s="1832"/>
      <c r="Q950" s="1832"/>
      <c r="R950" s="1832"/>
      <c r="S950" s="1832"/>
      <c r="T950" s="1832"/>
      <c r="U950" s="1832"/>
      <c r="V950" s="1832"/>
    </row>
    <row r="951" spans="1:22" ht="22.5" customHeight="1" thickTop="1" thickBot="1">
      <c r="A951" s="1772"/>
      <c r="B951" s="1773"/>
      <c r="C951" s="1773"/>
      <c r="D951" s="1773"/>
      <c r="E951" s="1773"/>
      <c r="F951" s="1773"/>
      <c r="G951" s="1773"/>
      <c r="H951" s="1773"/>
      <c r="I951" s="1773"/>
      <c r="J951" s="1773"/>
      <c r="K951" s="1776"/>
      <c r="L951" s="1830"/>
      <c r="M951" s="1830"/>
      <c r="N951" s="1830"/>
      <c r="O951" s="1830"/>
      <c r="P951" s="1832"/>
      <c r="Q951" s="1832"/>
      <c r="R951" s="1832"/>
      <c r="S951" s="1832"/>
      <c r="T951" s="1832"/>
      <c r="U951" s="1832"/>
      <c r="V951" s="1832"/>
    </row>
    <row r="952" spans="1:22" ht="22.5" customHeight="1" thickTop="1" thickBot="1">
      <c r="A952" s="1772"/>
      <c r="B952" s="1773"/>
      <c r="C952" s="1773"/>
      <c r="D952" s="1773"/>
      <c r="E952" s="1773"/>
      <c r="F952" s="1773"/>
      <c r="G952" s="1773"/>
      <c r="H952" s="1773"/>
      <c r="I952" s="1773"/>
      <c r="J952" s="1773"/>
      <c r="K952" s="1776"/>
      <c r="L952" s="1830"/>
      <c r="M952" s="1830"/>
      <c r="N952" s="1830"/>
      <c r="O952" s="1830"/>
      <c r="P952" s="1832"/>
      <c r="Q952" s="1832"/>
      <c r="R952" s="1832"/>
      <c r="S952" s="1832"/>
      <c r="T952" s="1832"/>
      <c r="U952" s="1832"/>
      <c r="V952" s="1832"/>
    </row>
    <row r="953" spans="1:22" ht="22.5" customHeight="1" thickTop="1" thickBot="1">
      <c r="A953" s="1772"/>
      <c r="B953" s="1773"/>
      <c r="C953" s="1773"/>
      <c r="D953" s="1773"/>
      <c r="E953" s="1773"/>
      <c r="F953" s="1773"/>
      <c r="G953" s="1773"/>
      <c r="H953" s="1773"/>
      <c r="I953" s="1773"/>
      <c r="J953" s="1773"/>
      <c r="K953" s="1776"/>
      <c r="L953" s="1830"/>
      <c r="M953" s="1830"/>
      <c r="N953" s="1830"/>
      <c r="O953" s="1830"/>
      <c r="P953" s="1832"/>
      <c r="Q953" s="1832"/>
      <c r="R953" s="1832"/>
      <c r="S953" s="1832"/>
      <c r="T953" s="1832"/>
      <c r="U953" s="1832"/>
      <c r="V953" s="1832"/>
    </row>
    <row r="954" spans="1:22" ht="22.5" customHeight="1" thickTop="1" thickBot="1">
      <c r="A954" s="1772"/>
      <c r="B954" s="1773"/>
      <c r="C954" s="1773"/>
      <c r="D954" s="1773"/>
      <c r="E954" s="1773"/>
      <c r="F954" s="1773"/>
      <c r="G954" s="1773"/>
      <c r="H954" s="1773"/>
      <c r="I954" s="1773"/>
      <c r="J954" s="1773"/>
      <c r="K954" s="1776"/>
      <c r="L954" s="1830"/>
      <c r="M954" s="1830"/>
      <c r="N954" s="1830"/>
      <c r="O954" s="1830"/>
      <c r="P954" s="1832"/>
      <c r="Q954" s="1832"/>
      <c r="R954" s="1832"/>
      <c r="S954" s="1832"/>
      <c r="T954" s="1832"/>
      <c r="U954" s="1832"/>
      <c r="V954" s="1832"/>
    </row>
    <row r="955" spans="1:22" ht="22.5" customHeight="1" thickTop="1" thickBot="1">
      <c r="A955" s="1772"/>
      <c r="B955" s="1773"/>
      <c r="C955" s="1773"/>
      <c r="D955" s="1773"/>
      <c r="E955" s="1773"/>
      <c r="F955" s="1773"/>
      <c r="G955" s="1773"/>
      <c r="H955" s="1773"/>
      <c r="I955" s="1773"/>
      <c r="J955" s="1773"/>
      <c r="K955" s="1776"/>
      <c r="L955" s="1830"/>
      <c r="M955" s="1830"/>
      <c r="N955" s="1830"/>
      <c r="O955" s="1830"/>
      <c r="P955" s="1832"/>
      <c r="Q955" s="1832"/>
      <c r="R955" s="1832"/>
      <c r="S955" s="1832"/>
      <c r="T955" s="1832"/>
      <c r="U955" s="1832"/>
      <c r="V955" s="1832"/>
    </row>
    <row r="956" spans="1:22" ht="22.5" customHeight="1" thickTop="1" thickBot="1">
      <c r="A956" s="1772"/>
      <c r="B956" s="1773"/>
      <c r="C956" s="1773"/>
      <c r="D956" s="1773"/>
      <c r="E956" s="1773"/>
      <c r="F956" s="1773"/>
      <c r="G956" s="1773"/>
      <c r="H956" s="1773"/>
      <c r="I956" s="1773"/>
      <c r="J956" s="1773"/>
      <c r="K956" s="1776"/>
      <c r="L956" s="1830"/>
      <c r="M956" s="1830"/>
      <c r="N956" s="1830"/>
      <c r="O956" s="1830"/>
      <c r="P956" s="1832"/>
      <c r="Q956" s="1832"/>
      <c r="R956" s="1832"/>
      <c r="S956" s="1832"/>
      <c r="T956" s="1832"/>
      <c r="U956" s="1832"/>
      <c r="V956" s="1832"/>
    </row>
    <row r="957" spans="1:22" ht="22.5" customHeight="1" thickTop="1" thickBot="1">
      <c r="A957" s="1772"/>
      <c r="B957" s="1773"/>
      <c r="C957" s="1773"/>
      <c r="D957" s="1773"/>
      <c r="E957" s="1773"/>
      <c r="F957" s="1773"/>
      <c r="G957" s="1773"/>
      <c r="H957" s="1773"/>
      <c r="I957" s="1773"/>
      <c r="J957" s="1773"/>
      <c r="K957" s="1776"/>
      <c r="L957" s="1830"/>
      <c r="M957" s="1830"/>
      <c r="N957" s="1830"/>
      <c r="O957" s="1830"/>
      <c r="P957" s="1832"/>
      <c r="Q957" s="1832"/>
      <c r="R957" s="1832"/>
      <c r="S957" s="1832"/>
      <c r="T957" s="1832"/>
      <c r="U957" s="1832"/>
      <c r="V957" s="1832"/>
    </row>
    <row r="958" spans="1:22" ht="22.5" customHeight="1" thickTop="1" thickBot="1">
      <c r="A958" s="1772"/>
      <c r="B958" s="1773"/>
      <c r="C958" s="1773"/>
      <c r="D958" s="1773"/>
      <c r="E958" s="1773"/>
      <c r="F958" s="1773"/>
      <c r="G958" s="1773"/>
      <c r="H958" s="1773"/>
      <c r="I958" s="1773"/>
      <c r="J958" s="1773"/>
      <c r="K958" s="1776"/>
      <c r="L958" s="1830"/>
      <c r="M958" s="1830"/>
      <c r="N958" s="1830"/>
      <c r="O958" s="1830"/>
      <c r="P958" s="1832"/>
      <c r="Q958" s="1832"/>
      <c r="R958" s="1832"/>
      <c r="S958" s="1832"/>
      <c r="T958" s="1832"/>
      <c r="U958" s="1832"/>
      <c r="V958" s="1832"/>
    </row>
    <row r="959" spans="1:22" ht="22.5" customHeight="1" thickTop="1" thickBot="1">
      <c r="A959" s="1772"/>
      <c r="B959" s="1773"/>
      <c r="C959" s="1773"/>
      <c r="D959" s="1773"/>
      <c r="E959" s="1773"/>
      <c r="F959" s="1773"/>
      <c r="G959" s="1773"/>
      <c r="H959" s="1773"/>
      <c r="I959" s="1773"/>
      <c r="J959" s="1773"/>
      <c r="K959" s="1776"/>
      <c r="L959" s="1830"/>
      <c r="M959" s="1830"/>
      <c r="N959" s="1830"/>
      <c r="O959" s="1830"/>
      <c r="P959" s="1832"/>
      <c r="Q959" s="1832"/>
      <c r="R959" s="1832"/>
      <c r="S959" s="1832"/>
      <c r="T959" s="1832"/>
      <c r="U959" s="1832"/>
      <c r="V959" s="1832"/>
    </row>
    <row r="960" spans="1:22" ht="22.5" customHeight="1" thickTop="1" thickBot="1">
      <c r="A960" s="1772"/>
      <c r="B960" s="1773"/>
      <c r="C960" s="1773"/>
      <c r="D960" s="1773"/>
      <c r="E960" s="1773"/>
      <c r="F960" s="1773"/>
      <c r="G960" s="1773"/>
      <c r="H960" s="1773"/>
      <c r="I960" s="1773"/>
      <c r="J960" s="1773"/>
      <c r="K960" s="1776"/>
      <c r="L960" s="1830"/>
      <c r="M960" s="1830"/>
      <c r="N960" s="1830"/>
      <c r="O960" s="1830"/>
      <c r="P960" s="1832"/>
      <c r="Q960" s="1832"/>
      <c r="R960" s="1832"/>
      <c r="S960" s="1832"/>
      <c r="T960" s="1832"/>
      <c r="U960" s="1832"/>
      <c r="V960" s="1832"/>
    </row>
    <row r="961" spans="1:22" ht="22.5" customHeight="1" thickTop="1" thickBot="1">
      <c r="A961" s="1772"/>
      <c r="B961" s="1773"/>
      <c r="C961" s="1773"/>
      <c r="D961" s="1773"/>
      <c r="E961" s="1773"/>
      <c r="F961" s="1773"/>
      <c r="G961" s="1773"/>
      <c r="H961" s="1773"/>
      <c r="I961" s="1773"/>
      <c r="J961" s="1773"/>
      <c r="K961" s="1776"/>
      <c r="L961" s="1830"/>
      <c r="M961" s="1830"/>
      <c r="N961" s="1830"/>
      <c r="O961" s="1830"/>
      <c r="P961" s="1832"/>
      <c r="Q961" s="1832"/>
      <c r="R961" s="1832"/>
      <c r="S961" s="1832"/>
      <c r="T961" s="1832"/>
      <c r="U961" s="1832"/>
      <c r="V961" s="1832"/>
    </row>
    <row r="962" spans="1:22" ht="22.5" customHeight="1" thickTop="1" thickBot="1">
      <c r="A962" s="1772"/>
      <c r="B962" s="1773"/>
      <c r="C962" s="1773"/>
      <c r="D962" s="1773"/>
      <c r="E962" s="1773"/>
      <c r="F962" s="1773"/>
      <c r="G962" s="1773"/>
      <c r="H962" s="1773"/>
      <c r="I962" s="1773"/>
      <c r="J962" s="1773"/>
      <c r="K962" s="1776"/>
      <c r="L962" s="1830"/>
      <c r="M962" s="1830"/>
      <c r="N962" s="1830"/>
      <c r="O962" s="1830"/>
      <c r="P962" s="1832"/>
      <c r="Q962" s="1832"/>
      <c r="R962" s="1832"/>
      <c r="S962" s="1832"/>
      <c r="T962" s="1832"/>
      <c r="U962" s="1832"/>
      <c r="V962" s="1832"/>
    </row>
    <row r="963" spans="1:22" ht="22.5" customHeight="1" thickTop="1" thickBot="1">
      <c r="A963" s="1772"/>
      <c r="B963" s="1773"/>
      <c r="C963" s="1773"/>
      <c r="D963" s="1773"/>
      <c r="E963" s="1773"/>
      <c r="F963" s="1773"/>
      <c r="G963" s="1773"/>
      <c r="H963" s="1773"/>
      <c r="I963" s="1773"/>
      <c r="J963" s="1773"/>
      <c r="K963" s="1776"/>
      <c r="L963" s="1830"/>
      <c r="M963" s="1830"/>
      <c r="N963" s="1830"/>
      <c r="O963" s="1830"/>
      <c r="P963" s="1832"/>
      <c r="Q963" s="1832"/>
      <c r="R963" s="1832"/>
      <c r="S963" s="1832"/>
      <c r="T963" s="1832"/>
      <c r="U963" s="1832"/>
      <c r="V963" s="1832"/>
    </row>
    <row r="964" spans="1:22" ht="22.5" customHeight="1" thickTop="1" thickBot="1">
      <c r="A964" s="1772"/>
      <c r="B964" s="1773"/>
      <c r="C964" s="1773"/>
      <c r="D964" s="1773"/>
      <c r="E964" s="1773"/>
      <c r="F964" s="1773"/>
      <c r="G964" s="1773"/>
      <c r="H964" s="1773"/>
      <c r="I964" s="1773"/>
      <c r="J964" s="1773"/>
      <c r="K964" s="1776"/>
      <c r="L964" s="1830"/>
      <c r="M964" s="1830"/>
      <c r="N964" s="1830"/>
      <c r="O964" s="1830"/>
      <c r="P964" s="1832"/>
      <c r="Q964" s="1832"/>
      <c r="R964" s="1832"/>
      <c r="S964" s="1832"/>
      <c r="T964" s="1832"/>
      <c r="U964" s="1832"/>
      <c r="V964" s="1832"/>
    </row>
    <row r="965" spans="1:22" ht="22.5" customHeight="1" thickTop="1" thickBot="1">
      <c r="A965" s="1772"/>
      <c r="B965" s="1773"/>
      <c r="C965" s="1773"/>
      <c r="D965" s="1773"/>
      <c r="E965" s="1773"/>
      <c r="F965" s="1773"/>
      <c r="G965" s="1773"/>
      <c r="H965" s="1773"/>
      <c r="I965" s="1773"/>
      <c r="J965" s="1773"/>
      <c r="K965" s="1776"/>
      <c r="L965" s="1830"/>
      <c r="M965" s="1830"/>
      <c r="N965" s="1830"/>
      <c r="O965" s="1830"/>
      <c r="P965" s="1832"/>
      <c r="Q965" s="1832"/>
      <c r="R965" s="1832"/>
      <c r="S965" s="1832"/>
      <c r="T965" s="1832"/>
      <c r="U965" s="1832"/>
      <c r="V965" s="1832"/>
    </row>
    <row r="966" spans="1:22" ht="22.5" customHeight="1" thickTop="1" thickBot="1">
      <c r="A966" s="1772"/>
      <c r="B966" s="1773"/>
      <c r="C966" s="1773"/>
      <c r="D966" s="1773"/>
      <c r="E966" s="1773"/>
      <c r="F966" s="1773"/>
      <c r="G966" s="1773"/>
      <c r="H966" s="1773"/>
      <c r="I966" s="1773"/>
      <c r="J966" s="1773"/>
      <c r="K966" s="1776"/>
      <c r="L966" s="1830"/>
      <c r="M966" s="1830"/>
      <c r="N966" s="1830"/>
      <c r="O966" s="1830"/>
      <c r="P966" s="1832"/>
      <c r="Q966" s="1832"/>
      <c r="R966" s="1832"/>
      <c r="S966" s="1832"/>
      <c r="T966" s="1832"/>
      <c r="U966" s="1832"/>
      <c r="V966" s="1832"/>
    </row>
    <row r="967" spans="1:22" ht="22.5" customHeight="1" thickTop="1" thickBot="1">
      <c r="A967" s="1772"/>
      <c r="B967" s="1773"/>
      <c r="C967" s="1773"/>
      <c r="D967" s="1773"/>
      <c r="E967" s="1773"/>
      <c r="F967" s="1773"/>
      <c r="G967" s="1773"/>
      <c r="H967" s="1773"/>
      <c r="I967" s="1773"/>
      <c r="J967" s="1773"/>
      <c r="K967" s="1776"/>
      <c r="L967" s="1830"/>
      <c r="M967" s="1830"/>
      <c r="N967" s="1830"/>
      <c r="O967" s="1830"/>
      <c r="P967" s="1832"/>
      <c r="Q967" s="1832"/>
      <c r="R967" s="1832"/>
      <c r="S967" s="1832"/>
      <c r="T967" s="1832"/>
      <c r="U967" s="1832"/>
      <c r="V967" s="1832"/>
    </row>
    <row r="968" spans="1:22" ht="22.5" customHeight="1" thickTop="1" thickBot="1">
      <c r="A968" s="1772"/>
      <c r="B968" s="1773"/>
      <c r="C968" s="1773"/>
      <c r="D968" s="1773"/>
      <c r="E968" s="1773"/>
      <c r="F968" s="1773"/>
      <c r="G968" s="1773"/>
      <c r="H968" s="1773"/>
      <c r="I968" s="1773"/>
      <c r="J968" s="1773"/>
      <c r="K968" s="1776"/>
      <c r="L968" s="1830"/>
      <c r="M968" s="1830"/>
      <c r="N968" s="1830"/>
      <c r="O968" s="1830"/>
      <c r="P968" s="1832"/>
      <c r="Q968" s="1832"/>
      <c r="R968" s="1832"/>
      <c r="S968" s="1832"/>
      <c r="T968" s="1832"/>
      <c r="U968" s="1832"/>
      <c r="V968" s="1832"/>
    </row>
    <row r="969" spans="1:22" ht="22.5" customHeight="1" thickTop="1" thickBot="1">
      <c r="A969" s="1772"/>
      <c r="B969" s="1773"/>
      <c r="C969" s="1773"/>
      <c r="D969" s="1773"/>
      <c r="E969" s="1773"/>
      <c r="F969" s="1773"/>
      <c r="G969" s="1773"/>
      <c r="H969" s="1773"/>
      <c r="I969" s="1773"/>
      <c r="J969" s="1773"/>
      <c r="K969" s="1776"/>
      <c r="L969" s="1830"/>
      <c r="M969" s="1830"/>
      <c r="N969" s="1830"/>
      <c r="O969" s="1830"/>
      <c r="P969" s="1832"/>
      <c r="Q969" s="1832"/>
      <c r="R969" s="1832"/>
      <c r="S969" s="1832"/>
      <c r="T969" s="1832"/>
      <c r="U969" s="1832"/>
      <c r="V969" s="1832"/>
    </row>
    <row r="970" spans="1:22" ht="22.5" customHeight="1" thickTop="1" thickBot="1">
      <c r="A970" s="1772"/>
      <c r="B970" s="1773"/>
      <c r="C970" s="1773"/>
      <c r="D970" s="1773"/>
      <c r="E970" s="1773"/>
      <c r="F970" s="1773"/>
      <c r="G970" s="1773"/>
      <c r="H970" s="1773"/>
      <c r="I970" s="1773"/>
      <c r="J970" s="1773"/>
      <c r="K970" s="1776"/>
      <c r="L970" s="1830"/>
      <c r="M970" s="1830"/>
      <c r="N970" s="1830"/>
      <c r="O970" s="1830"/>
      <c r="P970" s="1832"/>
      <c r="Q970" s="1832"/>
      <c r="R970" s="1832"/>
      <c r="S970" s="1832"/>
      <c r="T970" s="1832"/>
      <c r="U970" s="1832"/>
      <c r="V970" s="1832"/>
    </row>
    <row r="971" spans="1:22" ht="22.5" customHeight="1" thickTop="1" thickBot="1">
      <c r="A971" s="1772"/>
      <c r="B971" s="1773"/>
      <c r="C971" s="1773"/>
      <c r="D971" s="1773"/>
      <c r="E971" s="1773"/>
      <c r="F971" s="1773"/>
      <c r="G971" s="1773"/>
      <c r="H971" s="1773"/>
      <c r="I971" s="1773"/>
      <c r="J971" s="1773"/>
      <c r="K971" s="1776"/>
      <c r="L971" s="1830"/>
      <c r="M971" s="1830"/>
      <c r="N971" s="1830"/>
      <c r="O971" s="1830"/>
      <c r="P971" s="1832"/>
      <c r="Q971" s="1832"/>
      <c r="R971" s="1832"/>
      <c r="S971" s="1832"/>
      <c r="T971" s="1832"/>
      <c r="U971" s="1832"/>
      <c r="V971" s="1832"/>
    </row>
    <row r="972" spans="1:22" ht="22.5" customHeight="1" thickTop="1" thickBot="1">
      <c r="A972" s="1772"/>
      <c r="B972" s="1773"/>
      <c r="C972" s="1773"/>
      <c r="D972" s="1773"/>
      <c r="E972" s="1773"/>
      <c r="F972" s="1773"/>
      <c r="G972" s="1773"/>
      <c r="H972" s="1773"/>
      <c r="I972" s="1773"/>
      <c r="J972" s="1773"/>
      <c r="K972" s="1776"/>
      <c r="L972" s="1830"/>
      <c r="M972" s="1830"/>
      <c r="N972" s="1830"/>
      <c r="O972" s="1830"/>
      <c r="P972" s="1832"/>
      <c r="Q972" s="1832"/>
      <c r="R972" s="1832"/>
      <c r="S972" s="1832"/>
      <c r="T972" s="1832"/>
      <c r="U972" s="1832"/>
      <c r="V972" s="1832"/>
    </row>
    <row r="973" spans="1:22" ht="22.5" customHeight="1" thickTop="1" thickBot="1">
      <c r="A973" s="1772"/>
      <c r="B973" s="1773"/>
      <c r="C973" s="1773"/>
      <c r="D973" s="1773"/>
      <c r="E973" s="1773"/>
      <c r="F973" s="1773"/>
      <c r="G973" s="1773"/>
      <c r="H973" s="1773"/>
      <c r="I973" s="1773"/>
      <c r="J973" s="1773"/>
      <c r="K973" s="1776"/>
      <c r="L973" s="1830"/>
      <c r="M973" s="1830"/>
      <c r="N973" s="1830"/>
      <c r="O973" s="1830"/>
      <c r="P973" s="1832"/>
      <c r="Q973" s="1832"/>
      <c r="R973" s="1832"/>
      <c r="S973" s="1832"/>
      <c r="T973" s="1832"/>
      <c r="U973" s="1832"/>
      <c r="V973" s="1832"/>
    </row>
    <row r="974" spans="1:22" ht="22.5" customHeight="1" thickTop="1" thickBot="1">
      <c r="A974" s="1772"/>
      <c r="B974" s="1773"/>
      <c r="C974" s="1773"/>
      <c r="D974" s="1773"/>
      <c r="E974" s="1773"/>
      <c r="F974" s="1773"/>
      <c r="G974" s="1773"/>
      <c r="H974" s="1773"/>
      <c r="I974" s="1773"/>
      <c r="J974" s="1773"/>
      <c r="K974" s="1776"/>
      <c r="L974" s="1830"/>
      <c r="M974" s="1830"/>
      <c r="N974" s="1830"/>
      <c r="O974" s="1830"/>
      <c r="P974" s="1832"/>
      <c r="Q974" s="1832"/>
      <c r="R974" s="1832"/>
      <c r="S974" s="1832"/>
      <c r="T974" s="1832"/>
      <c r="U974" s="1832"/>
      <c r="V974" s="1832"/>
    </row>
    <row r="975" spans="1:22" ht="22.5" customHeight="1" thickTop="1" thickBot="1">
      <c r="A975" s="1772"/>
      <c r="B975" s="1773"/>
      <c r="C975" s="1773"/>
      <c r="D975" s="1773"/>
      <c r="E975" s="1773"/>
      <c r="F975" s="1773"/>
      <c r="G975" s="1773"/>
      <c r="H975" s="1773"/>
      <c r="I975" s="1773"/>
      <c r="J975" s="1773"/>
      <c r="K975" s="1776"/>
      <c r="L975" s="1830"/>
      <c r="M975" s="1830"/>
      <c r="N975" s="1830"/>
      <c r="O975" s="1830"/>
      <c r="P975" s="1832"/>
      <c r="Q975" s="1832"/>
      <c r="R975" s="1832"/>
      <c r="S975" s="1832"/>
      <c r="T975" s="1832"/>
      <c r="U975" s="1832"/>
      <c r="V975" s="1832"/>
    </row>
    <row r="976" spans="1:22" ht="22.5" customHeight="1" thickTop="1" thickBot="1">
      <c r="A976" s="1772"/>
      <c r="B976" s="1773"/>
      <c r="C976" s="1773"/>
      <c r="D976" s="1773"/>
      <c r="E976" s="1773"/>
      <c r="F976" s="1773"/>
      <c r="G976" s="1773"/>
      <c r="H976" s="1773"/>
      <c r="I976" s="1773"/>
      <c r="J976" s="1773"/>
      <c r="K976" s="1776"/>
      <c r="L976" s="1830"/>
      <c r="M976" s="1830"/>
      <c r="N976" s="1830"/>
      <c r="O976" s="1830"/>
      <c r="P976" s="1832"/>
      <c r="Q976" s="1832"/>
      <c r="R976" s="1832"/>
      <c r="S976" s="1832"/>
      <c r="T976" s="1832"/>
      <c r="U976" s="1832"/>
      <c r="V976" s="1832"/>
    </row>
    <row r="977" spans="1:22" ht="22.5" customHeight="1" thickTop="1" thickBot="1">
      <c r="A977" s="1772"/>
      <c r="B977" s="1773"/>
      <c r="C977" s="1773"/>
      <c r="D977" s="1773"/>
      <c r="E977" s="1773"/>
      <c r="F977" s="1773"/>
      <c r="G977" s="1773"/>
      <c r="H977" s="1773"/>
      <c r="I977" s="1773"/>
      <c r="J977" s="1773"/>
      <c r="K977" s="1776"/>
      <c r="L977" s="1830"/>
      <c r="M977" s="1830"/>
      <c r="N977" s="1830"/>
      <c r="O977" s="1830"/>
      <c r="P977" s="1832"/>
      <c r="Q977" s="1832"/>
      <c r="R977" s="1832"/>
      <c r="S977" s="1832"/>
      <c r="T977" s="1832"/>
      <c r="U977" s="1832"/>
      <c r="V977" s="1832"/>
    </row>
    <row r="978" spans="1:22" ht="22.5" customHeight="1" thickTop="1" thickBot="1">
      <c r="A978" s="1772"/>
      <c r="B978" s="1773"/>
      <c r="C978" s="1773"/>
      <c r="D978" s="1773"/>
      <c r="E978" s="1773"/>
      <c r="F978" s="1773"/>
      <c r="G978" s="1773"/>
      <c r="H978" s="1773"/>
      <c r="I978" s="1773"/>
      <c r="J978" s="1773"/>
      <c r="K978" s="1776"/>
      <c r="L978" s="1830"/>
      <c r="M978" s="1830"/>
      <c r="N978" s="1830"/>
      <c r="O978" s="1830"/>
      <c r="P978" s="1832"/>
      <c r="Q978" s="1832"/>
      <c r="R978" s="1832"/>
      <c r="S978" s="1832"/>
      <c r="T978" s="1832"/>
      <c r="U978" s="1832"/>
      <c r="V978" s="1832"/>
    </row>
    <row r="979" spans="1:22" ht="22.5" customHeight="1" thickTop="1" thickBot="1">
      <c r="A979" s="1772"/>
      <c r="B979" s="1773"/>
      <c r="C979" s="1773"/>
      <c r="D979" s="1773"/>
      <c r="E979" s="1773"/>
      <c r="F979" s="1773"/>
      <c r="G979" s="1773"/>
      <c r="H979" s="1773"/>
      <c r="I979" s="1773"/>
      <c r="J979" s="1773"/>
      <c r="K979" s="1776"/>
      <c r="L979" s="1830"/>
      <c r="M979" s="1830"/>
      <c r="N979" s="1830"/>
      <c r="O979" s="1830"/>
      <c r="P979" s="1832"/>
      <c r="Q979" s="1832"/>
      <c r="R979" s="1832"/>
      <c r="S979" s="1832"/>
      <c r="T979" s="1832"/>
      <c r="U979" s="1832"/>
      <c r="V979" s="1832"/>
    </row>
    <row r="980" spans="1:22" ht="22.5" customHeight="1" thickTop="1" thickBot="1">
      <c r="A980" s="1772"/>
      <c r="B980" s="1773"/>
      <c r="C980" s="1773"/>
      <c r="D980" s="1773"/>
      <c r="E980" s="1773"/>
      <c r="F980" s="1773"/>
      <c r="G980" s="1773"/>
      <c r="H980" s="1773"/>
      <c r="I980" s="1773"/>
      <c r="J980" s="1773"/>
      <c r="K980" s="1776"/>
      <c r="L980" s="1830"/>
      <c r="M980" s="1830"/>
      <c r="N980" s="1830"/>
      <c r="O980" s="1830"/>
      <c r="P980" s="1832"/>
      <c r="Q980" s="1832"/>
      <c r="R980" s="1832"/>
      <c r="S980" s="1832"/>
      <c r="T980" s="1832"/>
      <c r="U980" s="1832"/>
      <c r="V980" s="1832"/>
    </row>
    <row r="981" spans="1:22" ht="22.5" customHeight="1" thickTop="1" thickBot="1">
      <c r="A981" s="1772"/>
      <c r="B981" s="1773"/>
      <c r="C981" s="1773"/>
      <c r="D981" s="1773"/>
      <c r="E981" s="1773"/>
      <c r="F981" s="1773"/>
      <c r="G981" s="1773"/>
      <c r="H981" s="1773"/>
      <c r="I981" s="1773"/>
      <c r="J981" s="1773"/>
      <c r="K981" s="1776"/>
      <c r="L981" s="1830"/>
      <c r="M981" s="1830"/>
      <c r="N981" s="1830"/>
      <c r="O981" s="1830"/>
      <c r="P981" s="1832"/>
      <c r="Q981" s="1832"/>
      <c r="R981" s="1832"/>
      <c r="S981" s="1832"/>
      <c r="T981" s="1832"/>
      <c r="U981" s="1832"/>
      <c r="V981" s="1832"/>
    </row>
    <row r="982" spans="1:22" ht="22.5" customHeight="1" thickTop="1" thickBot="1">
      <c r="A982" s="1772"/>
      <c r="B982" s="1773"/>
      <c r="C982" s="1773"/>
      <c r="D982" s="1773"/>
      <c r="E982" s="1773"/>
      <c r="F982" s="1773"/>
      <c r="G982" s="1773"/>
      <c r="H982" s="1773"/>
      <c r="I982" s="1773"/>
      <c r="J982" s="1773"/>
      <c r="K982" s="1776"/>
      <c r="L982" s="1830"/>
      <c r="M982" s="1830"/>
      <c r="N982" s="1830"/>
      <c r="O982" s="1830"/>
      <c r="P982" s="1832"/>
      <c r="Q982" s="1832"/>
      <c r="R982" s="1832"/>
      <c r="S982" s="1832"/>
      <c r="T982" s="1832"/>
      <c r="U982" s="1832"/>
      <c r="V982" s="1832"/>
    </row>
    <row r="983" spans="1:22" ht="22.5" customHeight="1" thickTop="1" thickBot="1">
      <c r="A983" s="1772"/>
      <c r="B983" s="1773"/>
      <c r="C983" s="1773"/>
      <c r="D983" s="1773"/>
      <c r="E983" s="1773"/>
      <c r="F983" s="1773"/>
      <c r="G983" s="1773"/>
      <c r="H983" s="1773"/>
      <c r="I983" s="1773"/>
      <c r="J983" s="1773"/>
      <c r="K983" s="1776"/>
      <c r="L983" s="1830"/>
      <c r="M983" s="1830"/>
      <c r="N983" s="1830"/>
      <c r="O983" s="1830"/>
      <c r="P983" s="1832"/>
      <c r="Q983" s="1832"/>
      <c r="R983" s="1832"/>
      <c r="S983" s="1832"/>
      <c r="T983" s="1832"/>
      <c r="U983" s="1832"/>
      <c r="V983" s="1832"/>
    </row>
    <row r="984" spans="1:22" ht="22.5" customHeight="1" thickTop="1" thickBot="1">
      <c r="A984" s="1772"/>
      <c r="B984" s="1773"/>
      <c r="C984" s="1773"/>
      <c r="D984" s="1773"/>
      <c r="E984" s="1773"/>
      <c r="F984" s="1773"/>
      <c r="G984" s="1773"/>
      <c r="H984" s="1773"/>
      <c r="I984" s="1773"/>
      <c r="J984" s="1773"/>
      <c r="K984" s="1776"/>
      <c r="L984" s="1830"/>
      <c r="M984" s="1830"/>
      <c r="N984" s="1830"/>
      <c r="O984" s="1830"/>
      <c r="P984" s="1832"/>
      <c r="Q984" s="1832"/>
      <c r="R984" s="1832"/>
      <c r="S984" s="1832"/>
      <c r="T984" s="1832"/>
      <c r="U984" s="1832"/>
      <c r="V984" s="1832"/>
    </row>
    <row r="985" spans="1:22" ht="22.5" customHeight="1" thickTop="1" thickBot="1">
      <c r="A985" s="1772"/>
      <c r="B985" s="1773"/>
      <c r="C985" s="1773"/>
      <c r="D985" s="1773"/>
      <c r="E985" s="1773"/>
      <c r="F985" s="1773"/>
      <c r="G985" s="1773"/>
      <c r="H985" s="1773"/>
      <c r="I985" s="1773"/>
      <c r="J985" s="1773"/>
      <c r="K985" s="1776"/>
      <c r="L985" s="1830"/>
      <c r="M985" s="1830"/>
      <c r="N985" s="1830"/>
      <c r="O985" s="1830"/>
      <c r="P985" s="1832"/>
      <c r="Q985" s="1832"/>
      <c r="R985" s="1832"/>
      <c r="S985" s="1832"/>
      <c r="T985" s="1832"/>
      <c r="U985" s="1832"/>
      <c r="V985" s="1832"/>
    </row>
    <row r="986" spans="1:22" ht="22.5" customHeight="1" thickTop="1" thickBot="1">
      <c r="A986" s="1772"/>
      <c r="B986" s="1773"/>
      <c r="C986" s="1773"/>
      <c r="D986" s="1773"/>
      <c r="E986" s="1773"/>
      <c r="F986" s="1773"/>
      <c r="G986" s="1773"/>
      <c r="H986" s="1773"/>
      <c r="I986" s="1773"/>
      <c r="J986" s="1773"/>
      <c r="K986" s="1776"/>
      <c r="L986" s="1830"/>
      <c r="M986" s="1830"/>
      <c r="N986" s="1830"/>
      <c r="O986" s="1830"/>
      <c r="P986" s="1832"/>
      <c r="Q986" s="1832"/>
      <c r="R986" s="1832"/>
      <c r="S986" s="1832"/>
      <c r="T986" s="1832"/>
      <c r="U986" s="1832"/>
      <c r="V986" s="1832"/>
    </row>
    <row r="987" spans="1:22" ht="22.5" customHeight="1" thickTop="1" thickBot="1">
      <c r="A987" s="1772"/>
      <c r="B987" s="1773"/>
      <c r="C987" s="1773"/>
      <c r="D987" s="1773"/>
      <c r="E987" s="1773"/>
      <c r="F987" s="1773"/>
      <c r="G987" s="1773"/>
      <c r="H987" s="1773"/>
      <c r="I987" s="1773"/>
      <c r="J987" s="1773"/>
      <c r="K987" s="1776"/>
      <c r="L987" s="1830"/>
      <c r="M987" s="1830"/>
      <c r="N987" s="1830"/>
      <c r="O987" s="1830"/>
      <c r="P987" s="1832"/>
      <c r="Q987" s="1832"/>
      <c r="R987" s="1832"/>
      <c r="S987" s="1832"/>
      <c r="T987" s="1832"/>
      <c r="U987" s="1832"/>
      <c r="V987" s="1832"/>
    </row>
    <row r="988" spans="1:22" ht="22.5" customHeight="1" thickTop="1" thickBot="1">
      <c r="A988" s="1772"/>
      <c r="B988" s="1773"/>
      <c r="C988" s="1773"/>
      <c r="D988" s="1773"/>
      <c r="E988" s="1773"/>
      <c r="F988" s="1773"/>
      <c r="G988" s="1773"/>
      <c r="H988" s="1773"/>
      <c r="I988" s="1773"/>
      <c r="J988" s="1773"/>
      <c r="K988" s="1776"/>
      <c r="L988" s="1830"/>
      <c r="M988" s="1830"/>
      <c r="N988" s="1830"/>
      <c r="O988" s="1830"/>
      <c r="P988" s="1832"/>
      <c r="Q988" s="1832"/>
      <c r="R988" s="1832"/>
      <c r="S988" s="1832"/>
      <c r="T988" s="1832"/>
      <c r="U988" s="1832"/>
      <c r="V988" s="1832"/>
    </row>
    <row r="989" spans="1:22" ht="22.5" customHeight="1" thickTop="1" thickBot="1">
      <c r="A989" s="1772"/>
      <c r="B989" s="1773"/>
      <c r="C989" s="1773"/>
      <c r="D989" s="1773"/>
      <c r="E989" s="1773"/>
      <c r="F989" s="1773"/>
      <c r="G989" s="1773"/>
      <c r="H989" s="1773"/>
      <c r="I989" s="1773"/>
      <c r="J989" s="1773"/>
      <c r="K989" s="1776"/>
      <c r="L989" s="1830"/>
      <c r="M989" s="1830"/>
      <c r="N989" s="1830"/>
      <c r="O989" s="1830"/>
      <c r="P989" s="1832"/>
      <c r="Q989" s="1832"/>
      <c r="R989" s="1832"/>
      <c r="S989" s="1832"/>
      <c r="T989" s="1832"/>
      <c r="U989" s="1832"/>
      <c r="V989" s="1832"/>
    </row>
    <row r="990" spans="1:22" ht="22.5" customHeight="1" thickTop="1" thickBot="1">
      <c r="A990" s="1772"/>
      <c r="B990" s="1773"/>
      <c r="C990" s="1773"/>
      <c r="D990" s="1773"/>
      <c r="E990" s="1773"/>
      <c r="F990" s="1773"/>
      <c r="G990" s="1773"/>
      <c r="H990" s="1773"/>
      <c r="I990" s="1773"/>
      <c r="J990" s="1773"/>
      <c r="K990" s="1776"/>
      <c r="L990" s="1830"/>
      <c r="M990" s="1830"/>
      <c r="N990" s="1830"/>
      <c r="O990" s="1830"/>
      <c r="P990" s="1832"/>
      <c r="Q990" s="1832"/>
      <c r="R990" s="1832"/>
      <c r="S990" s="1832"/>
      <c r="T990" s="1832"/>
      <c r="U990" s="1832"/>
      <c r="V990" s="1832"/>
    </row>
    <row r="991" spans="1:22" ht="22.5" customHeight="1" thickTop="1" thickBot="1">
      <c r="A991" s="1772"/>
      <c r="B991" s="1773"/>
      <c r="C991" s="1773"/>
      <c r="D991" s="1773"/>
      <c r="E991" s="1773"/>
      <c r="F991" s="1773"/>
      <c r="G991" s="1773"/>
      <c r="H991" s="1773"/>
      <c r="I991" s="1773"/>
      <c r="J991" s="1773"/>
      <c r="K991" s="1776"/>
      <c r="L991" s="1830"/>
      <c r="M991" s="1830"/>
      <c r="N991" s="1830"/>
      <c r="O991" s="1830"/>
      <c r="P991" s="1832"/>
      <c r="Q991" s="1832"/>
      <c r="R991" s="1832"/>
      <c r="S991" s="1832"/>
      <c r="T991" s="1832"/>
      <c r="U991" s="1832"/>
      <c r="V991" s="1832"/>
    </row>
    <row r="992" spans="1:22" ht="22.5" customHeight="1" thickTop="1" thickBot="1">
      <c r="A992" s="1772"/>
      <c r="B992" s="1773"/>
      <c r="C992" s="1773"/>
      <c r="D992" s="1773"/>
      <c r="E992" s="1773"/>
      <c r="F992" s="1773"/>
      <c r="G992" s="1773"/>
      <c r="H992" s="1773"/>
      <c r="I992" s="1773"/>
      <c r="J992" s="1773"/>
      <c r="K992" s="1776"/>
      <c r="L992" s="1830"/>
      <c r="M992" s="1830"/>
      <c r="N992" s="1830"/>
      <c r="O992" s="1830"/>
      <c r="P992" s="1832"/>
      <c r="Q992" s="1832"/>
      <c r="R992" s="1832"/>
      <c r="S992" s="1832"/>
      <c r="T992" s="1832"/>
      <c r="U992" s="1832"/>
      <c r="V992" s="1832"/>
    </row>
    <row r="993" spans="1:22" ht="22.5" customHeight="1" thickTop="1" thickBot="1">
      <c r="A993" s="1772"/>
      <c r="B993" s="1773"/>
      <c r="C993" s="1773"/>
      <c r="D993" s="1773"/>
      <c r="E993" s="1773"/>
      <c r="F993" s="1773"/>
      <c r="G993" s="1773"/>
      <c r="H993" s="1773"/>
      <c r="I993" s="1773"/>
      <c r="J993" s="1773"/>
      <c r="K993" s="1776"/>
      <c r="L993" s="1830"/>
      <c r="M993" s="1830"/>
      <c r="N993" s="1830"/>
      <c r="O993" s="1830"/>
      <c r="P993" s="1832"/>
      <c r="Q993" s="1832"/>
      <c r="R993" s="1832"/>
      <c r="S993" s="1832"/>
      <c r="T993" s="1832"/>
      <c r="U993" s="1832"/>
      <c r="V993" s="1832"/>
    </row>
    <row r="994" spans="1:22" ht="22.5" customHeight="1" thickTop="1" thickBot="1">
      <c r="A994" s="1772"/>
      <c r="B994" s="1773"/>
      <c r="C994" s="1773"/>
      <c r="D994" s="1773"/>
      <c r="E994" s="1773"/>
      <c r="F994" s="1773"/>
      <c r="G994" s="1773"/>
      <c r="H994" s="1773"/>
      <c r="I994" s="1773"/>
      <c r="J994" s="1773"/>
      <c r="K994" s="1776"/>
      <c r="L994" s="1830"/>
      <c r="M994" s="1830"/>
      <c r="N994" s="1830"/>
      <c r="O994" s="1830"/>
      <c r="P994" s="1832"/>
      <c r="Q994" s="1832"/>
      <c r="R994" s="1832"/>
      <c r="S994" s="1832"/>
      <c r="T994" s="1832"/>
      <c r="U994" s="1832"/>
      <c r="V994" s="1832"/>
    </row>
    <row r="995" spans="1:22" ht="22.5" customHeight="1" thickTop="1" thickBot="1">
      <c r="A995" s="1772"/>
      <c r="B995" s="1773"/>
      <c r="C995" s="1773"/>
      <c r="D995" s="1773"/>
      <c r="E995" s="1773"/>
      <c r="F995" s="1773"/>
      <c r="G995" s="1773"/>
      <c r="H995" s="1773"/>
      <c r="I995" s="1773"/>
      <c r="J995" s="1773"/>
      <c r="K995" s="1776"/>
      <c r="L995" s="1830"/>
      <c r="M995" s="1830"/>
      <c r="N995" s="1830"/>
      <c r="O995" s="1830"/>
      <c r="P995" s="1832"/>
      <c r="Q995" s="1832"/>
      <c r="R995" s="1832"/>
      <c r="S995" s="1832"/>
      <c r="T995" s="1832"/>
      <c r="U995" s="1832"/>
      <c r="V995" s="1832"/>
    </row>
    <row r="996" spans="1:22" ht="22.5" customHeight="1" thickTop="1" thickBot="1">
      <c r="A996" s="1772"/>
      <c r="B996" s="1773"/>
      <c r="C996" s="1773"/>
      <c r="D996" s="1773"/>
      <c r="E996" s="1773"/>
      <c r="F996" s="1773"/>
      <c r="G996" s="1773"/>
      <c r="H996" s="1773"/>
      <c r="I996" s="1773"/>
      <c r="J996" s="1773"/>
      <c r="K996" s="1776"/>
      <c r="L996" s="1830"/>
      <c r="M996" s="1830"/>
      <c r="N996" s="1830"/>
      <c r="O996" s="1830"/>
      <c r="P996" s="1832"/>
      <c r="Q996" s="1832"/>
      <c r="R996" s="1832"/>
      <c r="S996" s="1832"/>
      <c r="T996" s="1832"/>
      <c r="U996" s="1832"/>
      <c r="V996" s="1832"/>
    </row>
    <row r="997" spans="1:22" ht="22.5" customHeight="1" thickTop="1" thickBot="1">
      <c r="A997" s="1772"/>
      <c r="B997" s="1773"/>
      <c r="C997" s="1773"/>
      <c r="D997" s="1773"/>
      <c r="E997" s="1773"/>
      <c r="F997" s="1773"/>
      <c r="G997" s="1773"/>
      <c r="H997" s="1773"/>
      <c r="I997" s="1773"/>
      <c r="J997" s="1773"/>
      <c r="K997" s="1776"/>
      <c r="L997" s="1830"/>
      <c r="M997" s="1830"/>
      <c r="N997" s="1830"/>
      <c r="O997" s="1830"/>
      <c r="P997" s="1832"/>
      <c r="Q997" s="1832"/>
      <c r="R997" s="1832"/>
      <c r="S997" s="1832"/>
      <c r="T997" s="1832"/>
      <c r="U997" s="1832"/>
      <c r="V997" s="1832"/>
    </row>
    <row r="998" spans="1:22" ht="22.5" customHeight="1" thickTop="1" thickBot="1">
      <c r="A998" s="1772"/>
      <c r="B998" s="1773"/>
      <c r="C998" s="1773"/>
      <c r="D998" s="1773"/>
      <c r="E998" s="1773"/>
      <c r="F998" s="1773"/>
      <c r="G998" s="1773"/>
      <c r="H998" s="1773"/>
      <c r="I998" s="1773"/>
      <c r="J998" s="1773"/>
      <c r="K998" s="1776"/>
      <c r="L998" s="1830"/>
      <c r="M998" s="1830"/>
      <c r="N998" s="1830"/>
      <c r="O998" s="1830"/>
      <c r="P998" s="1832"/>
      <c r="Q998" s="1832"/>
      <c r="R998" s="1832"/>
      <c r="S998" s="1832"/>
      <c r="T998" s="1832"/>
      <c r="U998" s="1832"/>
      <c r="V998" s="1832"/>
    </row>
    <row r="999" spans="1:22" ht="22.5" customHeight="1" thickTop="1" thickBot="1">
      <c r="A999" s="1772"/>
      <c r="B999" s="1773"/>
      <c r="C999" s="1773"/>
      <c r="D999" s="1773"/>
      <c r="E999" s="1773"/>
      <c r="F999" s="1773"/>
      <c r="G999" s="1773"/>
      <c r="H999" s="1773"/>
      <c r="I999" s="1773"/>
      <c r="J999" s="1773"/>
      <c r="K999" s="1776"/>
      <c r="L999" s="1830"/>
      <c r="M999" s="1830"/>
      <c r="N999" s="1830"/>
      <c r="O999" s="1830"/>
      <c r="P999" s="1832"/>
      <c r="Q999" s="1832"/>
      <c r="R999" s="1832"/>
      <c r="S999" s="1832"/>
      <c r="T999" s="1832"/>
      <c r="U999" s="1832"/>
      <c r="V999" s="1832"/>
    </row>
    <row r="1000" spans="1:22" ht="22.5" customHeight="1" thickTop="1" thickBot="1">
      <c r="A1000" s="1772"/>
      <c r="B1000" s="1773"/>
      <c r="C1000" s="1773"/>
      <c r="D1000" s="1773"/>
      <c r="E1000" s="1773"/>
      <c r="F1000" s="1773"/>
      <c r="G1000" s="1773"/>
      <c r="H1000" s="1773"/>
      <c r="I1000" s="1773"/>
      <c r="J1000" s="1773"/>
      <c r="K1000" s="1776"/>
      <c r="L1000" s="1830"/>
      <c r="M1000" s="1830"/>
      <c r="N1000" s="1830"/>
      <c r="O1000" s="1830"/>
      <c r="P1000" s="1832"/>
      <c r="Q1000" s="1832"/>
      <c r="R1000" s="1832"/>
      <c r="S1000" s="1832"/>
      <c r="T1000" s="1832"/>
      <c r="U1000" s="1832"/>
      <c r="V1000" s="1832"/>
    </row>
    <row r="1001" spans="1:22" ht="22.5" customHeight="1" thickTop="1" thickBot="1">
      <c r="A1001" s="1772"/>
      <c r="B1001" s="1773"/>
      <c r="C1001" s="1773"/>
      <c r="D1001" s="1773"/>
      <c r="E1001" s="1773"/>
      <c r="F1001" s="1773"/>
      <c r="G1001" s="1773"/>
      <c r="H1001" s="1773"/>
      <c r="I1001" s="1773"/>
      <c r="J1001" s="1773"/>
      <c r="K1001" s="1776"/>
      <c r="L1001" s="1830"/>
      <c r="M1001" s="1830"/>
      <c r="N1001" s="1830"/>
      <c r="O1001" s="1830"/>
      <c r="P1001" s="1832"/>
      <c r="Q1001" s="1832"/>
      <c r="R1001" s="1832"/>
      <c r="S1001" s="1832"/>
      <c r="T1001" s="1832"/>
      <c r="U1001" s="1832"/>
      <c r="V1001" s="1832"/>
    </row>
    <row r="1002" spans="1:22" ht="22.5" customHeight="1" thickTop="1" thickBot="1">
      <c r="A1002" s="1772"/>
      <c r="B1002" s="1773"/>
      <c r="C1002" s="1773"/>
      <c r="D1002" s="1773"/>
      <c r="E1002" s="1773"/>
      <c r="F1002" s="1773"/>
      <c r="G1002" s="1773"/>
      <c r="H1002" s="1773"/>
      <c r="I1002" s="1773"/>
      <c r="J1002" s="1773"/>
      <c r="K1002" s="1776"/>
      <c r="L1002" s="1830"/>
      <c r="M1002" s="1830"/>
      <c r="N1002" s="1830"/>
      <c r="O1002" s="1830"/>
      <c r="P1002" s="1832"/>
      <c r="Q1002" s="1832"/>
      <c r="R1002" s="1832"/>
      <c r="S1002" s="1832"/>
      <c r="T1002" s="1832"/>
      <c r="U1002" s="1832"/>
      <c r="V1002" s="1832"/>
    </row>
    <row r="1003" spans="1:22" ht="22.5" customHeight="1" thickTop="1" thickBot="1">
      <c r="A1003" s="1772"/>
      <c r="B1003" s="1773"/>
      <c r="C1003" s="1773"/>
      <c r="D1003" s="1773"/>
      <c r="E1003" s="1773"/>
      <c r="F1003" s="1773"/>
      <c r="G1003" s="1773"/>
      <c r="H1003" s="1773"/>
      <c r="I1003" s="1773"/>
      <c r="J1003" s="1773"/>
      <c r="K1003" s="1776"/>
      <c r="L1003" s="1830"/>
      <c r="M1003" s="1830"/>
      <c r="N1003" s="1830"/>
      <c r="O1003" s="1830"/>
      <c r="P1003" s="1832"/>
      <c r="Q1003" s="1832"/>
      <c r="R1003" s="1832"/>
      <c r="S1003" s="1832"/>
      <c r="T1003" s="1832"/>
      <c r="U1003" s="1832"/>
      <c r="V1003" s="1832"/>
    </row>
    <row r="1004" spans="1:22" ht="22.5" customHeight="1" thickTop="1" thickBot="1">
      <c r="A1004" s="1772"/>
      <c r="B1004" s="1773"/>
      <c r="C1004" s="1773"/>
      <c r="D1004" s="1773"/>
      <c r="E1004" s="1773"/>
      <c r="F1004" s="1773"/>
      <c r="G1004" s="1773"/>
      <c r="H1004" s="1773"/>
      <c r="I1004" s="1773"/>
      <c r="J1004" s="1773"/>
      <c r="K1004" s="1776"/>
      <c r="L1004" s="1830"/>
      <c r="M1004" s="1830"/>
      <c r="N1004" s="1830"/>
      <c r="O1004" s="1830"/>
      <c r="P1004" s="1832"/>
      <c r="Q1004" s="1832"/>
      <c r="R1004" s="1832"/>
      <c r="S1004" s="1832"/>
      <c r="T1004" s="1832"/>
      <c r="U1004" s="1832"/>
      <c r="V1004" s="1832"/>
    </row>
    <row r="1005" spans="1:22" ht="22.5" customHeight="1" thickTop="1" thickBot="1">
      <c r="A1005" s="1772"/>
      <c r="B1005" s="1773"/>
      <c r="C1005" s="1773"/>
      <c r="D1005" s="1773"/>
      <c r="E1005" s="1773"/>
      <c r="F1005" s="1773"/>
      <c r="G1005" s="1773"/>
      <c r="H1005" s="1773"/>
      <c r="I1005" s="1773"/>
      <c r="J1005" s="1773"/>
      <c r="K1005" s="1776"/>
      <c r="L1005" s="1830"/>
      <c r="M1005" s="1830"/>
      <c r="N1005" s="1830"/>
      <c r="O1005" s="1830"/>
      <c r="P1005" s="1832"/>
      <c r="Q1005" s="1832"/>
      <c r="R1005" s="1832"/>
      <c r="S1005" s="1832"/>
      <c r="T1005" s="1832"/>
      <c r="U1005" s="1832"/>
      <c r="V1005" s="1832"/>
    </row>
    <row r="1006" spans="1:22" ht="22.5" customHeight="1" thickTop="1" thickBot="1">
      <c r="A1006" s="1772"/>
      <c r="B1006" s="1773"/>
      <c r="C1006" s="1773"/>
      <c r="D1006" s="1773"/>
      <c r="E1006" s="1773"/>
      <c r="F1006" s="1773"/>
      <c r="G1006" s="1773"/>
      <c r="H1006" s="1773"/>
      <c r="I1006" s="1773"/>
      <c r="J1006" s="1773"/>
      <c r="K1006" s="1776"/>
      <c r="L1006" s="1830"/>
      <c r="M1006" s="1830"/>
      <c r="N1006" s="1830"/>
      <c r="O1006" s="1830"/>
      <c r="P1006" s="1832"/>
      <c r="Q1006" s="1832"/>
      <c r="R1006" s="1832"/>
      <c r="S1006" s="1832"/>
      <c r="T1006" s="1832"/>
      <c r="U1006" s="1832"/>
      <c r="V1006" s="1832"/>
    </row>
    <row r="1007" spans="1:22" ht="22.5" customHeight="1" thickTop="1" thickBot="1">
      <c r="A1007" s="1772"/>
      <c r="B1007" s="1773"/>
      <c r="C1007" s="1773"/>
      <c r="D1007" s="1773"/>
      <c r="E1007" s="1773"/>
      <c r="F1007" s="1773"/>
      <c r="G1007" s="1773"/>
      <c r="H1007" s="1773"/>
      <c r="I1007" s="1773"/>
      <c r="J1007" s="1773"/>
      <c r="K1007" s="1776"/>
      <c r="L1007" s="1830"/>
      <c r="M1007" s="1830"/>
      <c r="N1007" s="1830"/>
      <c r="O1007" s="1830"/>
      <c r="P1007" s="1832"/>
      <c r="Q1007" s="1832"/>
      <c r="R1007" s="1832"/>
      <c r="S1007" s="1832"/>
      <c r="T1007" s="1832"/>
      <c r="U1007" s="1832"/>
      <c r="V1007" s="1832"/>
    </row>
    <row r="1008" spans="1:22" ht="22.5" customHeight="1" thickTop="1" thickBot="1">
      <c r="A1008" s="1772"/>
      <c r="B1008" s="1773"/>
      <c r="C1008" s="1773"/>
      <c r="D1008" s="1773"/>
      <c r="E1008" s="1773"/>
      <c r="F1008" s="1773"/>
      <c r="G1008" s="1773"/>
      <c r="H1008" s="1773"/>
      <c r="I1008" s="1773"/>
      <c r="J1008" s="1773"/>
      <c r="K1008" s="1776"/>
      <c r="L1008" s="1830"/>
      <c r="M1008" s="1830"/>
      <c r="N1008" s="1830"/>
      <c r="O1008" s="1830"/>
      <c r="P1008" s="1832"/>
      <c r="Q1008" s="1832"/>
      <c r="R1008" s="1832"/>
      <c r="S1008" s="1832"/>
      <c r="T1008" s="1832"/>
      <c r="U1008" s="1832"/>
      <c r="V1008" s="1832"/>
    </row>
    <row r="1009" spans="1:22" ht="22.5" customHeight="1" thickTop="1" thickBot="1">
      <c r="A1009" s="1772"/>
      <c r="B1009" s="1773"/>
      <c r="C1009" s="1773"/>
      <c r="D1009" s="1773"/>
      <c r="E1009" s="1773"/>
      <c r="F1009" s="1773"/>
      <c r="G1009" s="1773"/>
      <c r="H1009" s="1773"/>
      <c r="I1009" s="1773"/>
      <c r="J1009" s="1773"/>
      <c r="K1009" s="1776"/>
      <c r="L1009" s="1830"/>
      <c r="M1009" s="1830"/>
      <c r="N1009" s="1830"/>
      <c r="O1009" s="1830"/>
      <c r="P1009" s="1832"/>
      <c r="Q1009" s="1832"/>
      <c r="R1009" s="1832"/>
      <c r="S1009" s="1832"/>
      <c r="T1009" s="1832"/>
      <c r="U1009" s="1832"/>
      <c r="V1009" s="1832"/>
    </row>
    <row r="1010" spans="1:22" ht="22.5" customHeight="1" thickTop="1" thickBot="1">
      <c r="A1010" s="1772"/>
      <c r="B1010" s="1773"/>
      <c r="C1010" s="1773"/>
      <c r="D1010" s="1773"/>
      <c r="E1010" s="1773"/>
      <c r="F1010" s="1773"/>
      <c r="G1010" s="1773"/>
      <c r="H1010" s="1773"/>
      <c r="I1010" s="1773"/>
      <c r="J1010" s="1773"/>
      <c r="K1010" s="1776"/>
      <c r="L1010" s="1830"/>
      <c r="M1010" s="1830"/>
      <c r="N1010" s="1830"/>
      <c r="O1010" s="1830"/>
      <c r="P1010" s="1832"/>
      <c r="Q1010" s="1832"/>
      <c r="R1010" s="1832"/>
      <c r="S1010" s="1832"/>
      <c r="T1010" s="1832"/>
      <c r="U1010" s="1832"/>
      <c r="V1010" s="1832"/>
    </row>
    <row r="1011" spans="1:22" ht="22.5" customHeight="1" thickTop="1" thickBot="1">
      <c r="A1011" s="1772"/>
      <c r="B1011" s="1773"/>
      <c r="C1011" s="1773"/>
      <c r="D1011" s="1773"/>
      <c r="E1011" s="1773"/>
      <c r="F1011" s="1773"/>
      <c r="G1011" s="1773"/>
      <c r="H1011" s="1773"/>
      <c r="I1011" s="1773"/>
      <c r="J1011" s="1773"/>
      <c r="K1011" s="1776"/>
      <c r="L1011" s="1830"/>
      <c r="M1011" s="1830"/>
      <c r="N1011" s="1830"/>
      <c r="O1011" s="1830"/>
      <c r="P1011" s="1832"/>
      <c r="Q1011" s="1832"/>
      <c r="R1011" s="1832"/>
      <c r="S1011" s="1832"/>
      <c r="T1011" s="1832"/>
      <c r="U1011" s="1832"/>
      <c r="V1011" s="1832"/>
    </row>
    <row r="1012" spans="1:22" ht="22.5" customHeight="1" thickTop="1" thickBot="1">
      <c r="A1012" s="1772"/>
      <c r="B1012" s="1773"/>
      <c r="C1012" s="1773"/>
      <c r="D1012" s="1773"/>
      <c r="E1012" s="1773"/>
      <c r="F1012" s="1773"/>
      <c r="G1012" s="1773"/>
      <c r="H1012" s="1773"/>
      <c r="I1012" s="1773"/>
      <c r="J1012" s="1773"/>
      <c r="K1012" s="1776"/>
      <c r="L1012" s="1830"/>
      <c r="M1012" s="1830"/>
      <c r="N1012" s="1830"/>
      <c r="O1012" s="1830"/>
      <c r="P1012" s="1832"/>
      <c r="Q1012" s="1832"/>
      <c r="R1012" s="1832"/>
      <c r="S1012" s="1832"/>
      <c r="T1012" s="1832"/>
      <c r="U1012" s="1832"/>
      <c r="V1012" s="1832"/>
    </row>
    <row r="1013" spans="1:22" ht="22.5" customHeight="1" thickTop="1" thickBot="1">
      <c r="A1013" s="1772"/>
      <c r="B1013" s="1773"/>
      <c r="C1013" s="1773"/>
      <c r="D1013" s="1773"/>
      <c r="E1013" s="1773"/>
      <c r="F1013" s="1773"/>
      <c r="G1013" s="1773"/>
      <c r="H1013" s="1773"/>
      <c r="I1013" s="1773"/>
      <c r="J1013" s="1773"/>
      <c r="K1013" s="1776"/>
      <c r="L1013" s="1830"/>
      <c r="M1013" s="1830"/>
      <c r="N1013" s="1830"/>
      <c r="O1013" s="1830"/>
      <c r="P1013" s="1832"/>
      <c r="Q1013" s="1832"/>
      <c r="R1013" s="1832"/>
      <c r="S1013" s="1832"/>
      <c r="T1013" s="1832"/>
      <c r="U1013" s="1832"/>
      <c r="V1013" s="1832"/>
    </row>
    <row r="1014" spans="1:22" ht="22.5" customHeight="1" thickTop="1" thickBot="1">
      <c r="A1014" s="1772"/>
      <c r="B1014" s="1773"/>
      <c r="C1014" s="1773"/>
      <c r="D1014" s="1773"/>
      <c r="E1014" s="1773"/>
      <c r="F1014" s="1773"/>
      <c r="G1014" s="1773"/>
      <c r="H1014" s="1773"/>
      <c r="I1014" s="1773"/>
      <c r="J1014" s="1773"/>
      <c r="K1014" s="1776"/>
      <c r="L1014" s="1830"/>
      <c r="M1014" s="1830"/>
      <c r="N1014" s="1830"/>
      <c r="O1014" s="1830"/>
      <c r="P1014" s="1832"/>
      <c r="Q1014" s="1832"/>
      <c r="R1014" s="1832"/>
      <c r="S1014" s="1832"/>
      <c r="T1014" s="1832"/>
      <c r="U1014" s="1832"/>
      <c r="V1014" s="1832"/>
    </row>
    <row r="1015" spans="1:22" ht="22.5" customHeight="1" thickTop="1" thickBot="1">
      <c r="A1015" s="1772"/>
      <c r="B1015" s="1773"/>
      <c r="C1015" s="1773"/>
      <c r="D1015" s="1773"/>
      <c r="E1015" s="1773"/>
      <c r="F1015" s="1773"/>
      <c r="G1015" s="1773"/>
      <c r="H1015" s="1773"/>
      <c r="I1015" s="1773"/>
      <c r="J1015" s="1773"/>
      <c r="K1015" s="1776"/>
      <c r="L1015" s="1830"/>
      <c r="M1015" s="1830"/>
      <c r="N1015" s="1830"/>
      <c r="O1015" s="1830"/>
      <c r="P1015" s="1832"/>
      <c r="Q1015" s="1832"/>
      <c r="R1015" s="1832"/>
      <c r="S1015" s="1832"/>
      <c r="T1015" s="1832"/>
      <c r="U1015" s="1832"/>
      <c r="V1015" s="1832"/>
    </row>
    <row r="1016" spans="1:22" ht="22.5" customHeight="1" thickTop="1" thickBot="1">
      <c r="A1016" s="1772"/>
      <c r="B1016" s="1773"/>
      <c r="C1016" s="1773"/>
      <c r="D1016" s="1773"/>
      <c r="E1016" s="1773"/>
      <c r="F1016" s="1773"/>
      <c r="G1016" s="1773"/>
      <c r="H1016" s="1773"/>
      <c r="I1016" s="1773"/>
      <c r="J1016" s="1773"/>
      <c r="K1016" s="1776"/>
      <c r="L1016" s="1830"/>
      <c r="M1016" s="1830"/>
      <c r="N1016" s="1830"/>
      <c r="O1016" s="1830"/>
      <c r="P1016" s="1832"/>
      <c r="Q1016" s="1832"/>
      <c r="R1016" s="1832"/>
      <c r="S1016" s="1832"/>
      <c r="T1016" s="1832"/>
      <c r="U1016" s="1832"/>
      <c r="V1016" s="1832"/>
    </row>
    <row r="1017" spans="1:22" ht="22.5" customHeight="1" thickTop="1" thickBot="1">
      <c r="A1017" s="1772"/>
      <c r="B1017" s="1773"/>
      <c r="C1017" s="1773"/>
      <c r="D1017" s="1773"/>
      <c r="E1017" s="1773"/>
      <c r="F1017" s="1773"/>
      <c r="G1017" s="1773"/>
      <c r="H1017" s="1773"/>
      <c r="I1017" s="1773"/>
      <c r="J1017" s="1773"/>
      <c r="K1017" s="1776"/>
      <c r="L1017" s="1830"/>
      <c r="M1017" s="1830"/>
      <c r="N1017" s="1830"/>
      <c r="O1017" s="1830"/>
      <c r="P1017" s="1832"/>
      <c r="Q1017" s="1832"/>
      <c r="R1017" s="1832"/>
      <c r="S1017" s="1832"/>
      <c r="T1017" s="1832"/>
      <c r="U1017" s="1832"/>
      <c r="V1017" s="1832"/>
    </row>
    <row r="1018" spans="1:22" ht="22.5" customHeight="1" thickTop="1" thickBot="1">
      <c r="A1018" s="1772"/>
      <c r="B1018" s="1773"/>
      <c r="C1018" s="1773"/>
      <c r="D1018" s="1773"/>
      <c r="E1018" s="1773"/>
      <c r="F1018" s="1773"/>
      <c r="G1018" s="1773"/>
      <c r="H1018" s="1773"/>
      <c r="I1018" s="1773"/>
      <c r="J1018" s="1773"/>
      <c r="K1018" s="1776"/>
      <c r="L1018" s="1830"/>
      <c r="M1018" s="1830"/>
      <c r="N1018" s="1830"/>
      <c r="O1018" s="1830"/>
      <c r="P1018" s="1832"/>
      <c r="Q1018" s="1832"/>
      <c r="R1018" s="1832"/>
      <c r="S1018" s="1832"/>
      <c r="T1018" s="1832"/>
      <c r="U1018" s="1832"/>
      <c r="V1018" s="1832"/>
    </row>
    <row r="1019" spans="1:22" ht="22.5" customHeight="1" thickTop="1" thickBot="1">
      <c r="A1019" s="1772"/>
      <c r="B1019" s="1773"/>
      <c r="C1019" s="1773"/>
      <c r="D1019" s="1773"/>
      <c r="E1019" s="1773"/>
      <c r="F1019" s="1773"/>
      <c r="G1019" s="1773"/>
      <c r="H1019" s="1773"/>
      <c r="I1019" s="1773"/>
      <c r="J1019" s="1773"/>
      <c r="K1019" s="1776"/>
      <c r="L1019" s="1830"/>
      <c r="M1019" s="1830"/>
      <c r="N1019" s="1830"/>
      <c r="O1019" s="1830"/>
      <c r="P1019" s="1832"/>
      <c r="Q1019" s="1832"/>
      <c r="R1019" s="1832"/>
      <c r="S1019" s="1832"/>
      <c r="T1019" s="1832"/>
      <c r="U1019" s="1832"/>
      <c r="V1019" s="1832"/>
    </row>
    <row r="1020" spans="1:22" ht="22.5" customHeight="1" thickTop="1" thickBot="1">
      <c r="A1020" s="1772"/>
      <c r="B1020" s="1773"/>
      <c r="C1020" s="1773"/>
      <c r="D1020" s="1773"/>
      <c r="E1020" s="1773"/>
      <c r="F1020" s="1773"/>
      <c r="G1020" s="1773"/>
      <c r="H1020" s="1773"/>
      <c r="I1020" s="1773"/>
      <c r="J1020" s="1773"/>
      <c r="K1020" s="1776"/>
      <c r="L1020" s="1830"/>
      <c r="M1020" s="1830"/>
      <c r="N1020" s="1830"/>
      <c r="O1020" s="1830"/>
      <c r="P1020" s="1832"/>
      <c r="Q1020" s="1832"/>
      <c r="R1020" s="1832"/>
      <c r="S1020" s="1832"/>
      <c r="T1020" s="1832"/>
      <c r="U1020" s="1832"/>
      <c r="V1020" s="1832"/>
    </row>
    <row r="1021" spans="1:22" ht="22.5" customHeight="1" thickTop="1" thickBot="1">
      <c r="A1021" s="1772"/>
      <c r="B1021" s="1773"/>
      <c r="C1021" s="1773"/>
      <c r="D1021" s="1773"/>
      <c r="E1021" s="1773"/>
      <c r="F1021" s="1773"/>
      <c r="G1021" s="1773"/>
      <c r="H1021" s="1773"/>
      <c r="I1021" s="1773"/>
      <c r="J1021" s="1773"/>
      <c r="K1021" s="1776"/>
      <c r="L1021" s="1830"/>
      <c r="M1021" s="1830"/>
      <c r="N1021" s="1830"/>
      <c r="O1021" s="1830"/>
      <c r="P1021" s="1832"/>
      <c r="Q1021" s="1832"/>
      <c r="R1021" s="1832"/>
      <c r="S1021" s="1832"/>
      <c r="T1021" s="1832"/>
      <c r="U1021" s="1832"/>
      <c r="V1021" s="1832"/>
    </row>
    <row r="1022" spans="1:22" ht="22.5" customHeight="1" thickTop="1" thickBot="1">
      <c r="A1022" s="1772"/>
      <c r="B1022" s="1773"/>
      <c r="C1022" s="1773"/>
      <c r="D1022" s="1773"/>
      <c r="E1022" s="1773"/>
      <c r="F1022" s="1773"/>
      <c r="G1022" s="1773"/>
      <c r="H1022" s="1773"/>
      <c r="I1022" s="1773"/>
      <c r="J1022" s="1773"/>
      <c r="K1022" s="1776"/>
      <c r="L1022" s="1830"/>
      <c r="M1022" s="1830"/>
      <c r="N1022" s="1830"/>
      <c r="O1022" s="1830"/>
      <c r="P1022" s="1832"/>
      <c r="Q1022" s="1832"/>
      <c r="R1022" s="1832"/>
      <c r="S1022" s="1832"/>
      <c r="T1022" s="1832"/>
      <c r="U1022" s="1832"/>
      <c r="V1022" s="1832"/>
    </row>
    <row r="1023" spans="1:22" ht="22.5" customHeight="1" thickTop="1" thickBot="1">
      <c r="A1023" s="1772"/>
      <c r="B1023" s="1773"/>
      <c r="C1023" s="1773"/>
      <c r="D1023" s="1773"/>
      <c r="E1023" s="1773"/>
      <c r="F1023" s="1773"/>
      <c r="G1023" s="1773"/>
      <c r="H1023" s="1773"/>
      <c r="I1023" s="1773"/>
      <c r="J1023" s="1773"/>
      <c r="K1023" s="1776"/>
      <c r="L1023" s="1830"/>
      <c r="M1023" s="1830"/>
      <c r="N1023" s="1830"/>
      <c r="O1023" s="1830"/>
      <c r="P1023" s="1832"/>
      <c r="Q1023" s="1832"/>
      <c r="R1023" s="1832"/>
      <c r="S1023" s="1832"/>
      <c r="T1023" s="1832"/>
      <c r="U1023" s="1832"/>
      <c r="V1023" s="1832"/>
    </row>
    <row r="1024" spans="1:22" ht="22.5" customHeight="1" thickTop="1" thickBot="1">
      <c r="A1024" s="1772"/>
      <c r="B1024" s="1773"/>
      <c r="C1024" s="1773"/>
      <c r="D1024" s="1773"/>
      <c r="E1024" s="1773"/>
      <c r="F1024" s="1773"/>
      <c r="G1024" s="1773"/>
      <c r="H1024" s="1773"/>
      <c r="I1024" s="1773"/>
      <c r="J1024" s="1773"/>
      <c r="K1024" s="1776"/>
      <c r="L1024" s="1830"/>
      <c r="M1024" s="1830"/>
      <c r="N1024" s="1830"/>
      <c r="O1024" s="1830"/>
      <c r="P1024" s="1832"/>
      <c r="Q1024" s="1832"/>
      <c r="R1024" s="1832"/>
      <c r="S1024" s="1832"/>
      <c r="T1024" s="1832"/>
      <c r="U1024" s="1832"/>
      <c r="V1024" s="1832"/>
    </row>
    <row r="1025" spans="1:22" ht="22.5" customHeight="1" thickTop="1" thickBot="1">
      <c r="A1025" s="1772"/>
      <c r="B1025" s="1773"/>
      <c r="C1025" s="1773"/>
      <c r="D1025" s="1773"/>
      <c r="E1025" s="1773"/>
      <c r="F1025" s="1773"/>
      <c r="G1025" s="1773"/>
      <c r="H1025" s="1773"/>
      <c r="I1025" s="1773"/>
      <c r="J1025" s="1773"/>
      <c r="K1025" s="1776"/>
      <c r="L1025" s="1830"/>
      <c r="M1025" s="1830"/>
      <c r="N1025" s="1830"/>
      <c r="O1025" s="1830"/>
      <c r="P1025" s="1832"/>
      <c r="Q1025" s="1832"/>
      <c r="R1025" s="1832"/>
      <c r="S1025" s="1832"/>
      <c r="T1025" s="1832"/>
      <c r="U1025" s="1832"/>
      <c r="V1025" s="1832"/>
    </row>
    <row r="1026" spans="1:22" ht="22.5" customHeight="1" thickTop="1" thickBot="1">
      <c r="A1026" s="1772"/>
      <c r="B1026" s="1773"/>
      <c r="C1026" s="1773"/>
      <c r="D1026" s="1773"/>
      <c r="E1026" s="1773"/>
      <c r="F1026" s="1773"/>
      <c r="G1026" s="1773"/>
      <c r="H1026" s="1773"/>
      <c r="I1026" s="1773"/>
      <c r="J1026" s="1773"/>
      <c r="K1026" s="1776"/>
      <c r="L1026" s="1830"/>
      <c r="M1026" s="1830"/>
      <c r="N1026" s="1830"/>
      <c r="O1026" s="1830"/>
      <c r="P1026" s="1832"/>
      <c r="Q1026" s="1832"/>
      <c r="R1026" s="1832"/>
      <c r="S1026" s="1832"/>
      <c r="T1026" s="1832"/>
      <c r="U1026" s="1832"/>
      <c r="V1026" s="1832"/>
    </row>
    <row r="1027" spans="1:22" ht="22.5" customHeight="1" thickTop="1" thickBot="1">
      <c r="A1027" s="1772"/>
      <c r="B1027" s="1773"/>
      <c r="C1027" s="1773"/>
      <c r="D1027" s="1773"/>
      <c r="E1027" s="1773"/>
      <c r="F1027" s="1773"/>
      <c r="G1027" s="1773"/>
      <c r="H1027" s="1773"/>
      <c r="I1027" s="1773"/>
      <c r="J1027" s="1773"/>
      <c r="K1027" s="1776"/>
      <c r="L1027" s="1830"/>
      <c r="M1027" s="1830"/>
      <c r="N1027" s="1830"/>
      <c r="O1027" s="1830"/>
      <c r="P1027" s="1832"/>
      <c r="Q1027" s="1832"/>
      <c r="R1027" s="1832"/>
      <c r="S1027" s="1832"/>
      <c r="T1027" s="1832"/>
      <c r="U1027" s="1832"/>
      <c r="V1027" s="1832"/>
    </row>
    <row r="1028" spans="1:22" ht="22.5" customHeight="1" thickTop="1" thickBot="1">
      <c r="A1028" s="1772"/>
      <c r="B1028" s="1773"/>
      <c r="C1028" s="1773"/>
      <c r="D1028" s="1773"/>
      <c r="E1028" s="1773"/>
      <c r="F1028" s="1773"/>
      <c r="G1028" s="1773"/>
      <c r="H1028" s="1773"/>
      <c r="I1028" s="1773"/>
      <c r="J1028" s="1773"/>
      <c r="K1028" s="1776"/>
      <c r="L1028" s="1830"/>
      <c r="M1028" s="1830"/>
      <c r="N1028" s="1830"/>
      <c r="O1028" s="1830"/>
      <c r="P1028" s="1832"/>
      <c r="Q1028" s="1832"/>
      <c r="R1028" s="1832"/>
      <c r="S1028" s="1832"/>
      <c r="T1028" s="1832"/>
      <c r="U1028" s="1832"/>
      <c r="V1028" s="1832"/>
    </row>
    <row r="1029" spans="1:22" ht="22.5" customHeight="1" thickTop="1" thickBot="1">
      <c r="A1029" s="1772"/>
      <c r="B1029" s="1773"/>
      <c r="C1029" s="1773"/>
      <c r="D1029" s="1773"/>
      <c r="E1029" s="1773"/>
      <c r="F1029" s="1773"/>
      <c r="G1029" s="1773"/>
      <c r="H1029" s="1773"/>
      <c r="I1029" s="1773"/>
      <c r="J1029" s="1773"/>
      <c r="K1029" s="1776"/>
      <c r="L1029" s="1830"/>
      <c r="M1029" s="1830"/>
      <c r="N1029" s="1830"/>
      <c r="O1029" s="1830"/>
      <c r="P1029" s="1832"/>
      <c r="Q1029" s="1832"/>
      <c r="R1029" s="1832"/>
      <c r="S1029" s="1832"/>
      <c r="T1029" s="1832"/>
      <c r="U1029" s="1832"/>
      <c r="V1029" s="1832"/>
    </row>
    <row r="1030" spans="1:22" ht="22.5" customHeight="1" thickTop="1" thickBot="1">
      <c r="A1030" s="1772"/>
      <c r="B1030" s="1773"/>
      <c r="C1030" s="1773"/>
      <c r="D1030" s="1773"/>
      <c r="E1030" s="1773"/>
      <c r="F1030" s="1773"/>
      <c r="G1030" s="1773"/>
      <c r="H1030" s="1773"/>
      <c r="I1030" s="1773"/>
      <c r="J1030" s="1773"/>
      <c r="K1030" s="1776"/>
      <c r="L1030" s="1830"/>
      <c r="M1030" s="1830"/>
      <c r="N1030" s="1830"/>
      <c r="O1030" s="1830"/>
      <c r="P1030" s="1832"/>
      <c r="Q1030" s="1832"/>
      <c r="R1030" s="1832"/>
      <c r="S1030" s="1832"/>
      <c r="T1030" s="1832"/>
      <c r="U1030" s="1832"/>
      <c r="V1030" s="1832"/>
    </row>
    <row r="1031" spans="1:22" ht="22.5" customHeight="1" thickTop="1" thickBot="1">
      <c r="A1031" s="1772"/>
      <c r="B1031" s="1773"/>
      <c r="C1031" s="1773"/>
      <c r="D1031" s="1773"/>
      <c r="E1031" s="1773"/>
      <c r="F1031" s="1773"/>
      <c r="G1031" s="1773"/>
      <c r="H1031" s="1773"/>
      <c r="I1031" s="1773"/>
      <c r="J1031" s="1773"/>
      <c r="K1031" s="1776"/>
      <c r="L1031" s="1830"/>
      <c r="M1031" s="1830"/>
      <c r="N1031" s="1830"/>
      <c r="O1031" s="1830"/>
      <c r="P1031" s="1832"/>
      <c r="Q1031" s="1832"/>
      <c r="R1031" s="1832"/>
      <c r="S1031" s="1832"/>
      <c r="T1031" s="1832"/>
      <c r="U1031" s="1832"/>
      <c r="V1031" s="1832"/>
    </row>
    <row r="1032" spans="1:22" ht="36" customHeight="1" thickTop="1" thickBot="1">
      <c r="A1032" s="1833" t="s">
        <v>127</v>
      </c>
      <c r="B1032" s="1833" t="s">
        <v>134</v>
      </c>
      <c r="C1032" s="1833"/>
      <c r="D1032" s="1833"/>
      <c r="E1032" s="1833"/>
      <c r="F1032" s="1833"/>
      <c r="G1032" s="1833"/>
      <c r="H1032" s="1833"/>
      <c r="I1032" s="1834"/>
      <c r="J1032" s="1834"/>
      <c r="K1032" s="1835" t="s">
        <v>2057</v>
      </c>
      <c r="L1032" s="1836">
        <f>+L1033+L1037</f>
        <v>0</v>
      </c>
      <c r="M1032" s="1836"/>
      <c r="N1032" s="1836"/>
      <c r="O1032" s="1836"/>
      <c r="P1032" s="1837">
        <f t="shared" ref="P1032:V1032" si="894">+P1033+P1037</f>
        <v>0</v>
      </c>
      <c r="Q1032" s="1837"/>
      <c r="R1032" s="1837">
        <f t="shared" si="894"/>
        <v>0</v>
      </c>
      <c r="S1032" s="1837"/>
      <c r="T1032" s="1837">
        <f t="shared" si="894"/>
        <v>0</v>
      </c>
      <c r="U1032" s="1837"/>
      <c r="V1032" s="1837">
        <f t="shared" si="894"/>
        <v>0</v>
      </c>
    </row>
    <row r="1033" spans="1:22" ht="18.75" customHeight="1" thickTop="1" thickBot="1">
      <c r="A1033" s="1772">
        <v>1</v>
      </c>
      <c r="B1033" s="1773" t="s">
        <v>134</v>
      </c>
      <c r="C1033" s="1773" t="s">
        <v>129</v>
      </c>
      <c r="D1033" s="1773"/>
      <c r="E1033" s="1772"/>
      <c r="F1033" s="1773"/>
      <c r="G1033" s="1773"/>
      <c r="H1033" s="1773"/>
      <c r="I1033" s="1773"/>
      <c r="J1033" s="1773"/>
      <c r="K1033" s="1776" t="s">
        <v>2058</v>
      </c>
      <c r="L1033" s="1830">
        <f>SUM(L1034:L1036)</f>
        <v>0</v>
      </c>
      <c r="M1033" s="1830"/>
      <c r="N1033" s="1830"/>
      <c r="O1033" s="1830"/>
      <c r="P1033" s="1832">
        <f t="shared" ref="P1033:V1033" si="895">SUM(P1034:P1036)</f>
        <v>0</v>
      </c>
      <c r="Q1033" s="1832"/>
      <c r="R1033" s="1832">
        <f t="shared" si="895"/>
        <v>0</v>
      </c>
      <c r="S1033" s="1832"/>
      <c r="T1033" s="1832">
        <f t="shared" si="895"/>
        <v>0</v>
      </c>
      <c r="U1033" s="1832"/>
      <c r="V1033" s="1832">
        <f t="shared" si="895"/>
        <v>0</v>
      </c>
    </row>
    <row r="1034" spans="1:22" ht="18.75" customHeight="1" thickTop="1" thickBot="1">
      <c r="A1034" s="1772">
        <v>1</v>
      </c>
      <c r="B1034" s="1773" t="s">
        <v>134</v>
      </c>
      <c r="C1034" s="1773" t="s">
        <v>129</v>
      </c>
      <c r="D1034" s="1773" t="s">
        <v>129</v>
      </c>
      <c r="E1034" s="1773"/>
      <c r="F1034" s="1773"/>
      <c r="G1034" s="1773"/>
      <c r="H1034" s="1773"/>
      <c r="I1034" s="1773"/>
      <c r="J1034" s="1773"/>
      <c r="K1034" s="1776" t="s">
        <v>156</v>
      </c>
      <c r="L1034" s="1830"/>
      <c r="M1034" s="1830"/>
      <c r="N1034" s="1830"/>
      <c r="O1034" s="1830"/>
      <c r="P1034" s="1832"/>
      <c r="Q1034" s="1832"/>
      <c r="R1034" s="1832"/>
      <c r="S1034" s="1832"/>
      <c r="T1034" s="1832"/>
      <c r="U1034" s="1832"/>
      <c r="V1034" s="1832"/>
    </row>
    <row r="1035" spans="1:22" ht="18.75" customHeight="1" thickTop="1" thickBot="1">
      <c r="A1035" s="1772">
        <v>1</v>
      </c>
      <c r="B1035" s="1773" t="s">
        <v>134</v>
      </c>
      <c r="C1035" s="1773" t="s">
        <v>129</v>
      </c>
      <c r="D1035" s="1773" t="s">
        <v>134</v>
      </c>
      <c r="E1035" s="1773"/>
      <c r="F1035" s="1773"/>
      <c r="G1035" s="1773"/>
      <c r="H1035" s="1773"/>
      <c r="I1035" s="1773"/>
      <c r="J1035" s="1773"/>
      <c r="K1035" s="1776" t="s">
        <v>157</v>
      </c>
      <c r="L1035" s="1830"/>
      <c r="M1035" s="1830"/>
      <c r="N1035" s="1830"/>
      <c r="O1035" s="1830"/>
      <c r="P1035" s="1832"/>
      <c r="Q1035" s="1832"/>
      <c r="R1035" s="1832"/>
      <c r="S1035" s="1832"/>
      <c r="T1035" s="1832"/>
      <c r="U1035" s="1832"/>
      <c r="V1035" s="1832"/>
    </row>
    <row r="1036" spans="1:22" ht="18.75" customHeight="1" thickTop="1" thickBot="1">
      <c r="A1036" s="1772">
        <v>1</v>
      </c>
      <c r="B1036" s="1773" t="s">
        <v>134</v>
      </c>
      <c r="C1036" s="1773" t="s">
        <v>129</v>
      </c>
      <c r="D1036" s="1773" t="s">
        <v>139</v>
      </c>
      <c r="E1036" s="1773"/>
      <c r="F1036" s="1773"/>
      <c r="G1036" s="1773"/>
      <c r="H1036" s="1773"/>
      <c r="I1036" s="1773"/>
      <c r="J1036" s="1773"/>
      <c r="K1036" s="1776" t="s">
        <v>158</v>
      </c>
      <c r="L1036" s="1830"/>
      <c r="M1036" s="1830"/>
      <c r="N1036" s="1830"/>
      <c r="O1036" s="1830"/>
      <c r="P1036" s="1832"/>
      <c r="Q1036" s="1832"/>
      <c r="R1036" s="1832"/>
      <c r="S1036" s="1832"/>
      <c r="T1036" s="1832"/>
      <c r="U1036" s="1832"/>
      <c r="V1036" s="1832"/>
    </row>
    <row r="1037" spans="1:22" ht="18.75" customHeight="1" thickTop="1" thickBot="1">
      <c r="A1037" s="1772">
        <v>1</v>
      </c>
      <c r="B1037" s="1773" t="s">
        <v>134</v>
      </c>
      <c r="C1037" s="1773" t="s">
        <v>134</v>
      </c>
      <c r="D1037" s="1773"/>
      <c r="E1037" s="1772"/>
      <c r="F1037" s="1773"/>
      <c r="G1037" s="1773"/>
      <c r="H1037" s="1773"/>
      <c r="I1037" s="1773"/>
      <c r="J1037" s="1773"/>
      <c r="K1037" s="1776" t="s">
        <v>952</v>
      </c>
      <c r="L1037" s="1830"/>
      <c r="M1037" s="1830"/>
      <c r="N1037" s="1830"/>
      <c r="O1037" s="1830"/>
      <c r="P1037" s="1832"/>
      <c r="Q1037" s="1832"/>
      <c r="R1037" s="1832"/>
      <c r="S1037" s="1832"/>
      <c r="T1037" s="1832"/>
      <c r="U1037" s="1832"/>
      <c r="V1037" s="1832"/>
    </row>
    <row r="1038" spans="1:22" ht="36" customHeight="1" thickTop="1" thickBot="1">
      <c r="A1038" s="1833">
        <v>1</v>
      </c>
      <c r="B1038" s="1833" t="s">
        <v>139</v>
      </c>
      <c r="C1038" s="1833"/>
      <c r="D1038" s="1833"/>
      <c r="E1038" s="1833"/>
      <c r="F1038" s="1833"/>
      <c r="G1038" s="1833"/>
      <c r="H1038" s="1833"/>
      <c r="I1038" s="1834"/>
      <c r="J1038" s="1834"/>
      <c r="K1038" s="1838" t="s">
        <v>2059</v>
      </c>
      <c r="L1038" s="1836">
        <f>+L1039+L1043</f>
        <v>0</v>
      </c>
      <c r="M1038" s="1836"/>
      <c r="N1038" s="1836"/>
      <c r="O1038" s="1836"/>
      <c r="P1038" s="1837">
        <f t="shared" ref="P1038:V1038" si="896">+P1039+P1043</f>
        <v>0</v>
      </c>
      <c r="Q1038" s="1837"/>
      <c r="R1038" s="1837">
        <f t="shared" si="896"/>
        <v>0</v>
      </c>
      <c r="S1038" s="1837"/>
      <c r="T1038" s="1837">
        <f t="shared" si="896"/>
        <v>0</v>
      </c>
      <c r="U1038" s="1837"/>
      <c r="V1038" s="1837">
        <f t="shared" si="896"/>
        <v>0</v>
      </c>
    </row>
    <row r="1039" spans="1:22" ht="18.75" customHeight="1" thickTop="1" thickBot="1">
      <c r="A1039" s="1772">
        <v>1</v>
      </c>
      <c r="B1039" s="1773" t="s">
        <v>139</v>
      </c>
      <c r="C1039" s="1773" t="s">
        <v>129</v>
      </c>
      <c r="D1039" s="1773"/>
      <c r="E1039" s="1772"/>
      <c r="F1039" s="1773"/>
      <c r="G1039" s="1773"/>
      <c r="H1039" s="1773"/>
      <c r="I1039" s="1773"/>
      <c r="J1039" s="1773"/>
      <c r="K1039" s="1776" t="s">
        <v>159</v>
      </c>
      <c r="L1039" s="1830">
        <f>SUM(L1040:L1042)</f>
        <v>0</v>
      </c>
      <c r="M1039" s="1830"/>
      <c r="N1039" s="1830"/>
      <c r="O1039" s="1830"/>
      <c r="P1039" s="1832">
        <f t="shared" ref="P1039:V1039" si="897">SUM(P1040:P1042)</f>
        <v>0</v>
      </c>
      <c r="Q1039" s="1832"/>
      <c r="R1039" s="1832">
        <f t="shared" si="897"/>
        <v>0</v>
      </c>
      <c r="S1039" s="1832"/>
      <c r="T1039" s="1832">
        <f t="shared" si="897"/>
        <v>0</v>
      </c>
      <c r="U1039" s="1832"/>
      <c r="V1039" s="1832">
        <f t="shared" si="897"/>
        <v>0</v>
      </c>
    </row>
    <row r="1040" spans="1:22" ht="18.75" customHeight="1" thickTop="1" thickBot="1">
      <c r="A1040" s="1772">
        <v>1</v>
      </c>
      <c r="B1040" s="1773" t="s">
        <v>139</v>
      </c>
      <c r="C1040" s="1773" t="s">
        <v>129</v>
      </c>
      <c r="D1040" s="1773" t="s">
        <v>129</v>
      </c>
      <c r="E1040" s="1773"/>
      <c r="F1040" s="1773"/>
      <c r="G1040" s="1773"/>
      <c r="H1040" s="1773"/>
      <c r="I1040" s="1773"/>
      <c r="J1040" s="1773"/>
      <c r="K1040" s="1776" t="s">
        <v>160</v>
      </c>
      <c r="L1040" s="1830"/>
      <c r="M1040" s="1830"/>
      <c r="N1040" s="1830"/>
      <c r="O1040" s="1830"/>
      <c r="P1040" s="1832"/>
      <c r="Q1040" s="1832"/>
      <c r="R1040" s="1832"/>
      <c r="S1040" s="1832"/>
      <c r="T1040" s="1832"/>
      <c r="U1040" s="1832"/>
      <c r="V1040" s="1832"/>
    </row>
    <row r="1041" spans="1:22" ht="18.75" customHeight="1" thickTop="1" thickBot="1">
      <c r="A1041" s="1772">
        <v>1</v>
      </c>
      <c r="B1041" s="1773" t="s">
        <v>139</v>
      </c>
      <c r="C1041" s="1773" t="s">
        <v>129</v>
      </c>
      <c r="D1041" s="1773" t="s">
        <v>134</v>
      </c>
      <c r="E1041" s="1773"/>
      <c r="F1041" s="1773"/>
      <c r="G1041" s="1773"/>
      <c r="H1041" s="1773"/>
      <c r="I1041" s="1773"/>
      <c r="J1041" s="1773"/>
      <c r="K1041" s="1776" t="s">
        <v>161</v>
      </c>
      <c r="L1041" s="1830"/>
      <c r="M1041" s="1830"/>
      <c r="N1041" s="1830"/>
      <c r="O1041" s="1830"/>
      <c r="P1041" s="1832"/>
      <c r="Q1041" s="1832"/>
      <c r="R1041" s="1832"/>
      <c r="S1041" s="1832"/>
      <c r="T1041" s="1832"/>
      <c r="U1041" s="1832"/>
      <c r="V1041" s="1832"/>
    </row>
    <row r="1042" spans="1:22" ht="18.75" customHeight="1" thickTop="1" thickBot="1">
      <c r="A1042" s="1772">
        <v>1</v>
      </c>
      <c r="B1042" s="1773" t="s">
        <v>139</v>
      </c>
      <c r="C1042" s="1773" t="s">
        <v>129</v>
      </c>
      <c r="D1042" s="1773" t="s">
        <v>139</v>
      </c>
      <c r="E1042" s="1773"/>
      <c r="F1042" s="1773"/>
      <c r="G1042" s="1773"/>
      <c r="H1042" s="1773"/>
      <c r="I1042" s="1773"/>
      <c r="J1042" s="1773"/>
      <c r="K1042" s="1776" t="s">
        <v>162</v>
      </c>
      <c r="L1042" s="1830"/>
      <c r="M1042" s="1830"/>
      <c r="N1042" s="1830"/>
      <c r="O1042" s="1830"/>
      <c r="P1042" s="1832"/>
      <c r="Q1042" s="1832"/>
      <c r="R1042" s="1832"/>
      <c r="S1042" s="1832"/>
      <c r="T1042" s="1832"/>
      <c r="U1042" s="1832"/>
      <c r="V1042" s="1832"/>
    </row>
    <row r="1043" spans="1:22" ht="18.75" customHeight="1" thickTop="1" thickBot="1">
      <c r="A1043" s="1772">
        <v>1</v>
      </c>
      <c r="B1043" s="1773" t="s">
        <v>139</v>
      </c>
      <c r="C1043" s="1773" t="s">
        <v>134</v>
      </c>
      <c r="D1043" s="1773"/>
      <c r="E1043" s="1772"/>
      <c r="F1043" s="1773"/>
      <c r="G1043" s="1773"/>
      <c r="H1043" s="1773"/>
      <c r="I1043" s="1773"/>
      <c r="J1043" s="1773"/>
      <c r="K1043" s="1776" t="s">
        <v>163</v>
      </c>
      <c r="L1043" s="1830"/>
      <c r="M1043" s="1830"/>
      <c r="N1043" s="1830"/>
      <c r="O1043" s="1830"/>
      <c r="P1043" s="1832"/>
      <c r="Q1043" s="1832"/>
      <c r="R1043" s="1832"/>
      <c r="S1043" s="1832"/>
      <c r="T1043" s="1832"/>
      <c r="U1043" s="1832"/>
      <c r="V1043" s="1832"/>
    </row>
    <row r="1044" spans="1:22" ht="36" customHeight="1" thickTop="1" thickBot="1">
      <c r="A1044" s="1833">
        <v>1</v>
      </c>
      <c r="B1044" s="1833" t="s">
        <v>140</v>
      </c>
      <c r="C1044" s="1833"/>
      <c r="D1044" s="1833"/>
      <c r="E1044" s="1833"/>
      <c r="F1044" s="1833"/>
      <c r="G1044" s="1833"/>
      <c r="H1044" s="1833"/>
      <c r="I1044" s="1834"/>
      <c r="J1044" s="1834"/>
      <c r="K1044" s="1835" t="s">
        <v>164</v>
      </c>
      <c r="L1044" s="1836"/>
      <c r="M1044" s="1836"/>
      <c r="N1044" s="1836"/>
      <c r="O1044" s="1836"/>
      <c r="P1044" s="1837"/>
      <c r="Q1044" s="1837"/>
      <c r="R1044" s="1837"/>
      <c r="S1044" s="1837"/>
      <c r="T1044" s="1837"/>
      <c r="U1044" s="1837"/>
      <c r="V1044" s="1837"/>
    </row>
    <row r="1045" spans="1:22" ht="36" customHeight="1" thickTop="1" thickBot="1">
      <c r="A1045" s="1833" t="s">
        <v>127</v>
      </c>
      <c r="B1045" s="1833" t="s">
        <v>144</v>
      </c>
      <c r="C1045" s="1833"/>
      <c r="D1045" s="1833"/>
      <c r="E1045" s="1833"/>
      <c r="F1045" s="1833"/>
      <c r="G1045" s="1833"/>
      <c r="H1045" s="1833"/>
      <c r="I1045" s="1834"/>
      <c r="J1045" s="1834"/>
      <c r="K1045" s="1835" t="s">
        <v>165</v>
      </c>
      <c r="L1045" s="1836">
        <f>+L1046+L1050+L1051</f>
        <v>0</v>
      </c>
      <c r="M1045" s="1836"/>
      <c r="N1045" s="1836"/>
      <c r="O1045" s="1836"/>
      <c r="P1045" s="1837">
        <f t="shared" ref="P1045:V1045" si="898">+P1046+P1050+P1051</f>
        <v>0</v>
      </c>
      <c r="Q1045" s="1837"/>
      <c r="R1045" s="1837">
        <f t="shared" si="898"/>
        <v>0</v>
      </c>
      <c r="S1045" s="1837"/>
      <c r="T1045" s="1837">
        <f t="shared" si="898"/>
        <v>0</v>
      </c>
      <c r="U1045" s="1837"/>
      <c r="V1045" s="1837">
        <f t="shared" si="898"/>
        <v>0</v>
      </c>
    </row>
    <row r="1046" spans="1:22" ht="18.75" customHeight="1" thickTop="1" thickBot="1">
      <c r="A1046" s="1772" t="s">
        <v>127</v>
      </c>
      <c r="B1046" s="1773" t="s">
        <v>144</v>
      </c>
      <c r="C1046" s="1773" t="s">
        <v>129</v>
      </c>
      <c r="D1046" s="1773"/>
      <c r="E1046" s="1772"/>
      <c r="F1046" s="1773"/>
      <c r="G1046" s="1773"/>
      <c r="H1046" s="1773"/>
      <c r="I1046" s="1773"/>
      <c r="J1046" s="1773"/>
      <c r="K1046" s="1839" t="s">
        <v>166</v>
      </c>
      <c r="L1046" s="1830">
        <f>SUM(L1047:L1049)</f>
        <v>0</v>
      </c>
      <c r="M1046" s="1830"/>
      <c r="N1046" s="1830"/>
      <c r="O1046" s="1830"/>
      <c r="P1046" s="1832">
        <f t="shared" ref="P1046:V1046" si="899">SUM(P1047:P1049)</f>
        <v>0</v>
      </c>
      <c r="Q1046" s="1832"/>
      <c r="R1046" s="1832">
        <f t="shared" si="899"/>
        <v>0</v>
      </c>
      <c r="S1046" s="1832"/>
      <c r="T1046" s="1832">
        <f t="shared" si="899"/>
        <v>0</v>
      </c>
      <c r="U1046" s="1832"/>
      <c r="V1046" s="1832">
        <f t="shared" si="899"/>
        <v>0</v>
      </c>
    </row>
    <row r="1047" spans="1:22" ht="18.75" customHeight="1" thickTop="1" thickBot="1">
      <c r="A1047" s="1772" t="s">
        <v>127</v>
      </c>
      <c r="B1047" s="1773" t="s">
        <v>144</v>
      </c>
      <c r="C1047" s="1773" t="s">
        <v>129</v>
      </c>
      <c r="D1047" s="1773" t="s">
        <v>129</v>
      </c>
      <c r="E1047" s="1773"/>
      <c r="F1047" s="1773"/>
      <c r="G1047" s="1773"/>
      <c r="H1047" s="1773"/>
      <c r="I1047" s="1773"/>
      <c r="J1047" s="1773"/>
      <c r="K1047" s="1776" t="s">
        <v>2061</v>
      </c>
      <c r="L1047" s="1830"/>
      <c r="M1047" s="1830"/>
      <c r="N1047" s="1830"/>
      <c r="O1047" s="1830"/>
      <c r="P1047" s="1832"/>
      <c r="Q1047" s="1832"/>
      <c r="R1047" s="1832"/>
      <c r="S1047" s="1832"/>
      <c r="T1047" s="1832"/>
      <c r="U1047" s="1832"/>
      <c r="V1047" s="1832"/>
    </row>
    <row r="1048" spans="1:22" ht="18.75" customHeight="1" thickTop="1" thickBot="1">
      <c r="A1048" s="1772" t="s">
        <v>127</v>
      </c>
      <c r="B1048" s="1773" t="s">
        <v>144</v>
      </c>
      <c r="C1048" s="1773" t="s">
        <v>129</v>
      </c>
      <c r="D1048" s="1773" t="s">
        <v>134</v>
      </c>
      <c r="E1048" s="1773"/>
      <c r="F1048" s="1773"/>
      <c r="G1048" s="1773"/>
      <c r="H1048" s="1773"/>
      <c r="I1048" s="1773"/>
      <c r="J1048" s="1773"/>
      <c r="K1048" s="1776" t="s">
        <v>2062</v>
      </c>
      <c r="L1048" s="1830"/>
      <c r="M1048" s="1830"/>
      <c r="N1048" s="1830"/>
      <c r="O1048" s="1830"/>
      <c r="P1048" s="1832"/>
      <c r="Q1048" s="1832"/>
      <c r="R1048" s="1832"/>
      <c r="S1048" s="1832"/>
      <c r="T1048" s="1832"/>
      <c r="U1048" s="1832"/>
      <c r="V1048" s="1832"/>
    </row>
    <row r="1049" spans="1:22" ht="18.75" customHeight="1" thickTop="1" thickBot="1">
      <c r="A1049" s="1772" t="s">
        <v>127</v>
      </c>
      <c r="B1049" s="1773" t="s">
        <v>144</v>
      </c>
      <c r="C1049" s="1773" t="s">
        <v>129</v>
      </c>
      <c r="D1049" s="1773" t="s">
        <v>139</v>
      </c>
      <c r="E1049" s="1773"/>
      <c r="F1049" s="1773"/>
      <c r="G1049" s="1773"/>
      <c r="H1049" s="1773"/>
      <c r="I1049" s="1773"/>
      <c r="J1049" s="1773"/>
      <c r="K1049" s="1776" t="s">
        <v>2063</v>
      </c>
      <c r="L1049" s="1830"/>
      <c r="M1049" s="1830"/>
      <c r="N1049" s="1830"/>
      <c r="O1049" s="1830"/>
      <c r="P1049" s="1832"/>
      <c r="Q1049" s="1832"/>
      <c r="R1049" s="1832"/>
      <c r="S1049" s="1832"/>
      <c r="T1049" s="1832"/>
      <c r="U1049" s="1832"/>
      <c r="V1049" s="1832"/>
    </row>
    <row r="1050" spans="1:22" ht="18.75" customHeight="1" thickTop="1" thickBot="1">
      <c r="A1050" s="1772" t="s">
        <v>127</v>
      </c>
      <c r="B1050" s="1773" t="s">
        <v>144</v>
      </c>
      <c r="C1050" s="1773" t="s">
        <v>134</v>
      </c>
      <c r="D1050" s="1773"/>
      <c r="E1050" s="1772"/>
      <c r="F1050" s="1773"/>
      <c r="G1050" s="1773"/>
      <c r="H1050" s="1773"/>
      <c r="I1050" s="1773"/>
      <c r="J1050" s="1773"/>
      <c r="K1050" s="1839" t="s">
        <v>167</v>
      </c>
      <c r="L1050" s="1830"/>
      <c r="M1050" s="1830"/>
      <c r="N1050" s="1830"/>
      <c r="O1050" s="1830"/>
      <c r="P1050" s="1832"/>
      <c r="Q1050" s="1832"/>
      <c r="R1050" s="1832"/>
      <c r="S1050" s="1832"/>
      <c r="T1050" s="1832"/>
      <c r="U1050" s="1832"/>
      <c r="V1050" s="1832"/>
    </row>
    <row r="1051" spans="1:22" ht="18.75" customHeight="1" thickTop="1" thickBot="1">
      <c r="A1051" s="1772" t="s">
        <v>127</v>
      </c>
      <c r="B1051" s="1773" t="s">
        <v>144</v>
      </c>
      <c r="C1051" s="1773" t="s">
        <v>139</v>
      </c>
      <c r="D1051" s="1773"/>
      <c r="E1051" s="1772"/>
      <c r="F1051" s="1773"/>
      <c r="G1051" s="1773"/>
      <c r="H1051" s="1773"/>
      <c r="I1051" s="1773"/>
      <c r="J1051" s="1773"/>
      <c r="K1051" s="1839" t="s">
        <v>168</v>
      </c>
      <c r="L1051" s="1830"/>
      <c r="M1051" s="1830"/>
      <c r="N1051" s="1830"/>
      <c r="O1051" s="1830"/>
      <c r="P1051" s="1832"/>
      <c r="Q1051" s="1832"/>
      <c r="R1051" s="1832"/>
      <c r="S1051" s="1832"/>
      <c r="T1051" s="1832"/>
      <c r="U1051" s="1832"/>
      <c r="V1051" s="1832"/>
    </row>
    <row r="1052" spans="1:22" ht="36" customHeight="1" thickTop="1"/>
  </sheetData>
  <autoFilter ref="A6:Y532" xr:uid="{5B36A1E1-D081-41E4-8E6A-00AE24F458D0}">
    <filterColumn colId="14">
      <filters>
        <filter val="1.460.675.087,86"/>
        <filter val="1.604.695.743,86"/>
        <filter val="10.022.113.021,27"/>
        <filter val="10.385.099.524,82"/>
        <filter val="103.717.453,00"/>
        <filter val="103.778.656,31"/>
        <filter val="128.346.712.447,25"/>
        <filter val="13.835.398.746,27"/>
        <filter val="14.416.666.667,00"/>
        <filter val="142.182.111.193,52"/>
        <filter val="144.020.656,00"/>
        <filter val="15.325.004.767,82"/>
        <filter val="15.428.783.424,13"/>
        <filter val="15.857.420,00"/>
        <filter val="168.842.297.433,98"/>
        <filter val="176.425.203.672,98"/>
        <filter val="18.026.771,10"/>
        <filter val="18.328.943.923,00"/>
        <filter val="18.846.842.502,28"/>
        <filter val="186.169.346,77"/>
        <filter val="2.361.100.000"/>
        <filter val="2.361.100.000,00"/>
        <filter val="21.776.284.773,00"/>
        <filter val="233.570.325,42"/>
        <filter val="26.660.186.240,46"/>
        <filter val="267.457.596,00"/>
        <filter val="27.931.643,55"/>
        <filter val="3.813.285.725,00"/>
        <filter val="3.912.277.256,00"/>
        <filter val="331.242.317,46"/>
        <filter val="4.496.341.071,00"/>
        <filter val="4.663.476.577,00"/>
        <filter val="4.763.798.667,00"/>
        <filter val="4.836.187.790,00"/>
        <filter val="4.939.905.243,00"/>
        <filter val="47.400.978,65"/>
        <filter val="48.728.187,74"/>
        <filter val="5.163.476.577,00"/>
        <filter val="5.221.806.239,00"/>
        <filter val="500.000.000,00"/>
        <filter val="6.995.488.880,00"/>
        <filter val="66.754.958,84"/>
        <filter val="69.954.889,00"/>
        <filter val="7.065.443.769,00"/>
        <filter val="7.582.906.239,00"/>
        <filter val="72.228.046.789,00"/>
        <filter val="75.847.012,76"/>
        <filter val="8.000.000.000,00"/>
        <filter val="9.477.300.060,44"/>
        <filter val="907.799.464,38"/>
        <filter val="94.004.331.562,00"/>
      </filters>
    </filterColumn>
  </autoFilter>
  <mergeCells count="15">
    <mergeCell ref="A1:V1"/>
    <mergeCell ref="A2:V2"/>
    <mergeCell ref="A3:V3"/>
    <mergeCell ref="A4:V4"/>
    <mergeCell ref="A5:I5"/>
    <mergeCell ref="K5:K6"/>
    <mergeCell ref="L5:L6"/>
    <mergeCell ref="M5:N5"/>
    <mergeCell ref="O5:O6"/>
    <mergeCell ref="P5:W5"/>
    <mergeCell ref="X5:X6"/>
    <mergeCell ref="Y5:Y6"/>
    <mergeCell ref="Z5:Z6"/>
    <mergeCell ref="AB5:AB6"/>
    <mergeCell ref="AA5:AA6"/>
  </mergeCells>
  <printOptions horizontalCentered="1" verticalCentered="1"/>
  <pageMargins left="0.78740157480314965" right="0.78740157480314965" top="0.98425196850393704" bottom="0.98425196850393704" header="0" footer="0"/>
  <pageSetup paperSize="9" scale="10"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CC3FB-F8CE-4130-904B-4276A279B670}">
  <dimension ref="A1:B19"/>
  <sheetViews>
    <sheetView topLeftCell="A16" workbookViewId="0">
      <selection activeCell="E8" sqref="E8"/>
    </sheetView>
  </sheetViews>
  <sheetFormatPr baseColWidth="10" defaultColWidth="11.42578125" defaultRowHeight="12.75"/>
  <cols>
    <col min="1" max="1" width="34.140625" style="71" customWidth="1"/>
    <col min="2" max="2" width="70.5703125" style="71" customWidth="1"/>
    <col min="3" max="16384" width="11.42578125" style="71"/>
  </cols>
  <sheetData>
    <row r="1" spans="1:2" ht="13.5" thickBot="1">
      <c r="A1" s="2350"/>
      <c r="B1" s="2350"/>
    </row>
    <row r="2" spans="1:2" ht="13.5" thickBot="1">
      <c r="A2" s="2351" t="s">
        <v>250</v>
      </c>
      <c r="B2" s="2352"/>
    </row>
    <row r="3" spans="1:2" ht="13.5" thickBot="1">
      <c r="A3" s="2181" t="s">
        <v>38</v>
      </c>
      <c r="B3" s="2353"/>
    </row>
    <row r="4" spans="1:2" ht="13.5" thickBot="1">
      <c r="A4" s="72" t="s">
        <v>251</v>
      </c>
      <c r="B4" s="72" t="s">
        <v>40</v>
      </c>
    </row>
    <row r="5" spans="1:2" ht="26.25" thickBot="1">
      <c r="A5" s="73" t="s">
        <v>252</v>
      </c>
      <c r="B5" s="74" t="s">
        <v>253</v>
      </c>
    </row>
    <row r="6" spans="1:2" ht="14.25" thickTop="1" thickBot="1">
      <c r="A6" s="75" t="s">
        <v>254</v>
      </c>
      <c r="B6" s="74" t="s">
        <v>255</v>
      </c>
    </row>
    <row r="7" spans="1:2" ht="27" thickTop="1" thickBot="1">
      <c r="A7" s="75" t="s">
        <v>256</v>
      </c>
      <c r="B7" s="76" t="s">
        <v>257</v>
      </c>
    </row>
    <row r="8" spans="1:2" ht="52.5" thickTop="1" thickBot="1">
      <c r="A8" s="75" t="s">
        <v>258</v>
      </c>
      <c r="B8" s="74" t="s">
        <v>259</v>
      </c>
    </row>
    <row r="9" spans="1:2" ht="52.5" thickTop="1" thickBot="1">
      <c r="A9" s="77" t="s">
        <v>260</v>
      </c>
      <c r="B9" s="74" t="s">
        <v>261</v>
      </c>
    </row>
    <row r="10" spans="1:2" ht="27" thickTop="1" thickBot="1">
      <c r="A10" s="77" t="s">
        <v>262</v>
      </c>
      <c r="B10" s="74" t="s">
        <v>263</v>
      </c>
    </row>
    <row r="11" spans="1:2" ht="27" thickTop="1" thickBot="1">
      <c r="A11" s="78" t="s">
        <v>264</v>
      </c>
      <c r="B11" s="76" t="s">
        <v>265</v>
      </c>
    </row>
    <row r="12" spans="1:2" ht="27" thickTop="1" thickBot="1">
      <c r="A12" s="75" t="s">
        <v>266</v>
      </c>
      <c r="B12" s="76" t="s">
        <v>267</v>
      </c>
    </row>
    <row r="13" spans="1:2" ht="90.75" thickTop="1" thickBot="1">
      <c r="A13" s="78" t="s">
        <v>268</v>
      </c>
      <c r="B13" s="74" t="s">
        <v>269</v>
      </c>
    </row>
    <row r="14" spans="1:2" ht="39.75" thickTop="1" thickBot="1">
      <c r="A14" s="78" t="s">
        <v>270</v>
      </c>
      <c r="B14" s="74" t="s">
        <v>271</v>
      </c>
    </row>
    <row r="15" spans="1:2" ht="78" thickTop="1" thickBot="1">
      <c r="A15" s="79" t="s">
        <v>272</v>
      </c>
      <c r="B15" s="76" t="s">
        <v>273</v>
      </c>
    </row>
    <row r="16" spans="1:2" ht="14.25" thickTop="1" thickBot="1">
      <c r="A16" s="75" t="s">
        <v>274</v>
      </c>
      <c r="B16" s="76" t="s">
        <v>275</v>
      </c>
    </row>
    <row r="17" spans="1:2" ht="27" thickTop="1" thickBot="1">
      <c r="A17" s="80" t="s">
        <v>276</v>
      </c>
      <c r="B17" s="76" t="s">
        <v>277</v>
      </c>
    </row>
    <row r="18" spans="1:2" ht="27" thickTop="1" thickBot="1">
      <c r="A18" s="75" t="s">
        <v>278</v>
      </c>
      <c r="B18" s="81" t="s">
        <v>279</v>
      </c>
    </row>
    <row r="19" spans="1:2" ht="13.5" thickTop="1"/>
  </sheetData>
  <mergeCells count="3">
    <mergeCell ref="A1:B1"/>
    <mergeCell ref="A2:B2"/>
    <mergeCell ref="A3:B3"/>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8">
    <pageSetUpPr fitToPage="1"/>
  </sheetPr>
  <dimension ref="A1:AD170"/>
  <sheetViews>
    <sheetView topLeftCell="H1" zoomScale="80" zoomScaleNormal="80" zoomScaleSheetLayoutView="100" workbookViewId="0">
      <pane xSplit="1" ySplit="3" topLeftCell="I158" activePane="bottomRight" state="frozen"/>
      <selection activeCell="L28" sqref="L28"/>
      <selection pane="topRight" activeCell="L28" sqref="L28"/>
      <selection pane="bottomLeft" activeCell="L28" sqref="L28"/>
      <selection pane="bottomRight" activeCell="L28" sqref="L28"/>
    </sheetView>
  </sheetViews>
  <sheetFormatPr baseColWidth="10" defaultColWidth="28.7109375" defaultRowHeight="15"/>
  <cols>
    <col min="9" max="9" width="28.7109375" style="645"/>
  </cols>
  <sheetData>
    <row r="1" spans="1:30" ht="15.75" thickBot="1"/>
    <row r="2" spans="1:30" ht="30.75" customHeight="1" thickTop="1" thickBot="1">
      <c r="A2" s="2359" t="s">
        <v>114</v>
      </c>
      <c r="B2" s="2359" t="s">
        <v>50</v>
      </c>
      <c r="C2" s="2357" t="s">
        <v>115</v>
      </c>
      <c r="D2" s="2359" t="s">
        <v>53</v>
      </c>
      <c r="E2" s="2359" t="s">
        <v>116</v>
      </c>
      <c r="F2" s="2359" t="s">
        <v>117</v>
      </c>
      <c r="G2" s="2359" t="s">
        <v>118</v>
      </c>
      <c r="H2" s="2357" t="s">
        <v>244</v>
      </c>
      <c r="I2" s="2354" t="s">
        <v>198</v>
      </c>
      <c r="J2" s="2355"/>
      <c r="K2" s="2355"/>
      <c r="L2" s="2356"/>
      <c r="M2" s="2354" t="s">
        <v>199</v>
      </c>
      <c r="N2" s="2355"/>
      <c r="O2" s="2355"/>
      <c r="P2" s="2356"/>
      <c r="Q2" s="2354" t="s">
        <v>200</v>
      </c>
      <c r="R2" s="2355"/>
      <c r="S2" s="2355"/>
      <c r="T2" s="2356"/>
      <c r="U2" s="2354" t="s">
        <v>201</v>
      </c>
      <c r="V2" s="2355"/>
      <c r="W2" s="2355"/>
      <c r="X2" s="2356"/>
      <c r="Y2" s="2354" t="s">
        <v>202</v>
      </c>
      <c r="Z2" s="2355"/>
      <c r="AA2" s="2355"/>
      <c r="AB2" s="2356"/>
      <c r="AC2" s="30" t="s">
        <v>203</v>
      </c>
    </row>
    <row r="3" spans="1:30" ht="16.5" thickTop="1" thickBot="1">
      <c r="A3" s="2360"/>
      <c r="B3" s="2360"/>
      <c r="C3" s="2358"/>
      <c r="D3" s="2360"/>
      <c r="E3" s="2360"/>
      <c r="F3" s="2360"/>
      <c r="G3" s="2360"/>
      <c r="H3" s="2358"/>
      <c r="I3" s="31" t="s">
        <v>204</v>
      </c>
      <c r="J3" s="641" t="s">
        <v>205</v>
      </c>
      <c r="K3" s="641" t="s">
        <v>206</v>
      </c>
      <c r="L3" s="641" t="s">
        <v>207</v>
      </c>
      <c r="M3" s="641" t="s">
        <v>204</v>
      </c>
      <c r="N3" s="641" t="s">
        <v>205</v>
      </c>
      <c r="O3" s="641" t="s">
        <v>206</v>
      </c>
      <c r="P3" s="641" t="s">
        <v>207</v>
      </c>
      <c r="Q3" s="641" t="s">
        <v>204</v>
      </c>
      <c r="R3" s="641" t="s">
        <v>205</v>
      </c>
      <c r="S3" s="641" t="s">
        <v>206</v>
      </c>
      <c r="T3" s="641" t="s">
        <v>207</v>
      </c>
      <c r="U3" s="641" t="s">
        <v>204</v>
      </c>
      <c r="V3" s="641" t="s">
        <v>205</v>
      </c>
      <c r="W3" s="641" t="s">
        <v>206</v>
      </c>
      <c r="X3" s="641" t="s">
        <v>207</v>
      </c>
      <c r="Y3" s="641" t="s">
        <v>204</v>
      </c>
      <c r="Z3" s="641" t="s">
        <v>205</v>
      </c>
      <c r="AA3" s="641" t="s">
        <v>206</v>
      </c>
      <c r="AB3" s="641" t="s">
        <v>208</v>
      </c>
      <c r="AC3" s="641"/>
    </row>
    <row r="4" spans="1:30" ht="16.5" thickTop="1" thickBot="1">
      <c r="A4" s="32" t="s">
        <v>209</v>
      </c>
      <c r="B4" s="32" t="s">
        <v>129</v>
      </c>
      <c r="C4" s="32"/>
      <c r="D4" s="32"/>
      <c r="E4" s="32"/>
      <c r="F4" s="32"/>
      <c r="G4" s="32"/>
      <c r="H4" s="33" t="s">
        <v>210</v>
      </c>
      <c r="I4" s="34">
        <f>+I5+I6+I9+I24</f>
        <v>11568882315</v>
      </c>
      <c r="J4" s="35">
        <f t="shared" ref="J4:X4" si="0">+J5+J6+J9+J24</f>
        <v>10763669163</v>
      </c>
      <c r="K4" s="35">
        <f t="shared" si="0"/>
        <v>10535268538</v>
      </c>
      <c r="L4" s="35">
        <f t="shared" si="0"/>
        <v>9804003687</v>
      </c>
      <c r="M4" s="35">
        <f t="shared" si="0"/>
        <v>2361100000</v>
      </c>
      <c r="N4" s="35">
        <f t="shared" si="0"/>
        <v>2361100000</v>
      </c>
      <c r="O4" s="35">
        <f t="shared" si="0"/>
        <v>2361100000</v>
      </c>
      <c r="P4" s="35">
        <f t="shared" si="0"/>
        <v>2361100000</v>
      </c>
      <c r="Q4" s="35">
        <f t="shared" si="0"/>
        <v>0</v>
      </c>
      <c r="R4" s="35">
        <f t="shared" si="0"/>
        <v>0</v>
      </c>
      <c r="S4" s="35">
        <f t="shared" si="0"/>
        <v>0</v>
      </c>
      <c r="T4" s="35">
        <f t="shared" si="0"/>
        <v>0</v>
      </c>
      <c r="U4" s="35">
        <f t="shared" si="0"/>
        <v>0</v>
      </c>
      <c r="V4" s="35">
        <f t="shared" si="0"/>
        <v>0</v>
      </c>
      <c r="W4" s="35">
        <f t="shared" si="0"/>
        <v>0</v>
      </c>
      <c r="X4" s="35">
        <f t="shared" si="0"/>
        <v>0</v>
      </c>
      <c r="Y4" s="35">
        <f>+I4+M4+Q4+U4</f>
        <v>13929982315</v>
      </c>
      <c r="Z4" s="35">
        <f t="shared" ref="Z4:AB19" si="1">+J4+N4+R4+V4</f>
        <v>13124769163</v>
      </c>
      <c r="AA4" s="35">
        <f t="shared" si="1"/>
        <v>12896368538</v>
      </c>
      <c r="AB4" s="35">
        <f t="shared" si="1"/>
        <v>12165103687</v>
      </c>
      <c r="AC4" s="1930">
        <f>+Y4-Y12</f>
        <v>9334357836</v>
      </c>
      <c r="AD4" s="1933">
        <f>+'Anexo 5.1 INGRESOS VF'!P7</f>
        <v>9334357836</v>
      </c>
    </row>
    <row r="5" spans="1:30" ht="16.5" thickTop="1" thickBot="1">
      <c r="A5" s="37" t="s">
        <v>209</v>
      </c>
      <c r="B5" s="37" t="s">
        <v>129</v>
      </c>
      <c r="C5" s="37" t="s">
        <v>129</v>
      </c>
      <c r="D5" s="37"/>
      <c r="E5" s="37"/>
      <c r="F5" s="37"/>
      <c r="G5" s="37"/>
      <c r="H5" s="38" t="s">
        <v>54</v>
      </c>
      <c r="I5" s="39">
        <v>4223761930</v>
      </c>
      <c r="J5" s="40">
        <v>4188215246</v>
      </c>
      <c r="K5" s="40">
        <v>4188215246</v>
      </c>
      <c r="L5" s="40">
        <v>4027019206</v>
      </c>
      <c r="M5" s="40">
        <v>2350900000</v>
      </c>
      <c r="N5" s="40">
        <v>2350900000</v>
      </c>
      <c r="O5" s="40">
        <v>2350900000</v>
      </c>
      <c r="P5" s="40">
        <v>2350900000</v>
      </c>
      <c r="Q5" s="40"/>
      <c r="R5" s="40"/>
      <c r="S5" s="40"/>
      <c r="T5" s="40"/>
      <c r="U5" s="40"/>
      <c r="V5" s="40"/>
      <c r="W5" s="40"/>
      <c r="X5" s="40"/>
      <c r="Y5" s="40">
        <f t="shared" ref="Y5:AB46" si="2">+I5+M5+Q5+U5</f>
        <v>6574661930</v>
      </c>
      <c r="Z5" s="40">
        <f t="shared" si="1"/>
        <v>6539115246</v>
      </c>
      <c r="AA5" s="40">
        <f t="shared" si="1"/>
        <v>6539115246</v>
      </c>
      <c r="AB5" s="40">
        <f t="shared" si="1"/>
        <v>6377919206</v>
      </c>
      <c r="AC5" s="36"/>
    </row>
    <row r="6" spans="1:30" ht="16.5" thickTop="1" thickBot="1">
      <c r="A6" s="41">
        <v>2</v>
      </c>
      <c r="B6" s="37" t="s">
        <v>129</v>
      </c>
      <c r="C6" s="37" t="s">
        <v>134</v>
      </c>
      <c r="D6" s="37"/>
      <c r="E6" s="37"/>
      <c r="F6" s="37"/>
      <c r="G6" s="37"/>
      <c r="H6" s="38" t="s">
        <v>211</v>
      </c>
      <c r="I6" s="39">
        <f>+I7+I8</f>
        <v>2361827706</v>
      </c>
      <c r="J6" s="40">
        <f t="shared" ref="J6:X6" si="3">+J7+J8</f>
        <v>2295085817</v>
      </c>
      <c r="K6" s="40">
        <f t="shared" si="3"/>
        <v>2066685192</v>
      </c>
      <c r="L6" s="40">
        <f t="shared" si="3"/>
        <v>2043522580</v>
      </c>
      <c r="M6" s="40">
        <f t="shared" si="3"/>
        <v>0</v>
      </c>
      <c r="N6" s="40">
        <f t="shared" si="3"/>
        <v>0</v>
      </c>
      <c r="O6" s="40">
        <f t="shared" si="3"/>
        <v>0</v>
      </c>
      <c r="P6" s="40">
        <f t="shared" si="3"/>
        <v>0</v>
      </c>
      <c r="Q6" s="40">
        <f t="shared" si="3"/>
        <v>0</v>
      </c>
      <c r="R6" s="40">
        <f t="shared" si="3"/>
        <v>0</v>
      </c>
      <c r="S6" s="40">
        <f t="shared" si="3"/>
        <v>0</v>
      </c>
      <c r="T6" s="40">
        <f t="shared" si="3"/>
        <v>0</v>
      </c>
      <c r="U6" s="40">
        <f t="shared" si="3"/>
        <v>0</v>
      </c>
      <c r="V6" s="40">
        <f t="shared" si="3"/>
        <v>0</v>
      </c>
      <c r="W6" s="40">
        <f t="shared" si="3"/>
        <v>0</v>
      </c>
      <c r="X6" s="40">
        <f t="shared" si="3"/>
        <v>0</v>
      </c>
      <c r="Y6" s="40">
        <f t="shared" si="2"/>
        <v>2361827706</v>
      </c>
      <c r="Z6" s="40">
        <f t="shared" si="1"/>
        <v>2295085817</v>
      </c>
      <c r="AA6" s="40">
        <f t="shared" si="1"/>
        <v>2066685192</v>
      </c>
      <c r="AB6" s="40">
        <f t="shared" si="1"/>
        <v>2043522580</v>
      </c>
      <c r="AC6" s="36"/>
    </row>
    <row r="7" spans="1:30" ht="16.5" thickTop="1" thickBot="1">
      <c r="A7" s="42">
        <v>2</v>
      </c>
      <c r="B7" s="43" t="s">
        <v>129</v>
      </c>
      <c r="C7" s="43" t="s">
        <v>134</v>
      </c>
      <c r="D7" s="43" t="s">
        <v>129</v>
      </c>
      <c r="E7" s="44"/>
      <c r="F7" s="44"/>
      <c r="G7" s="44"/>
      <c r="H7" s="45" t="s">
        <v>212</v>
      </c>
      <c r="I7" s="46">
        <v>9900000</v>
      </c>
      <c r="J7" s="47">
        <v>0</v>
      </c>
      <c r="K7" s="47">
        <v>0</v>
      </c>
      <c r="L7" s="47">
        <v>0</v>
      </c>
      <c r="M7" s="47"/>
      <c r="N7" s="47"/>
      <c r="O7" s="47"/>
      <c r="P7" s="47"/>
      <c r="Q7" s="47"/>
      <c r="R7" s="47"/>
      <c r="S7" s="47"/>
      <c r="T7" s="47"/>
      <c r="U7" s="47"/>
      <c r="V7" s="47"/>
      <c r="W7" s="47"/>
      <c r="X7" s="47"/>
      <c r="Y7" s="47">
        <f t="shared" si="2"/>
        <v>9900000</v>
      </c>
      <c r="Z7" s="47">
        <f t="shared" si="1"/>
        <v>0</v>
      </c>
      <c r="AA7" s="47">
        <f t="shared" si="1"/>
        <v>0</v>
      </c>
      <c r="AB7" s="47">
        <f t="shared" si="1"/>
        <v>0</v>
      </c>
      <c r="AC7" s="36"/>
    </row>
    <row r="8" spans="1:30" ht="16.5" thickTop="1" thickBot="1">
      <c r="A8" s="42">
        <v>2</v>
      </c>
      <c r="B8" s="43" t="s">
        <v>129</v>
      </c>
      <c r="C8" s="43" t="s">
        <v>134</v>
      </c>
      <c r="D8" s="43" t="s">
        <v>129</v>
      </c>
      <c r="E8" s="44"/>
      <c r="F8" s="44"/>
      <c r="G8" s="44"/>
      <c r="H8" s="45" t="s">
        <v>213</v>
      </c>
      <c r="I8" s="46">
        <v>2351927706</v>
      </c>
      <c r="J8" s="47">
        <v>2295085817</v>
      </c>
      <c r="K8" s="47">
        <v>2066685192</v>
      </c>
      <c r="L8" s="47">
        <v>2043522580</v>
      </c>
      <c r="M8" s="47"/>
      <c r="N8" s="47"/>
      <c r="O8" s="47"/>
      <c r="P8" s="47"/>
      <c r="Q8" s="47"/>
      <c r="R8" s="47"/>
      <c r="S8" s="47"/>
      <c r="T8" s="47"/>
      <c r="U8" s="47"/>
      <c r="V8" s="47"/>
      <c r="W8" s="47"/>
      <c r="X8" s="47"/>
      <c r="Y8" s="47">
        <f t="shared" si="2"/>
        <v>2351927706</v>
      </c>
      <c r="Z8" s="47">
        <f t="shared" si="1"/>
        <v>2295085817</v>
      </c>
      <c r="AA8" s="47">
        <f t="shared" si="1"/>
        <v>2066685192</v>
      </c>
      <c r="AB8" s="47">
        <f t="shared" si="1"/>
        <v>2043522580</v>
      </c>
      <c r="AC8" s="36"/>
    </row>
    <row r="9" spans="1:30" s="647" customFormat="1" ht="16.5" thickTop="1" thickBot="1">
      <c r="A9" s="41">
        <v>2</v>
      </c>
      <c r="B9" s="37" t="s">
        <v>129</v>
      </c>
      <c r="C9" s="37" t="s">
        <v>139</v>
      </c>
      <c r="D9" s="37"/>
      <c r="E9" s="37"/>
      <c r="F9" s="37"/>
      <c r="G9" s="37"/>
      <c r="H9" s="38" t="s">
        <v>55</v>
      </c>
      <c r="I9" s="39">
        <f>+I10</f>
        <v>4648840410</v>
      </c>
      <c r="J9" s="39">
        <f t="shared" ref="J9:AB9" si="4">+J10</f>
        <v>3946776721</v>
      </c>
      <c r="K9" s="39">
        <f t="shared" si="4"/>
        <v>3946776721</v>
      </c>
      <c r="L9" s="39">
        <f t="shared" si="4"/>
        <v>3399870522</v>
      </c>
      <c r="M9" s="39">
        <f t="shared" si="4"/>
        <v>0</v>
      </c>
      <c r="N9" s="39">
        <f t="shared" si="4"/>
        <v>0</v>
      </c>
      <c r="O9" s="39">
        <f t="shared" si="4"/>
        <v>0</v>
      </c>
      <c r="P9" s="39">
        <f t="shared" si="4"/>
        <v>0</v>
      </c>
      <c r="Q9" s="39">
        <f t="shared" si="4"/>
        <v>0</v>
      </c>
      <c r="R9" s="39">
        <f t="shared" si="4"/>
        <v>0</v>
      </c>
      <c r="S9" s="39">
        <f t="shared" si="4"/>
        <v>0</v>
      </c>
      <c r="T9" s="39">
        <f t="shared" si="4"/>
        <v>0</v>
      </c>
      <c r="U9" s="39">
        <f t="shared" si="4"/>
        <v>0</v>
      </c>
      <c r="V9" s="39">
        <f t="shared" si="4"/>
        <v>0</v>
      </c>
      <c r="W9" s="39">
        <f t="shared" si="4"/>
        <v>0</v>
      </c>
      <c r="X9" s="39">
        <f t="shared" si="4"/>
        <v>0</v>
      </c>
      <c r="Y9" s="39">
        <f t="shared" si="4"/>
        <v>4648840410</v>
      </c>
      <c r="Z9" s="39">
        <f t="shared" si="4"/>
        <v>3946776721</v>
      </c>
      <c r="AA9" s="39">
        <f t="shared" si="4"/>
        <v>3946776721</v>
      </c>
      <c r="AB9" s="39">
        <f t="shared" si="4"/>
        <v>3399870522</v>
      </c>
      <c r="AC9" s="36"/>
    </row>
    <row r="10" spans="1:30" s="647" customFormat="1" ht="16.5" thickTop="1" thickBot="1">
      <c r="A10" s="48">
        <v>2</v>
      </c>
      <c r="B10" s="49" t="s">
        <v>129</v>
      </c>
      <c r="C10" s="49" t="s">
        <v>139</v>
      </c>
      <c r="D10" s="49" t="s">
        <v>129</v>
      </c>
      <c r="E10" s="49"/>
      <c r="F10" s="49"/>
      <c r="G10" s="49"/>
      <c r="H10" s="50" t="s">
        <v>214</v>
      </c>
      <c r="I10" s="51">
        <f>+I11+I15</f>
        <v>4648840410</v>
      </c>
      <c r="J10" s="52">
        <f t="shared" ref="J10:X10" si="5">+J11+J15</f>
        <v>3946776721</v>
      </c>
      <c r="K10" s="52">
        <f t="shared" si="5"/>
        <v>3946776721</v>
      </c>
      <c r="L10" s="52">
        <f t="shared" si="5"/>
        <v>3399870522</v>
      </c>
      <c r="M10" s="52">
        <f t="shared" si="5"/>
        <v>0</v>
      </c>
      <c r="N10" s="52">
        <f t="shared" si="5"/>
        <v>0</v>
      </c>
      <c r="O10" s="52">
        <f t="shared" si="5"/>
        <v>0</v>
      </c>
      <c r="P10" s="52">
        <f t="shared" si="5"/>
        <v>0</v>
      </c>
      <c r="Q10" s="52">
        <f t="shared" si="5"/>
        <v>0</v>
      </c>
      <c r="R10" s="52">
        <f t="shared" si="5"/>
        <v>0</v>
      </c>
      <c r="S10" s="52">
        <f t="shared" si="5"/>
        <v>0</v>
      </c>
      <c r="T10" s="52">
        <f t="shared" si="5"/>
        <v>0</v>
      </c>
      <c r="U10" s="52">
        <f t="shared" si="5"/>
        <v>0</v>
      </c>
      <c r="V10" s="52">
        <f t="shared" si="5"/>
        <v>0</v>
      </c>
      <c r="W10" s="52">
        <f t="shared" si="5"/>
        <v>0</v>
      </c>
      <c r="X10" s="52">
        <f t="shared" si="5"/>
        <v>0</v>
      </c>
      <c r="Y10" s="52">
        <f t="shared" si="2"/>
        <v>4648840410</v>
      </c>
      <c r="Z10" s="52">
        <f t="shared" si="1"/>
        <v>3946776721</v>
      </c>
      <c r="AA10" s="52">
        <f t="shared" si="1"/>
        <v>3946776721</v>
      </c>
      <c r="AB10" s="52">
        <f t="shared" si="1"/>
        <v>3399870522</v>
      </c>
      <c r="AC10" s="36"/>
    </row>
    <row r="11" spans="1:30" s="648" customFormat="1" ht="16.5" thickTop="1" thickBot="1">
      <c r="A11" s="42"/>
      <c r="B11" s="43" t="s">
        <v>129</v>
      </c>
      <c r="C11" s="43" t="s">
        <v>139</v>
      </c>
      <c r="D11" s="43" t="s">
        <v>129</v>
      </c>
      <c r="E11" s="43" t="s">
        <v>129</v>
      </c>
      <c r="F11" s="43"/>
      <c r="G11" s="43"/>
      <c r="H11" s="45" t="s">
        <v>215</v>
      </c>
      <c r="I11" s="53">
        <f>+I12</f>
        <v>4595624479</v>
      </c>
      <c r="J11" s="54">
        <f t="shared" ref="J11:X11" si="6">+J12</f>
        <v>3893560790</v>
      </c>
      <c r="K11" s="54">
        <f t="shared" si="6"/>
        <v>3893560790</v>
      </c>
      <c r="L11" s="54">
        <f t="shared" si="6"/>
        <v>3346654591</v>
      </c>
      <c r="M11" s="54">
        <f t="shared" si="6"/>
        <v>0</v>
      </c>
      <c r="N11" s="54">
        <f t="shared" si="6"/>
        <v>0</v>
      </c>
      <c r="O11" s="54">
        <f t="shared" si="6"/>
        <v>0</v>
      </c>
      <c r="P11" s="54">
        <f t="shared" si="6"/>
        <v>0</v>
      </c>
      <c r="Q11" s="54">
        <f t="shared" si="6"/>
        <v>0</v>
      </c>
      <c r="R11" s="54">
        <f t="shared" si="6"/>
        <v>0</v>
      </c>
      <c r="S11" s="54">
        <f t="shared" si="6"/>
        <v>0</v>
      </c>
      <c r="T11" s="54">
        <f t="shared" si="6"/>
        <v>0</v>
      </c>
      <c r="U11" s="54">
        <f t="shared" si="6"/>
        <v>0</v>
      </c>
      <c r="V11" s="54">
        <f t="shared" si="6"/>
        <v>0</v>
      </c>
      <c r="W11" s="54">
        <f t="shared" si="6"/>
        <v>0</v>
      </c>
      <c r="X11" s="54">
        <f t="shared" si="6"/>
        <v>0</v>
      </c>
      <c r="Y11" s="54">
        <f t="shared" si="2"/>
        <v>4595624479</v>
      </c>
      <c r="Z11" s="54">
        <f t="shared" si="1"/>
        <v>3893560790</v>
      </c>
      <c r="AA11" s="54">
        <f t="shared" si="1"/>
        <v>3893560790</v>
      </c>
      <c r="AB11" s="54">
        <f t="shared" si="1"/>
        <v>3346654591</v>
      </c>
      <c r="AC11" s="36"/>
    </row>
    <row r="12" spans="1:30" ht="16.5" thickTop="1" thickBot="1">
      <c r="A12" s="42">
        <v>2</v>
      </c>
      <c r="B12" s="43" t="s">
        <v>129</v>
      </c>
      <c r="C12" s="43" t="s">
        <v>139</v>
      </c>
      <c r="D12" s="43" t="s">
        <v>129</v>
      </c>
      <c r="E12" s="43" t="s">
        <v>129</v>
      </c>
      <c r="F12" s="43" t="s">
        <v>129</v>
      </c>
      <c r="G12" s="44"/>
      <c r="H12" s="45" t="s">
        <v>216</v>
      </c>
      <c r="I12" s="46">
        <f>+I13+I14</f>
        <v>4595624479</v>
      </c>
      <c r="J12" s="47">
        <f t="shared" ref="J12:X12" si="7">+J13+J14</f>
        <v>3893560790</v>
      </c>
      <c r="K12" s="47">
        <f t="shared" si="7"/>
        <v>3893560790</v>
      </c>
      <c r="L12" s="47">
        <f t="shared" si="7"/>
        <v>3346654591</v>
      </c>
      <c r="M12" s="47">
        <f t="shared" si="7"/>
        <v>0</v>
      </c>
      <c r="N12" s="47">
        <f t="shared" si="7"/>
        <v>0</v>
      </c>
      <c r="O12" s="47">
        <f t="shared" si="7"/>
        <v>0</v>
      </c>
      <c r="P12" s="47">
        <f t="shared" si="7"/>
        <v>0</v>
      </c>
      <c r="Q12" s="47">
        <f t="shared" si="7"/>
        <v>0</v>
      </c>
      <c r="R12" s="47">
        <f t="shared" si="7"/>
        <v>0</v>
      </c>
      <c r="S12" s="47">
        <f t="shared" si="7"/>
        <v>0</v>
      </c>
      <c r="T12" s="47">
        <f t="shared" si="7"/>
        <v>0</v>
      </c>
      <c r="U12" s="47">
        <f t="shared" si="7"/>
        <v>0</v>
      </c>
      <c r="V12" s="47">
        <f t="shared" si="7"/>
        <v>0</v>
      </c>
      <c r="W12" s="47">
        <f t="shared" si="7"/>
        <v>0</v>
      </c>
      <c r="X12" s="47">
        <f t="shared" si="7"/>
        <v>0</v>
      </c>
      <c r="Y12" s="47">
        <f t="shared" si="2"/>
        <v>4595624479</v>
      </c>
      <c r="Z12" s="47">
        <f t="shared" si="1"/>
        <v>3893560790</v>
      </c>
      <c r="AA12" s="47">
        <f t="shared" si="1"/>
        <v>3893560790</v>
      </c>
      <c r="AB12" s="47">
        <f t="shared" si="1"/>
        <v>3346654591</v>
      </c>
      <c r="AC12" s="1932">
        <f>+'Anexo 5.1 INGRESOS VF'!T7</f>
        <v>4595624479.0539999</v>
      </c>
    </row>
    <row r="13" spans="1:30" ht="16.5" thickTop="1" thickBot="1">
      <c r="A13" s="42">
        <v>2</v>
      </c>
      <c r="B13" s="43" t="s">
        <v>129</v>
      </c>
      <c r="C13" s="43" t="s">
        <v>139</v>
      </c>
      <c r="D13" s="43" t="s">
        <v>129</v>
      </c>
      <c r="E13" s="43" t="s">
        <v>129</v>
      </c>
      <c r="F13" s="43" t="s">
        <v>129</v>
      </c>
      <c r="G13" s="43" t="s">
        <v>129</v>
      </c>
      <c r="H13" s="45" t="s">
        <v>217</v>
      </c>
      <c r="I13" s="46"/>
      <c r="J13" s="47"/>
      <c r="K13" s="47"/>
      <c r="L13" s="47"/>
      <c r="M13" s="47"/>
      <c r="N13" s="47"/>
      <c r="O13" s="47"/>
      <c r="P13" s="47"/>
      <c r="Q13" s="47"/>
      <c r="R13" s="47"/>
      <c r="S13" s="47"/>
      <c r="T13" s="47"/>
      <c r="U13" s="47"/>
      <c r="V13" s="47"/>
      <c r="W13" s="47"/>
      <c r="X13" s="47"/>
      <c r="Y13" s="47">
        <f t="shared" si="2"/>
        <v>0</v>
      </c>
      <c r="Z13" s="47">
        <f t="shared" si="1"/>
        <v>0</v>
      </c>
      <c r="AA13" s="47">
        <f t="shared" si="1"/>
        <v>0</v>
      </c>
      <c r="AB13" s="47">
        <f t="shared" si="1"/>
        <v>0</v>
      </c>
      <c r="AC13" s="1931"/>
    </row>
    <row r="14" spans="1:30" ht="16.5" thickTop="1" thickBot="1">
      <c r="A14" s="42">
        <v>2</v>
      </c>
      <c r="B14" s="43" t="s">
        <v>129</v>
      </c>
      <c r="C14" s="43" t="s">
        <v>139</v>
      </c>
      <c r="D14" s="43" t="s">
        <v>129</v>
      </c>
      <c r="E14" s="43" t="s">
        <v>129</v>
      </c>
      <c r="F14" s="43" t="s">
        <v>129</v>
      </c>
      <c r="G14" s="43" t="s">
        <v>134</v>
      </c>
      <c r="H14" s="45" t="s">
        <v>218</v>
      </c>
      <c r="I14" s="46">
        <v>4595624479</v>
      </c>
      <c r="J14" s="47">
        <v>3893560790</v>
      </c>
      <c r="K14" s="47">
        <v>3893560790</v>
      </c>
      <c r="L14" s="47">
        <v>3346654591</v>
      </c>
      <c r="M14" s="47"/>
      <c r="N14" s="47"/>
      <c r="O14" s="47"/>
      <c r="P14" s="47"/>
      <c r="Q14" s="47"/>
      <c r="R14" s="47"/>
      <c r="S14" s="47"/>
      <c r="T14" s="47"/>
      <c r="U14" s="47"/>
      <c r="V14" s="47"/>
      <c r="W14" s="47"/>
      <c r="X14" s="47"/>
      <c r="Y14" s="47">
        <f t="shared" si="2"/>
        <v>4595624479</v>
      </c>
      <c r="Z14" s="47">
        <f t="shared" si="1"/>
        <v>3893560790</v>
      </c>
      <c r="AA14" s="47">
        <f t="shared" si="1"/>
        <v>3893560790</v>
      </c>
      <c r="AB14" s="47">
        <f t="shared" si="1"/>
        <v>3346654591</v>
      </c>
      <c r="AC14" s="36"/>
    </row>
    <row r="15" spans="1:30" ht="16.5" thickTop="1" thickBot="1">
      <c r="A15" s="42">
        <v>2</v>
      </c>
      <c r="B15" s="43" t="s">
        <v>129</v>
      </c>
      <c r="C15" s="43" t="s">
        <v>139</v>
      </c>
      <c r="D15" s="43" t="s">
        <v>129</v>
      </c>
      <c r="E15" s="43" t="s">
        <v>134</v>
      </c>
      <c r="F15" s="44"/>
      <c r="G15" s="44"/>
      <c r="H15" s="45" t="s">
        <v>219</v>
      </c>
      <c r="I15" s="46">
        <f>+I16</f>
        <v>53215931</v>
      </c>
      <c r="J15" s="47">
        <f t="shared" ref="J15:X15" si="8">+J16</f>
        <v>53215931</v>
      </c>
      <c r="K15" s="47">
        <f t="shared" si="8"/>
        <v>53215931</v>
      </c>
      <c r="L15" s="47">
        <f t="shared" si="8"/>
        <v>53215931</v>
      </c>
      <c r="M15" s="47">
        <f t="shared" si="8"/>
        <v>0</v>
      </c>
      <c r="N15" s="47">
        <f t="shared" si="8"/>
        <v>0</v>
      </c>
      <c r="O15" s="47">
        <f t="shared" si="8"/>
        <v>0</v>
      </c>
      <c r="P15" s="47">
        <f t="shared" si="8"/>
        <v>0</v>
      </c>
      <c r="Q15" s="47">
        <f t="shared" si="8"/>
        <v>0</v>
      </c>
      <c r="R15" s="47">
        <f t="shared" si="8"/>
        <v>0</v>
      </c>
      <c r="S15" s="47">
        <f t="shared" si="8"/>
        <v>0</v>
      </c>
      <c r="T15" s="47">
        <f t="shared" si="8"/>
        <v>0</v>
      </c>
      <c r="U15" s="47">
        <f t="shared" si="8"/>
        <v>0</v>
      </c>
      <c r="V15" s="47">
        <f t="shared" si="8"/>
        <v>0</v>
      </c>
      <c r="W15" s="47">
        <f t="shared" si="8"/>
        <v>0</v>
      </c>
      <c r="X15" s="47">
        <f t="shared" si="8"/>
        <v>0</v>
      </c>
      <c r="Y15" s="47">
        <f t="shared" si="2"/>
        <v>53215931</v>
      </c>
      <c r="Z15" s="47">
        <f t="shared" si="1"/>
        <v>53215931</v>
      </c>
      <c r="AA15" s="47">
        <f t="shared" si="1"/>
        <v>53215931</v>
      </c>
      <c r="AB15" s="47">
        <f t="shared" si="1"/>
        <v>53215931</v>
      </c>
      <c r="AC15" s="36"/>
    </row>
    <row r="16" spans="1:30" ht="16.5" thickTop="1" thickBot="1">
      <c r="A16" s="42">
        <v>2</v>
      </c>
      <c r="B16" s="43" t="s">
        <v>129</v>
      </c>
      <c r="C16" s="43" t="s">
        <v>139</v>
      </c>
      <c r="D16" s="43" t="s">
        <v>129</v>
      </c>
      <c r="E16" s="43" t="s">
        <v>134</v>
      </c>
      <c r="F16" s="43" t="s">
        <v>129</v>
      </c>
      <c r="G16" s="43"/>
      <c r="H16" s="45" t="s">
        <v>220</v>
      </c>
      <c r="I16" s="46">
        <v>53215931</v>
      </c>
      <c r="J16" s="47">
        <v>53215931</v>
      </c>
      <c r="K16" s="47">
        <v>53215931</v>
      </c>
      <c r="L16" s="47">
        <v>53215931</v>
      </c>
      <c r="M16" s="47"/>
      <c r="N16" s="47"/>
      <c r="O16" s="47"/>
      <c r="P16" s="47"/>
      <c r="Q16" s="47"/>
      <c r="R16" s="47"/>
      <c r="S16" s="47"/>
      <c r="T16" s="47"/>
      <c r="U16" s="47"/>
      <c r="V16" s="47"/>
      <c r="W16" s="47"/>
      <c r="X16" s="47"/>
      <c r="Y16" s="47">
        <f t="shared" si="2"/>
        <v>53215931</v>
      </c>
      <c r="Z16" s="47">
        <f t="shared" si="1"/>
        <v>53215931</v>
      </c>
      <c r="AA16" s="47">
        <f t="shared" si="1"/>
        <v>53215931</v>
      </c>
      <c r="AB16" s="47">
        <f t="shared" si="1"/>
        <v>53215931</v>
      </c>
      <c r="AC16" s="36"/>
    </row>
    <row r="17" spans="1:29" s="647" customFormat="1" ht="16.5" thickTop="1" thickBot="1">
      <c r="A17" s="48">
        <v>2</v>
      </c>
      <c r="B17" s="49" t="s">
        <v>129</v>
      </c>
      <c r="C17" s="49" t="s">
        <v>139</v>
      </c>
      <c r="D17" s="49" t="s">
        <v>134</v>
      </c>
      <c r="E17" s="49"/>
      <c r="F17" s="49"/>
      <c r="G17" s="49"/>
      <c r="H17" s="50" t="s">
        <v>221</v>
      </c>
      <c r="I17" s="51">
        <f>+I18</f>
        <v>0</v>
      </c>
      <c r="J17" s="52">
        <f t="shared" ref="J17:X17" si="9">+J18</f>
        <v>0</v>
      </c>
      <c r="K17" s="52">
        <f t="shared" si="9"/>
        <v>0</v>
      </c>
      <c r="L17" s="52">
        <f t="shared" si="9"/>
        <v>0</v>
      </c>
      <c r="M17" s="52">
        <f t="shared" si="9"/>
        <v>0</v>
      </c>
      <c r="N17" s="52">
        <f t="shared" si="9"/>
        <v>0</v>
      </c>
      <c r="O17" s="52">
        <f t="shared" si="9"/>
        <v>0</v>
      </c>
      <c r="P17" s="52">
        <f t="shared" si="9"/>
        <v>0</v>
      </c>
      <c r="Q17" s="52">
        <f t="shared" si="9"/>
        <v>0</v>
      </c>
      <c r="R17" s="52">
        <f t="shared" si="9"/>
        <v>0</v>
      </c>
      <c r="S17" s="52">
        <f t="shared" si="9"/>
        <v>0</v>
      </c>
      <c r="T17" s="52">
        <f t="shared" si="9"/>
        <v>0</v>
      </c>
      <c r="U17" s="52">
        <f t="shared" si="9"/>
        <v>0</v>
      </c>
      <c r="V17" s="52">
        <f t="shared" si="9"/>
        <v>0</v>
      </c>
      <c r="W17" s="52">
        <f t="shared" si="9"/>
        <v>0</v>
      </c>
      <c r="X17" s="52">
        <f t="shared" si="9"/>
        <v>0</v>
      </c>
      <c r="Y17" s="52">
        <f t="shared" si="2"/>
        <v>0</v>
      </c>
      <c r="Z17" s="52">
        <f t="shared" si="1"/>
        <v>0</v>
      </c>
      <c r="AA17" s="52">
        <f t="shared" si="1"/>
        <v>0</v>
      </c>
      <c r="AB17" s="52">
        <f t="shared" si="1"/>
        <v>0</v>
      </c>
      <c r="AC17" s="36"/>
    </row>
    <row r="18" spans="1:29" ht="16.5" thickTop="1" thickBot="1">
      <c r="A18" s="42">
        <v>2</v>
      </c>
      <c r="B18" s="43" t="s">
        <v>129</v>
      </c>
      <c r="C18" s="43" t="s">
        <v>139</v>
      </c>
      <c r="D18" s="43" t="s">
        <v>134</v>
      </c>
      <c r="E18" s="43" t="s">
        <v>129</v>
      </c>
      <c r="F18" s="43"/>
      <c r="G18" s="43"/>
      <c r="H18" s="45" t="s">
        <v>222</v>
      </c>
      <c r="I18" s="46">
        <f>+I19+I20</f>
        <v>0</v>
      </c>
      <c r="J18" s="47">
        <f t="shared" ref="J18:X18" si="10">+J19+J20</f>
        <v>0</v>
      </c>
      <c r="K18" s="47">
        <f t="shared" si="10"/>
        <v>0</v>
      </c>
      <c r="L18" s="47">
        <f t="shared" si="10"/>
        <v>0</v>
      </c>
      <c r="M18" s="47">
        <f t="shared" si="10"/>
        <v>0</v>
      </c>
      <c r="N18" s="47">
        <f t="shared" si="10"/>
        <v>0</v>
      </c>
      <c r="O18" s="47">
        <f t="shared" si="10"/>
        <v>0</v>
      </c>
      <c r="P18" s="47">
        <f t="shared" si="10"/>
        <v>0</v>
      </c>
      <c r="Q18" s="47">
        <f t="shared" si="10"/>
        <v>0</v>
      </c>
      <c r="R18" s="47">
        <f t="shared" si="10"/>
        <v>0</v>
      </c>
      <c r="S18" s="47">
        <f t="shared" si="10"/>
        <v>0</v>
      </c>
      <c r="T18" s="47">
        <f t="shared" si="10"/>
        <v>0</v>
      </c>
      <c r="U18" s="47">
        <f t="shared" si="10"/>
        <v>0</v>
      </c>
      <c r="V18" s="47">
        <f t="shared" si="10"/>
        <v>0</v>
      </c>
      <c r="W18" s="47">
        <f t="shared" si="10"/>
        <v>0</v>
      </c>
      <c r="X18" s="47">
        <f t="shared" si="10"/>
        <v>0</v>
      </c>
      <c r="Y18" s="47">
        <f t="shared" si="2"/>
        <v>0</v>
      </c>
      <c r="Z18" s="47">
        <f t="shared" si="1"/>
        <v>0</v>
      </c>
      <c r="AA18" s="47">
        <f t="shared" si="1"/>
        <v>0</v>
      </c>
      <c r="AB18" s="47">
        <f t="shared" si="1"/>
        <v>0</v>
      </c>
      <c r="AC18" s="36"/>
    </row>
    <row r="19" spans="1:29" ht="16.5" thickTop="1" thickBot="1">
      <c r="A19" s="42">
        <v>2</v>
      </c>
      <c r="B19" s="43" t="s">
        <v>129</v>
      </c>
      <c r="C19" s="43" t="s">
        <v>139</v>
      </c>
      <c r="D19" s="43" t="s">
        <v>134</v>
      </c>
      <c r="E19" s="43" t="s">
        <v>129</v>
      </c>
      <c r="F19" s="43" t="s">
        <v>129</v>
      </c>
      <c r="G19" s="43"/>
      <c r="H19" s="45" t="s">
        <v>223</v>
      </c>
      <c r="I19" s="46">
        <v>0</v>
      </c>
      <c r="J19" s="47"/>
      <c r="K19" s="47"/>
      <c r="L19" s="47"/>
      <c r="M19" s="47"/>
      <c r="N19" s="47"/>
      <c r="O19" s="47"/>
      <c r="P19" s="47"/>
      <c r="Q19" s="47"/>
      <c r="R19" s="47"/>
      <c r="S19" s="47"/>
      <c r="T19" s="47"/>
      <c r="U19" s="47"/>
      <c r="V19" s="47"/>
      <c r="W19" s="47"/>
      <c r="X19" s="47"/>
      <c r="Y19" s="47">
        <f t="shared" si="2"/>
        <v>0</v>
      </c>
      <c r="Z19" s="47">
        <f t="shared" si="1"/>
        <v>0</v>
      </c>
      <c r="AA19" s="47">
        <f t="shared" si="1"/>
        <v>0</v>
      </c>
      <c r="AB19" s="47">
        <f t="shared" si="1"/>
        <v>0</v>
      </c>
      <c r="AC19" s="36"/>
    </row>
    <row r="20" spans="1:29" ht="16.5" thickTop="1" thickBot="1">
      <c r="A20" s="42">
        <v>2</v>
      </c>
      <c r="B20" s="43" t="s">
        <v>129</v>
      </c>
      <c r="C20" s="43" t="s">
        <v>139</v>
      </c>
      <c r="D20" s="43" t="s">
        <v>134</v>
      </c>
      <c r="E20" s="43" t="s">
        <v>129</v>
      </c>
      <c r="F20" s="43" t="s">
        <v>134</v>
      </c>
      <c r="G20" s="43"/>
      <c r="H20" s="45" t="s">
        <v>224</v>
      </c>
      <c r="I20" s="46">
        <v>0</v>
      </c>
      <c r="J20" s="47"/>
      <c r="K20" s="47"/>
      <c r="L20" s="47"/>
      <c r="M20" s="47"/>
      <c r="N20" s="47"/>
      <c r="O20" s="47"/>
      <c r="P20" s="47"/>
      <c r="Q20" s="47"/>
      <c r="R20" s="47"/>
      <c r="S20" s="47"/>
      <c r="T20" s="47"/>
      <c r="U20" s="47"/>
      <c r="V20" s="47"/>
      <c r="W20" s="47"/>
      <c r="X20" s="47"/>
      <c r="Y20" s="47">
        <f t="shared" si="2"/>
        <v>0</v>
      </c>
      <c r="Z20" s="47">
        <f t="shared" si="2"/>
        <v>0</v>
      </c>
      <c r="AA20" s="47">
        <f t="shared" si="2"/>
        <v>0</v>
      </c>
      <c r="AB20" s="47">
        <f t="shared" si="2"/>
        <v>0</v>
      </c>
      <c r="AC20" s="36"/>
    </row>
    <row r="21" spans="1:29" s="647" customFormat="1" ht="16.5" thickTop="1" thickBot="1">
      <c r="A21" s="48">
        <v>2</v>
      </c>
      <c r="B21" s="49" t="s">
        <v>129</v>
      </c>
      <c r="C21" s="49" t="s">
        <v>139</v>
      </c>
      <c r="D21" s="49" t="s">
        <v>139</v>
      </c>
      <c r="E21" s="49"/>
      <c r="F21" s="49"/>
      <c r="G21" s="49"/>
      <c r="H21" s="50" t="s">
        <v>56</v>
      </c>
      <c r="I21" s="51">
        <f>+I22+I23</f>
        <v>0</v>
      </c>
      <c r="J21" s="52">
        <f t="shared" ref="J21:X21" si="11">+J22+J23</f>
        <v>0</v>
      </c>
      <c r="K21" s="52">
        <f t="shared" si="11"/>
        <v>0</v>
      </c>
      <c r="L21" s="52">
        <f t="shared" si="11"/>
        <v>0</v>
      </c>
      <c r="M21" s="52">
        <f t="shared" si="11"/>
        <v>0</v>
      </c>
      <c r="N21" s="52">
        <f t="shared" si="11"/>
        <v>0</v>
      </c>
      <c r="O21" s="52">
        <f t="shared" si="11"/>
        <v>0</v>
      </c>
      <c r="P21" s="52">
        <f t="shared" si="11"/>
        <v>0</v>
      </c>
      <c r="Q21" s="52">
        <f t="shared" si="11"/>
        <v>0</v>
      </c>
      <c r="R21" s="52">
        <f t="shared" si="11"/>
        <v>0</v>
      </c>
      <c r="S21" s="52">
        <f t="shared" si="11"/>
        <v>0</v>
      </c>
      <c r="T21" s="52">
        <f t="shared" si="11"/>
        <v>0</v>
      </c>
      <c r="U21" s="52">
        <f t="shared" si="11"/>
        <v>0</v>
      </c>
      <c r="V21" s="52">
        <f t="shared" si="11"/>
        <v>0</v>
      </c>
      <c r="W21" s="52">
        <f t="shared" si="11"/>
        <v>0</v>
      </c>
      <c r="X21" s="52">
        <f t="shared" si="11"/>
        <v>0</v>
      </c>
      <c r="Y21" s="52">
        <f t="shared" si="2"/>
        <v>0</v>
      </c>
      <c r="Z21" s="52">
        <f t="shared" si="2"/>
        <v>0</v>
      </c>
      <c r="AA21" s="52">
        <f t="shared" si="2"/>
        <v>0</v>
      </c>
      <c r="AB21" s="52">
        <f t="shared" si="2"/>
        <v>0</v>
      </c>
      <c r="AC21" s="36"/>
    </row>
    <row r="22" spans="1:29" ht="16.5" thickTop="1" thickBot="1">
      <c r="A22" s="42">
        <v>2</v>
      </c>
      <c r="B22" s="43" t="s">
        <v>129</v>
      </c>
      <c r="C22" s="43" t="s">
        <v>139</v>
      </c>
      <c r="D22" s="43" t="s">
        <v>139</v>
      </c>
      <c r="E22" s="43" t="s">
        <v>129</v>
      </c>
      <c r="F22" s="43"/>
      <c r="G22" s="43"/>
      <c r="H22" s="45" t="s">
        <v>225</v>
      </c>
      <c r="I22" s="46"/>
      <c r="J22" s="47"/>
      <c r="K22" s="47"/>
      <c r="L22" s="47"/>
      <c r="M22" s="47"/>
      <c r="N22" s="47"/>
      <c r="O22" s="47"/>
      <c r="P22" s="47"/>
      <c r="Q22" s="47"/>
      <c r="R22" s="47"/>
      <c r="S22" s="47"/>
      <c r="T22" s="47"/>
      <c r="U22" s="47"/>
      <c r="V22" s="47"/>
      <c r="W22" s="47"/>
      <c r="X22" s="47"/>
      <c r="Y22" s="47">
        <f t="shared" si="2"/>
        <v>0</v>
      </c>
      <c r="Z22" s="47">
        <f t="shared" si="2"/>
        <v>0</v>
      </c>
      <c r="AA22" s="47">
        <f t="shared" si="2"/>
        <v>0</v>
      </c>
      <c r="AB22" s="47">
        <f t="shared" si="2"/>
        <v>0</v>
      </c>
      <c r="AC22" s="36"/>
    </row>
    <row r="23" spans="1:29" ht="16.5" thickTop="1" thickBot="1">
      <c r="A23" s="42">
        <v>2</v>
      </c>
      <c r="B23" s="43" t="s">
        <v>129</v>
      </c>
      <c r="C23" s="43" t="s">
        <v>139</v>
      </c>
      <c r="D23" s="43" t="s">
        <v>139</v>
      </c>
      <c r="E23" s="43" t="s">
        <v>134</v>
      </c>
      <c r="F23" s="43"/>
      <c r="G23" s="43"/>
      <c r="H23" s="45" t="s">
        <v>226</v>
      </c>
      <c r="I23" s="46"/>
      <c r="J23" s="47"/>
      <c r="K23" s="47"/>
      <c r="L23" s="47"/>
      <c r="M23" s="47"/>
      <c r="N23" s="47"/>
      <c r="O23" s="47"/>
      <c r="P23" s="47"/>
      <c r="Q23" s="47"/>
      <c r="R23" s="47"/>
      <c r="S23" s="47"/>
      <c r="T23" s="47"/>
      <c r="U23" s="47"/>
      <c r="V23" s="47"/>
      <c r="W23" s="47"/>
      <c r="X23" s="47"/>
      <c r="Y23" s="47">
        <f t="shared" si="2"/>
        <v>0</v>
      </c>
      <c r="Z23" s="47">
        <f t="shared" si="2"/>
        <v>0</v>
      </c>
      <c r="AA23" s="47">
        <f t="shared" si="2"/>
        <v>0</v>
      </c>
      <c r="AB23" s="47">
        <f t="shared" si="2"/>
        <v>0</v>
      </c>
      <c r="AC23" s="36"/>
    </row>
    <row r="24" spans="1:29" ht="16.5" thickTop="1" thickBot="1">
      <c r="A24" s="41">
        <v>2</v>
      </c>
      <c r="B24" s="37" t="s">
        <v>129</v>
      </c>
      <c r="C24" s="37" t="s">
        <v>140</v>
      </c>
      <c r="D24" s="37"/>
      <c r="E24" s="37"/>
      <c r="F24" s="37"/>
      <c r="G24" s="37"/>
      <c r="H24" s="38" t="s">
        <v>227</v>
      </c>
      <c r="I24" s="39">
        <f t="shared" ref="I24:X24" si="12">+I25+I29+I31+I33</f>
        <v>334452269</v>
      </c>
      <c r="J24" s="40">
        <f t="shared" si="12"/>
        <v>333591379</v>
      </c>
      <c r="K24" s="40">
        <f t="shared" si="12"/>
        <v>333591379</v>
      </c>
      <c r="L24" s="40">
        <f t="shared" si="12"/>
        <v>333591379</v>
      </c>
      <c r="M24" s="40">
        <f t="shared" si="12"/>
        <v>10200000</v>
      </c>
      <c r="N24" s="40">
        <f t="shared" si="12"/>
        <v>10200000</v>
      </c>
      <c r="O24" s="40">
        <f t="shared" si="12"/>
        <v>10200000</v>
      </c>
      <c r="P24" s="40">
        <f t="shared" si="12"/>
        <v>10200000</v>
      </c>
      <c r="Q24" s="40">
        <f t="shared" si="12"/>
        <v>0</v>
      </c>
      <c r="R24" s="40">
        <f t="shared" si="12"/>
        <v>0</v>
      </c>
      <c r="S24" s="40">
        <f t="shared" si="12"/>
        <v>0</v>
      </c>
      <c r="T24" s="40">
        <f t="shared" si="12"/>
        <v>0</v>
      </c>
      <c r="U24" s="40">
        <f t="shared" si="12"/>
        <v>0</v>
      </c>
      <c r="V24" s="40">
        <f t="shared" si="12"/>
        <v>0</v>
      </c>
      <c r="W24" s="40">
        <f t="shared" si="12"/>
        <v>0</v>
      </c>
      <c r="X24" s="40">
        <f t="shared" si="12"/>
        <v>0</v>
      </c>
      <c r="Y24" s="40">
        <f t="shared" si="2"/>
        <v>344652269</v>
      </c>
      <c r="Z24" s="40">
        <f t="shared" si="2"/>
        <v>343791379</v>
      </c>
      <c r="AA24" s="40">
        <f t="shared" si="2"/>
        <v>343791379</v>
      </c>
      <c r="AB24" s="40">
        <f t="shared" si="2"/>
        <v>343791379</v>
      </c>
      <c r="AC24" s="36"/>
    </row>
    <row r="25" spans="1:29" s="647" customFormat="1" ht="16.5" thickTop="1" thickBot="1">
      <c r="A25" s="48">
        <v>2</v>
      </c>
      <c r="B25" s="49" t="s">
        <v>129</v>
      </c>
      <c r="C25" s="49" t="s">
        <v>140</v>
      </c>
      <c r="D25" s="49" t="s">
        <v>129</v>
      </c>
      <c r="E25" s="49"/>
      <c r="F25" s="49"/>
      <c r="G25" s="49"/>
      <c r="H25" s="50" t="s">
        <v>228</v>
      </c>
      <c r="I25" s="51">
        <f>+I26</f>
        <v>33417350</v>
      </c>
      <c r="J25" s="52">
        <f t="shared" ref="J25:X25" si="13">+J26</f>
        <v>32556460</v>
      </c>
      <c r="K25" s="52">
        <f t="shared" si="13"/>
        <v>32556460</v>
      </c>
      <c r="L25" s="52">
        <f t="shared" si="13"/>
        <v>32556460</v>
      </c>
      <c r="M25" s="52">
        <f t="shared" si="13"/>
        <v>0</v>
      </c>
      <c r="N25" s="52">
        <f t="shared" si="13"/>
        <v>0</v>
      </c>
      <c r="O25" s="52">
        <f t="shared" si="13"/>
        <v>0</v>
      </c>
      <c r="P25" s="52">
        <f t="shared" si="13"/>
        <v>0</v>
      </c>
      <c r="Q25" s="52">
        <f t="shared" si="13"/>
        <v>0</v>
      </c>
      <c r="R25" s="52">
        <f t="shared" si="13"/>
        <v>0</v>
      </c>
      <c r="S25" s="52">
        <f t="shared" si="13"/>
        <v>0</v>
      </c>
      <c r="T25" s="52">
        <f t="shared" si="13"/>
        <v>0</v>
      </c>
      <c r="U25" s="52">
        <f t="shared" si="13"/>
        <v>0</v>
      </c>
      <c r="V25" s="52">
        <f t="shared" si="13"/>
        <v>0</v>
      </c>
      <c r="W25" s="52">
        <f t="shared" si="13"/>
        <v>0</v>
      </c>
      <c r="X25" s="52">
        <f t="shared" si="13"/>
        <v>0</v>
      </c>
      <c r="Y25" s="52">
        <f t="shared" si="2"/>
        <v>33417350</v>
      </c>
      <c r="Z25" s="52">
        <f t="shared" si="2"/>
        <v>32556460</v>
      </c>
      <c r="AA25" s="52">
        <f t="shared" si="2"/>
        <v>32556460</v>
      </c>
      <c r="AB25" s="52">
        <f t="shared" si="2"/>
        <v>32556460</v>
      </c>
      <c r="AC25" s="36"/>
    </row>
    <row r="26" spans="1:29" ht="16.5" thickTop="1" thickBot="1">
      <c r="A26" s="649">
        <v>2</v>
      </c>
      <c r="B26" s="44" t="s">
        <v>129</v>
      </c>
      <c r="C26" s="44" t="s">
        <v>140</v>
      </c>
      <c r="D26" s="44" t="s">
        <v>129</v>
      </c>
      <c r="E26" s="44" t="s">
        <v>129</v>
      </c>
      <c r="F26" s="44"/>
      <c r="G26" s="44"/>
      <c r="H26" s="650" t="s">
        <v>229</v>
      </c>
      <c r="I26" s="55">
        <f>+I27+I28</f>
        <v>33417350</v>
      </c>
      <c r="J26" s="56">
        <f t="shared" ref="J26:X26" si="14">+J27+J28</f>
        <v>32556460</v>
      </c>
      <c r="K26" s="56">
        <f t="shared" si="14"/>
        <v>32556460</v>
      </c>
      <c r="L26" s="56">
        <f t="shared" si="14"/>
        <v>32556460</v>
      </c>
      <c r="M26" s="56">
        <f t="shared" si="14"/>
        <v>0</v>
      </c>
      <c r="N26" s="56">
        <f t="shared" si="14"/>
        <v>0</v>
      </c>
      <c r="O26" s="56">
        <f t="shared" si="14"/>
        <v>0</v>
      </c>
      <c r="P26" s="56">
        <f t="shared" si="14"/>
        <v>0</v>
      </c>
      <c r="Q26" s="56">
        <f t="shared" si="14"/>
        <v>0</v>
      </c>
      <c r="R26" s="56">
        <f t="shared" si="14"/>
        <v>0</v>
      </c>
      <c r="S26" s="56">
        <f t="shared" si="14"/>
        <v>0</v>
      </c>
      <c r="T26" s="56">
        <f t="shared" si="14"/>
        <v>0</v>
      </c>
      <c r="U26" s="56">
        <f t="shared" si="14"/>
        <v>0</v>
      </c>
      <c r="V26" s="56">
        <f t="shared" si="14"/>
        <v>0</v>
      </c>
      <c r="W26" s="56">
        <f t="shared" si="14"/>
        <v>0</v>
      </c>
      <c r="X26" s="56">
        <f t="shared" si="14"/>
        <v>0</v>
      </c>
      <c r="Y26" s="56">
        <f t="shared" si="2"/>
        <v>33417350</v>
      </c>
      <c r="Z26" s="56">
        <f t="shared" si="2"/>
        <v>32556460</v>
      </c>
      <c r="AA26" s="56">
        <f t="shared" si="2"/>
        <v>32556460</v>
      </c>
      <c r="AB26" s="56">
        <f t="shared" si="2"/>
        <v>32556460</v>
      </c>
      <c r="AC26" s="36"/>
    </row>
    <row r="27" spans="1:29" s="648" customFormat="1" ht="16.5" thickTop="1" thickBot="1">
      <c r="A27" s="42">
        <v>2</v>
      </c>
      <c r="B27" s="43" t="s">
        <v>129</v>
      </c>
      <c r="C27" s="43" t="s">
        <v>140</v>
      </c>
      <c r="D27" s="43" t="s">
        <v>129</v>
      </c>
      <c r="E27" s="43" t="s">
        <v>129</v>
      </c>
      <c r="F27" s="43" t="s">
        <v>129</v>
      </c>
      <c r="G27" s="43"/>
      <c r="H27" s="45" t="s">
        <v>230</v>
      </c>
      <c r="I27" s="53">
        <v>27554500</v>
      </c>
      <c r="J27" s="54">
        <v>27554500</v>
      </c>
      <c r="K27" s="54">
        <v>27554500</v>
      </c>
      <c r="L27" s="54">
        <v>27554500</v>
      </c>
      <c r="M27" s="54"/>
      <c r="N27" s="54"/>
      <c r="O27" s="54"/>
      <c r="P27" s="54"/>
      <c r="Q27" s="54"/>
      <c r="R27" s="54"/>
      <c r="S27" s="54"/>
      <c r="T27" s="54"/>
      <c r="U27" s="54"/>
      <c r="V27" s="54"/>
      <c r="W27" s="54"/>
      <c r="X27" s="54"/>
      <c r="Y27" s="54">
        <f t="shared" si="2"/>
        <v>27554500</v>
      </c>
      <c r="Z27" s="54">
        <f t="shared" si="2"/>
        <v>27554500</v>
      </c>
      <c r="AA27" s="54">
        <f t="shared" si="2"/>
        <v>27554500</v>
      </c>
      <c r="AB27" s="54">
        <f t="shared" si="2"/>
        <v>27554500</v>
      </c>
      <c r="AC27" s="36"/>
    </row>
    <row r="28" spans="1:29" s="648" customFormat="1" ht="16.5" thickTop="1" thickBot="1">
      <c r="A28" s="42">
        <v>2</v>
      </c>
      <c r="B28" s="43" t="s">
        <v>129</v>
      </c>
      <c r="C28" s="43" t="s">
        <v>140</v>
      </c>
      <c r="D28" s="43" t="s">
        <v>129</v>
      </c>
      <c r="E28" s="43" t="s">
        <v>129</v>
      </c>
      <c r="F28" s="43" t="s">
        <v>134</v>
      </c>
      <c r="G28" s="43"/>
      <c r="H28" s="45" t="s">
        <v>231</v>
      </c>
      <c r="I28" s="53">
        <v>5862850</v>
      </c>
      <c r="J28" s="54">
        <v>5001960</v>
      </c>
      <c r="K28" s="54">
        <v>5001960</v>
      </c>
      <c r="L28" s="54">
        <v>5001960</v>
      </c>
      <c r="M28" s="54"/>
      <c r="N28" s="54"/>
      <c r="O28" s="54"/>
      <c r="P28" s="54"/>
      <c r="Q28" s="54"/>
      <c r="R28" s="54"/>
      <c r="S28" s="54"/>
      <c r="T28" s="54"/>
      <c r="U28" s="54"/>
      <c r="V28" s="54"/>
      <c r="W28" s="54"/>
      <c r="X28" s="54"/>
      <c r="Y28" s="54">
        <f t="shared" si="2"/>
        <v>5862850</v>
      </c>
      <c r="Z28" s="54">
        <f t="shared" si="2"/>
        <v>5001960</v>
      </c>
      <c r="AA28" s="54">
        <f t="shared" si="2"/>
        <v>5001960</v>
      </c>
      <c r="AB28" s="54">
        <f t="shared" si="2"/>
        <v>5001960</v>
      </c>
      <c r="AC28" s="36"/>
    </row>
    <row r="29" spans="1:29" s="647" customFormat="1" ht="16.5" thickTop="1" thickBot="1">
      <c r="A29" s="48">
        <v>2</v>
      </c>
      <c r="B29" s="49" t="s">
        <v>129</v>
      </c>
      <c r="C29" s="49" t="s">
        <v>140</v>
      </c>
      <c r="D29" s="49" t="s">
        <v>134</v>
      </c>
      <c r="E29" s="49"/>
      <c r="F29" s="49"/>
      <c r="G29" s="49"/>
      <c r="H29" s="50" t="s">
        <v>232</v>
      </c>
      <c r="I29" s="51">
        <f>+I30</f>
        <v>0</v>
      </c>
      <c r="J29" s="52">
        <f t="shared" ref="J29:X29" si="15">+J30</f>
        <v>0</v>
      </c>
      <c r="K29" s="52">
        <f t="shared" si="15"/>
        <v>0</v>
      </c>
      <c r="L29" s="52">
        <f t="shared" si="15"/>
        <v>0</v>
      </c>
      <c r="M29" s="52">
        <f t="shared" si="15"/>
        <v>0</v>
      </c>
      <c r="N29" s="52">
        <f t="shared" si="15"/>
        <v>0</v>
      </c>
      <c r="O29" s="52">
        <f t="shared" si="15"/>
        <v>0</v>
      </c>
      <c r="P29" s="52">
        <f t="shared" si="15"/>
        <v>0</v>
      </c>
      <c r="Q29" s="52">
        <f t="shared" si="15"/>
        <v>0</v>
      </c>
      <c r="R29" s="52">
        <f t="shared" si="15"/>
        <v>0</v>
      </c>
      <c r="S29" s="52">
        <f t="shared" si="15"/>
        <v>0</v>
      </c>
      <c r="T29" s="52">
        <f t="shared" si="15"/>
        <v>0</v>
      </c>
      <c r="U29" s="52">
        <f t="shared" si="15"/>
        <v>0</v>
      </c>
      <c r="V29" s="52">
        <f t="shared" si="15"/>
        <v>0</v>
      </c>
      <c r="W29" s="52">
        <f t="shared" si="15"/>
        <v>0</v>
      </c>
      <c r="X29" s="52">
        <f t="shared" si="15"/>
        <v>0</v>
      </c>
      <c r="Y29" s="52">
        <f t="shared" si="2"/>
        <v>0</v>
      </c>
      <c r="Z29" s="52">
        <f t="shared" si="2"/>
        <v>0</v>
      </c>
      <c r="AA29" s="52">
        <f t="shared" si="2"/>
        <v>0</v>
      </c>
      <c r="AB29" s="52">
        <f t="shared" si="2"/>
        <v>0</v>
      </c>
      <c r="AC29" s="36"/>
    </row>
    <row r="30" spans="1:29" s="648" customFormat="1" ht="16.5" thickTop="1" thickBot="1">
      <c r="A30" s="42">
        <v>2</v>
      </c>
      <c r="B30" s="43" t="s">
        <v>129</v>
      </c>
      <c r="C30" s="43" t="s">
        <v>140</v>
      </c>
      <c r="D30" s="43" t="s">
        <v>134</v>
      </c>
      <c r="E30" s="43" t="s">
        <v>129</v>
      </c>
      <c r="F30" s="43"/>
      <c r="G30" s="43"/>
      <c r="H30" s="45" t="s">
        <v>233</v>
      </c>
      <c r="I30" s="53"/>
      <c r="J30" s="54"/>
      <c r="K30" s="54"/>
      <c r="L30" s="54"/>
      <c r="M30" s="54"/>
      <c r="N30" s="54"/>
      <c r="O30" s="54"/>
      <c r="P30" s="54"/>
      <c r="Q30" s="54"/>
      <c r="R30" s="54"/>
      <c r="S30" s="54"/>
      <c r="T30" s="54"/>
      <c r="U30" s="54"/>
      <c r="V30" s="54"/>
      <c r="W30" s="54"/>
      <c r="X30" s="54"/>
      <c r="Y30" s="54">
        <f t="shared" si="2"/>
        <v>0</v>
      </c>
      <c r="Z30" s="54">
        <f t="shared" si="2"/>
        <v>0</v>
      </c>
      <c r="AA30" s="54">
        <f t="shared" si="2"/>
        <v>0</v>
      </c>
      <c r="AB30" s="54">
        <f t="shared" si="2"/>
        <v>0</v>
      </c>
      <c r="AC30" s="36"/>
    </row>
    <row r="31" spans="1:29" s="647" customFormat="1" ht="16.5" thickTop="1" thickBot="1">
      <c r="A31" s="48">
        <v>2</v>
      </c>
      <c r="B31" s="49" t="s">
        <v>129</v>
      </c>
      <c r="C31" s="49" t="s">
        <v>140</v>
      </c>
      <c r="D31" s="49" t="s">
        <v>139</v>
      </c>
      <c r="E31" s="49"/>
      <c r="F31" s="49"/>
      <c r="G31" s="49"/>
      <c r="H31" s="50" t="s">
        <v>234</v>
      </c>
      <c r="I31" s="51">
        <f>+I32</f>
        <v>301034919</v>
      </c>
      <c r="J31" s="52">
        <f t="shared" ref="J31:X31" si="16">+J32</f>
        <v>301034919</v>
      </c>
      <c r="K31" s="52">
        <f t="shared" si="16"/>
        <v>301034919</v>
      </c>
      <c r="L31" s="52">
        <f t="shared" si="16"/>
        <v>301034919</v>
      </c>
      <c r="M31" s="52">
        <f t="shared" si="16"/>
        <v>10200000</v>
      </c>
      <c r="N31" s="52">
        <f t="shared" si="16"/>
        <v>10200000</v>
      </c>
      <c r="O31" s="52">
        <f t="shared" si="16"/>
        <v>10200000</v>
      </c>
      <c r="P31" s="52">
        <f t="shared" si="16"/>
        <v>10200000</v>
      </c>
      <c r="Q31" s="52">
        <f t="shared" si="16"/>
        <v>0</v>
      </c>
      <c r="R31" s="52">
        <f t="shared" si="16"/>
        <v>0</v>
      </c>
      <c r="S31" s="52">
        <f t="shared" si="16"/>
        <v>0</v>
      </c>
      <c r="T31" s="52">
        <f t="shared" si="16"/>
        <v>0</v>
      </c>
      <c r="U31" s="52">
        <f t="shared" si="16"/>
        <v>0</v>
      </c>
      <c r="V31" s="52">
        <f t="shared" si="16"/>
        <v>0</v>
      </c>
      <c r="W31" s="52">
        <f t="shared" si="16"/>
        <v>0</v>
      </c>
      <c r="X31" s="52">
        <f t="shared" si="16"/>
        <v>0</v>
      </c>
      <c r="Y31" s="52">
        <f t="shared" si="2"/>
        <v>311234919</v>
      </c>
      <c r="Z31" s="52">
        <f t="shared" si="2"/>
        <v>311234919</v>
      </c>
      <c r="AA31" s="52">
        <f t="shared" si="2"/>
        <v>311234919</v>
      </c>
      <c r="AB31" s="52">
        <f t="shared" si="2"/>
        <v>311234919</v>
      </c>
      <c r="AC31" s="36"/>
    </row>
    <row r="32" spans="1:29" s="648" customFormat="1" ht="16.5" thickTop="1" thickBot="1">
      <c r="A32" s="42">
        <v>2</v>
      </c>
      <c r="B32" s="43" t="s">
        <v>129</v>
      </c>
      <c r="C32" s="43" t="s">
        <v>140</v>
      </c>
      <c r="D32" s="43" t="s">
        <v>139</v>
      </c>
      <c r="E32" s="43" t="s">
        <v>129</v>
      </c>
      <c r="F32" s="43"/>
      <c r="G32" s="43"/>
      <c r="H32" s="45" t="s">
        <v>235</v>
      </c>
      <c r="I32" s="46">
        <v>301034919</v>
      </c>
      <c r="J32" s="47">
        <v>301034919</v>
      </c>
      <c r="K32" s="47">
        <v>301034919</v>
      </c>
      <c r="L32" s="47">
        <v>301034919</v>
      </c>
      <c r="M32" s="47">
        <v>10200000</v>
      </c>
      <c r="N32" s="47">
        <v>10200000</v>
      </c>
      <c r="O32" s="47">
        <v>10200000</v>
      </c>
      <c r="P32" s="47">
        <v>10200000</v>
      </c>
      <c r="Q32" s="47"/>
      <c r="R32" s="47"/>
      <c r="S32" s="47"/>
      <c r="T32" s="47"/>
      <c r="U32" s="47"/>
      <c r="V32" s="47"/>
      <c r="W32" s="47"/>
      <c r="X32" s="47"/>
      <c r="Y32" s="47">
        <f t="shared" si="2"/>
        <v>311234919</v>
      </c>
      <c r="Z32" s="47">
        <f t="shared" si="2"/>
        <v>311234919</v>
      </c>
      <c r="AA32" s="47">
        <f t="shared" si="2"/>
        <v>311234919</v>
      </c>
      <c r="AB32" s="47">
        <f t="shared" si="2"/>
        <v>311234919</v>
      </c>
      <c r="AC32" s="36"/>
    </row>
    <row r="33" spans="1:29" ht="16.5" thickTop="1" thickBot="1">
      <c r="A33" s="57">
        <v>2</v>
      </c>
      <c r="B33" s="58" t="s">
        <v>129</v>
      </c>
      <c r="C33" s="49" t="s">
        <v>140</v>
      </c>
      <c r="D33" s="49" t="s">
        <v>140</v>
      </c>
      <c r="E33" s="57"/>
      <c r="F33" s="57"/>
      <c r="G33" s="57"/>
      <c r="H33" s="50" t="s">
        <v>148</v>
      </c>
      <c r="I33" s="59">
        <f>+I34+I35+I36</f>
        <v>0</v>
      </c>
      <c r="J33" s="60">
        <f t="shared" ref="J33:X33" si="17">+J34+J35+J36</f>
        <v>0</v>
      </c>
      <c r="K33" s="60">
        <f t="shared" si="17"/>
        <v>0</v>
      </c>
      <c r="L33" s="60">
        <f t="shared" si="17"/>
        <v>0</v>
      </c>
      <c r="M33" s="60">
        <f t="shared" si="17"/>
        <v>0</v>
      </c>
      <c r="N33" s="60">
        <f t="shared" si="17"/>
        <v>0</v>
      </c>
      <c r="O33" s="60">
        <f t="shared" si="17"/>
        <v>0</v>
      </c>
      <c r="P33" s="60">
        <f t="shared" si="17"/>
        <v>0</v>
      </c>
      <c r="Q33" s="60">
        <f t="shared" si="17"/>
        <v>0</v>
      </c>
      <c r="R33" s="60">
        <f t="shared" si="17"/>
        <v>0</v>
      </c>
      <c r="S33" s="60">
        <f t="shared" si="17"/>
        <v>0</v>
      </c>
      <c r="T33" s="60">
        <f t="shared" si="17"/>
        <v>0</v>
      </c>
      <c r="U33" s="60">
        <f t="shared" si="17"/>
        <v>0</v>
      </c>
      <c r="V33" s="60">
        <f t="shared" si="17"/>
        <v>0</v>
      </c>
      <c r="W33" s="60">
        <f t="shared" si="17"/>
        <v>0</v>
      </c>
      <c r="X33" s="60">
        <f t="shared" si="17"/>
        <v>0</v>
      </c>
      <c r="Y33" s="60">
        <f t="shared" si="2"/>
        <v>0</v>
      </c>
      <c r="Z33" s="60">
        <f t="shared" si="2"/>
        <v>0</v>
      </c>
      <c r="AA33" s="60">
        <f t="shared" si="2"/>
        <v>0</v>
      </c>
      <c r="AB33" s="60">
        <f t="shared" si="2"/>
        <v>0</v>
      </c>
      <c r="AC33" s="36"/>
    </row>
    <row r="34" spans="1:29" s="648" customFormat="1" ht="16.5" thickTop="1" thickBot="1">
      <c r="A34" s="42">
        <v>2</v>
      </c>
      <c r="B34" s="43" t="s">
        <v>129</v>
      </c>
      <c r="C34" s="43" t="s">
        <v>140</v>
      </c>
      <c r="D34" s="43" t="s">
        <v>140</v>
      </c>
      <c r="E34" s="43" t="s">
        <v>129</v>
      </c>
      <c r="F34" s="43"/>
      <c r="G34" s="43"/>
      <c r="H34" s="45" t="s">
        <v>236</v>
      </c>
      <c r="I34" s="46"/>
      <c r="J34" s="47"/>
      <c r="K34" s="47"/>
      <c r="L34" s="47"/>
      <c r="M34" s="47"/>
      <c r="N34" s="47"/>
      <c r="O34" s="47"/>
      <c r="P34" s="47"/>
      <c r="Q34" s="47"/>
      <c r="R34" s="47"/>
      <c r="S34" s="47"/>
      <c r="T34" s="47"/>
      <c r="U34" s="47"/>
      <c r="V34" s="47"/>
      <c r="W34" s="47"/>
      <c r="X34" s="47"/>
      <c r="Y34" s="47">
        <f t="shared" si="2"/>
        <v>0</v>
      </c>
      <c r="Z34" s="47">
        <f t="shared" si="2"/>
        <v>0</v>
      </c>
      <c r="AA34" s="47">
        <f t="shared" si="2"/>
        <v>0</v>
      </c>
      <c r="AB34" s="47">
        <f t="shared" si="2"/>
        <v>0</v>
      </c>
      <c r="AC34" s="36"/>
    </row>
    <row r="35" spans="1:29" s="648" customFormat="1" ht="16.5" thickTop="1" thickBot="1">
      <c r="A35" s="42">
        <v>2</v>
      </c>
      <c r="B35" s="43" t="s">
        <v>129</v>
      </c>
      <c r="C35" s="43" t="s">
        <v>140</v>
      </c>
      <c r="D35" s="43" t="s">
        <v>140</v>
      </c>
      <c r="E35" s="43" t="s">
        <v>134</v>
      </c>
      <c r="F35" s="43"/>
      <c r="G35" s="43"/>
      <c r="H35" s="45" t="s">
        <v>237</v>
      </c>
      <c r="I35" s="46"/>
      <c r="J35" s="47"/>
      <c r="K35" s="47"/>
      <c r="L35" s="47"/>
      <c r="M35" s="47"/>
      <c r="N35" s="47"/>
      <c r="O35" s="47"/>
      <c r="P35" s="47"/>
      <c r="Q35" s="47"/>
      <c r="R35" s="47"/>
      <c r="S35" s="47"/>
      <c r="T35" s="47"/>
      <c r="U35" s="47"/>
      <c r="V35" s="47"/>
      <c r="W35" s="47"/>
      <c r="X35" s="47"/>
      <c r="Y35" s="47">
        <f t="shared" si="2"/>
        <v>0</v>
      </c>
      <c r="Z35" s="47">
        <f t="shared" si="2"/>
        <v>0</v>
      </c>
      <c r="AA35" s="47">
        <f t="shared" si="2"/>
        <v>0</v>
      </c>
      <c r="AB35" s="47">
        <f t="shared" si="2"/>
        <v>0</v>
      </c>
      <c r="AC35" s="36"/>
    </row>
    <row r="36" spans="1:29" s="648" customFormat="1" ht="16.5" thickTop="1" thickBot="1">
      <c r="A36" s="42">
        <v>2</v>
      </c>
      <c r="B36" s="43" t="s">
        <v>129</v>
      </c>
      <c r="C36" s="43" t="s">
        <v>140</v>
      </c>
      <c r="D36" s="43" t="s">
        <v>140</v>
      </c>
      <c r="E36" s="43" t="s">
        <v>139</v>
      </c>
      <c r="F36" s="43"/>
      <c r="G36" s="43"/>
      <c r="H36" s="45" t="s">
        <v>150</v>
      </c>
      <c r="I36" s="46"/>
      <c r="J36" s="47"/>
      <c r="K36" s="47"/>
      <c r="L36" s="47"/>
      <c r="M36" s="47"/>
      <c r="N36" s="47"/>
      <c r="O36" s="47"/>
      <c r="P36" s="47"/>
      <c r="Q36" s="47"/>
      <c r="R36" s="47"/>
      <c r="S36" s="47"/>
      <c r="T36" s="47"/>
      <c r="U36" s="47"/>
      <c r="V36" s="47"/>
      <c r="W36" s="47"/>
      <c r="X36" s="47"/>
      <c r="Y36" s="47">
        <f t="shared" si="2"/>
        <v>0</v>
      </c>
      <c r="Z36" s="47">
        <f t="shared" si="2"/>
        <v>0</v>
      </c>
      <c r="AA36" s="47">
        <f t="shared" si="2"/>
        <v>0</v>
      </c>
      <c r="AB36" s="47">
        <f t="shared" si="2"/>
        <v>0</v>
      </c>
      <c r="AC36" s="36"/>
    </row>
    <row r="37" spans="1:29" ht="16.5" thickTop="1" thickBot="1">
      <c r="A37" s="41">
        <v>2</v>
      </c>
      <c r="B37" s="37" t="s">
        <v>134</v>
      </c>
      <c r="C37" s="37"/>
      <c r="D37" s="37"/>
      <c r="E37" s="37"/>
      <c r="F37" s="37"/>
      <c r="G37" s="37"/>
      <c r="H37" s="38" t="s">
        <v>238</v>
      </c>
      <c r="I37" s="61">
        <f>+I38+I42</f>
        <v>7055715220</v>
      </c>
      <c r="J37" s="62">
        <f t="shared" ref="J37:X37" si="18">+J38+J42</f>
        <v>3456153381.3899999</v>
      </c>
      <c r="K37" s="62">
        <f t="shared" si="18"/>
        <v>3456153381.3899999</v>
      </c>
      <c r="L37" s="62">
        <f t="shared" si="18"/>
        <v>3456153381.3899999</v>
      </c>
      <c r="M37" s="62">
        <f t="shared" si="18"/>
        <v>0</v>
      </c>
      <c r="N37" s="62">
        <f t="shared" si="18"/>
        <v>0</v>
      </c>
      <c r="O37" s="62">
        <f t="shared" si="18"/>
        <v>0</v>
      </c>
      <c r="P37" s="62">
        <f t="shared" si="18"/>
        <v>0</v>
      </c>
      <c r="Q37" s="62">
        <f t="shared" si="18"/>
        <v>0</v>
      </c>
      <c r="R37" s="62">
        <f t="shared" si="18"/>
        <v>0</v>
      </c>
      <c r="S37" s="62">
        <f t="shared" si="18"/>
        <v>0</v>
      </c>
      <c r="T37" s="62">
        <f t="shared" si="18"/>
        <v>0</v>
      </c>
      <c r="U37" s="62">
        <f t="shared" si="18"/>
        <v>0</v>
      </c>
      <c r="V37" s="62">
        <f t="shared" si="18"/>
        <v>0</v>
      </c>
      <c r="W37" s="62">
        <f t="shared" si="18"/>
        <v>0</v>
      </c>
      <c r="X37" s="62">
        <f t="shared" si="18"/>
        <v>0</v>
      </c>
      <c r="Y37" s="62">
        <f t="shared" si="2"/>
        <v>7055715220</v>
      </c>
      <c r="Z37" s="62">
        <f t="shared" si="2"/>
        <v>3456153381.3899999</v>
      </c>
      <c r="AA37" s="62">
        <f t="shared" si="2"/>
        <v>3456153381.3899999</v>
      </c>
      <c r="AB37" s="62">
        <f t="shared" si="2"/>
        <v>3456153381.3899999</v>
      </c>
      <c r="AC37" s="1932">
        <f>+'Anexo 5.1 INGRESOS VF'!V7</f>
        <v>7055715220</v>
      </c>
    </row>
    <row r="38" spans="1:29" ht="16.5" thickTop="1" thickBot="1">
      <c r="A38" s="57">
        <v>2</v>
      </c>
      <c r="B38" s="58" t="s">
        <v>134</v>
      </c>
      <c r="C38" s="49" t="s">
        <v>129</v>
      </c>
      <c r="D38" s="48"/>
      <c r="E38" s="49"/>
      <c r="F38" s="49"/>
      <c r="G38" s="49"/>
      <c r="H38" s="50" t="s">
        <v>239</v>
      </c>
      <c r="I38" s="63">
        <f>+I39+I40+I41</f>
        <v>0</v>
      </c>
      <c r="J38" s="64">
        <f t="shared" ref="J38:X38" si="19">+J39+J40+J41</f>
        <v>0</v>
      </c>
      <c r="K38" s="64">
        <f t="shared" si="19"/>
        <v>0</v>
      </c>
      <c r="L38" s="64">
        <f t="shared" si="19"/>
        <v>0</v>
      </c>
      <c r="M38" s="64">
        <f t="shared" si="19"/>
        <v>0</v>
      </c>
      <c r="N38" s="64">
        <f t="shared" si="19"/>
        <v>0</v>
      </c>
      <c r="O38" s="64">
        <f t="shared" si="19"/>
        <v>0</v>
      </c>
      <c r="P38" s="64">
        <f t="shared" si="19"/>
        <v>0</v>
      </c>
      <c r="Q38" s="64">
        <f t="shared" si="19"/>
        <v>0</v>
      </c>
      <c r="R38" s="64">
        <f t="shared" si="19"/>
        <v>0</v>
      </c>
      <c r="S38" s="64">
        <f t="shared" si="19"/>
        <v>0</v>
      </c>
      <c r="T38" s="64">
        <f t="shared" si="19"/>
        <v>0</v>
      </c>
      <c r="U38" s="64">
        <f t="shared" si="19"/>
        <v>0</v>
      </c>
      <c r="V38" s="64">
        <f t="shared" si="19"/>
        <v>0</v>
      </c>
      <c r="W38" s="64">
        <f t="shared" si="19"/>
        <v>0</v>
      </c>
      <c r="X38" s="64">
        <f t="shared" si="19"/>
        <v>0</v>
      </c>
      <c r="Y38" s="64">
        <f t="shared" si="2"/>
        <v>0</v>
      </c>
      <c r="Z38" s="64">
        <f t="shared" si="2"/>
        <v>0</v>
      </c>
      <c r="AA38" s="64">
        <f t="shared" si="2"/>
        <v>0</v>
      </c>
      <c r="AB38" s="64">
        <f t="shared" si="2"/>
        <v>0</v>
      </c>
      <c r="AC38" s="1931"/>
    </row>
    <row r="39" spans="1:29" ht="16.5" thickTop="1" thickBot="1">
      <c r="A39" s="42">
        <v>2</v>
      </c>
      <c r="B39" s="43" t="s">
        <v>134</v>
      </c>
      <c r="C39" s="43" t="s">
        <v>129</v>
      </c>
      <c r="D39" s="44" t="s">
        <v>129</v>
      </c>
      <c r="E39" s="42"/>
      <c r="F39" s="42"/>
      <c r="G39" s="42"/>
      <c r="H39" s="45" t="s">
        <v>239</v>
      </c>
      <c r="I39" s="65"/>
      <c r="J39" s="66"/>
      <c r="K39" s="66"/>
      <c r="L39" s="66"/>
      <c r="M39" s="66"/>
      <c r="N39" s="66"/>
      <c r="O39" s="66"/>
      <c r="P39" s="66"/>
      <c r="Q39" s="66"/>
      <c r="R39" s="66"/>
      <c r="S39" s="66"/>
      <c r="T39" s="66"/>
      <c r="U39" s="66"/>
      <c r="V39" s="66"/>
      <c r="W39" s="66"/>
      <c r="X39" s="66"/>
      <c r="Y39" s="66">
        <f t="shared" si="2"/>
        <v>0</v>
      </c>
      <c r="Z39" s="66">
        <f t="shared" si="2"/>
        <v>0</v>
      </c>
      <c r="AA39" s="66">
        <f t="shared" si="2"/>
        <v>0</v>
      </c>
      <c r="AB39" s="66">
        <f t="shared" si="2"/>
        <v>0</v>
      </c>
      <c r="AC39" s="36"/>
    </row>
    <row r="40" spans="1:29" ht="16.5" thickTop="1" thickBot="1">
      <c r="A40" s="42">
        <v>2</v>
      </c>
      <c r="B40" s="43" t="s">
        <v>134</v>
      </c>
      <c r="C40" s="43" t="s">
        <v>129</v>
      </c>
      <c r="D40" s="44" t="s">
        <v>134</v>
      </c>
      <c r="E40" s="42"/>
      <c r="F40" s="42"/>
      <c r="G40" s="42"/>
      <c r="H40" s="45" t="s">
        <v>240</v>
      </c>
      <c r="I40" s="65"/>
      <c r="J40" s="66"/>
      <c r="K40" s="66"/>
      <c r="L40" s="66"/>
      <c r="M40" s="66"/>
      <c r="N40" s="66"/>
      <c r="O40" s="66"/>
      <c r="P40" s="66"/>
      <c r="Q40" s="66"/>
      <c r="R40" s="66"/>
      <c r="S40" s="66"/>
      <c r="T40" s="66"/>
      <c r="U40" s="66"/>
      <c r="V40" s="66"/>
      <c r="W40" s="66"/>
      <c r="X40" s="66"/>
      <c r="Y40" s="66">
        <f t="shared" si="2"/>
        <v>0</v>
      </c>
      <c r="Z40" s="66">
        <f t="shared" si="2"/>
        <v>0</v>
      </c>
      <c r="AA40" s="66">
        <f t="shared" si="2"/>
        <v>0</v>
      </c>
      <c r="AB40" s="66">
        <f t="shared" si="2"/>
        <v>0</v>
      </c>
      <c r="AC40" s="36"/>
    </row>
    <row r="41" spans="1:29" ht="16.5" thickTop="1" thickBot="1">
      <c r="A41" s="42">
        <v>2</v>
      </c>
      <c r="B41" s="43" t="s">
        <v>134</v>
      </c>
      <c r="C41" s="43" t="s">
        <v>129</v>
      </c>
      <c r="D41" s="44" t="s">
        <v>139</v>
      </c>
      <c r="E41" s="42"/>
      <c r="F41" s="42"/>
      <c r="G41" s="42"/>
      <c r="H41" s="45" t="s">
        <v>225</v>
      </c>
      <c r="I41" s="65"/>
      <c r="J41" s="66"/>
      <c r="K41" s="66"/>
      <c r="L41" s="66"/>
      <c r="M41" s="66"/>
      <c r="N41" s="66"/>
      <c r="O41" s="66"/>
      <c r="P41" s="66"/>
      <c r="Q41" s="66"/>
      <c r="R41" s="66"/>
      <c r="S41" s="66"/>
      <c r="T41" s="66"/>
      <c r="U41" s="66"/>
      <c r="V41" s="66"/>
      <c r="W41" s="66"/>
      <c r="X41" s="66"/>
      <c r="Y41" s="66">
        <f t="shared" si="2"/>
        <v>0</v>
      </c>
      <c r="Z41" s="66">
        <f t="shared" si="2"/>
        <v>0</v>
      </c>
      <c r="AA41" s="66">
        <f t="shared" si="2"/>
        <v>0</v>
      </c>
      <c r="AB41" s="66">
        <f t="shared" si="2"/>
        <v>0</v>
      </c>
      <c r="AC41" s="36"/>
    </row>
    <row r="42" spans="1:29" ht="16.5" thickTop="1" thickBot="1">
      <c r="A42" s="57">
        <v>2</v>
      </c>
      <c r="B42" s="58" t="s">
        <v>134</v>
      </c>
      <c r="C42" s="49" t="s">
        <v>134</v>
      </c>
      <c r="D42" s="48"/>
      <c r="E42" s="49"/>
      <c r="F42" s="49"/>
      <c r="G42" s="49"/>
      <c r="H42" s="50" t="s">
        <v>241</v>
      </c>
      <c r="I42" s="63">
        <f>+I43+I44+I45+I46</f>
        <v>7055715220</v>
      </c>
      <c r="J42" s="64">
        <f t="shared" ref="J42:X42" si="20">+J43+J44+J45+J46</f>
        <v>3456153381.3899999</v>
      </c>
      <c r="K42" s="64">
        <f t="shared" si="20"/>
        <v>3456153381.3899999</v>
      </c>
      <c r="L42" s="64">
        <f t="shared" si="20"/>
        <v>3456153381.3899999</v>
      </c>
      <c r="M42" s="64">
        <f t="shared" si="20"/>
        <v>0</v>
      </c>
      <c r="N42" s="64">
        <f t="shared" si="20"/>
        <v>0</v>
      </c>
      <c r="O42" s="64">
        <f t="shared" si="20"/>
        <v>0</v>
      </c>
      <c r="P42" s="64">
        <f t="shared" si="20"/>
        <v>0</v>
      </c>
      <c r="Q42" s="64">
        <f t="shared" si="20"/>
        <v>0</v>
      </c>
      <c r="R42" s="64">
        <f t="shared" si="20"/>
        <v>0</v>
      </c>
      <c r="S42" s="64">
        <f t="shared" si="20"/>
        <v>0</v>
      </c>
      <c r="T42" s="64">
        <f t="shared" si="20"/>
        <v>0</v>
      </c>
      <c r="U42" s="64">
        <f t="shared" si="20"/>
        <v>0</v>
      </c>
      <c r="V42" s="64">
        <f t="shared" si="20"/>
        <v>0</v>
      </c>
      <c r="W42" s="64">
        <f t="shared" si="20"/>
        <v>0</v>
      </c>
      <c r="X42" s="64">
        <f t="shared" si="20"/>
        <v>0</v>
      </c>
      <c r="Y42" s="64">
        <f t="shared" si="2"/>
        <v>7055715220</v>
      </c>
      <c r="Z42" s="64">
        <f t="shared" si="2"/>
        <v>3456153381.3899999</v>
      </c>
      <c r="AA42" s="64">
        <f t="shared" si="2"/>
        <v>3456153381.3899999</v>
      </c>
      <c r="AB42" s="64">
        <f t="shared" si="2"/>
        <v>3456153381.3899999</v>
      </c>
      <c r="AC42" s="36"/>
    </row>
    <row r="43" spans="1:29" ht="16.5" thickTop="1" thickBot="1">
      <c r="A43" s="42">
        <v>2</v>
      </c>
      <c r="B43" s="43" t="s">
        <v>134</v>
      </c>
      <c r="C43" s="43" t="s">
        <v>134</v>
      </c>
      <c r="D43" s="43" t="s">
        <v>129</v>
      </c>
      <c r="E43" s="42"/>
      <c r="F43" s="42"/>
      <c r="G43" s="42"/>
      <c r="H43" s="45" t="s">
        <v>241</v>
      </c>
      <c r="I43" s="46"/>
      <c r="J43" s="47"/>
      <c r="K43" s="47"/>
      <c r="L43" s="47"/>
      <c r="M43" s="47"/>
      <c r="N43" s="47"/>
      <c r="O43" s="47"/>
      <c r="P43" s="47"/>
      <c r="Q43" s="47"/>
      <c r="R43" s="47"/>
      <c r="S43" s="47"/>
      <c r="T43" s="47"/>
      <c r="U43" s="47"/>
      <c r="V43" s="47"/>
      <c r="W43" s="47"/>
      <c r="X43" s="47"/>
      <c r="Y43" s="47">
        <f t="shared" si="2"/>
        <v>0</v>
      </c>
      <c r="Z43" s="47">
        <f t="shared" si="2"/>
        <v>0</v>
      </c>
      <c r="AA43" s="47">
        <f t="shared" si="2"/>
        <v>0</v>
      </c>
      <c r="AB43" s="47">
        <f t="shared" si="2"/>
        <v>0</v>
      </c>
      <c r="AC43" s="36"/>
    </row>
    <row r="44" spans="1:29" ht="16.5" thickTop="1" thickBot="1">
      <c r="A44" s="42">
        <v>2</v>
      </c>
      <c r="B44" s="43" t="s">
        <v>134</v>
      </c>
      <c r="C44" s="43" t="s">
        <v>134</v>
      </c>
      <c r="D44" s="43" t="s">
        <v>134</v>
      </c>
      <c r="E44" s="42"/>
      <c r="F44" s="42"/>
      <c r="G44" s="42"/>
      <c r="H44" s="45" t="s">
        <v>242</v>
      </c>
      <c r="I44" s="46">
        <v>7055715220</v>
      </c>
      <c r="J44" s="47">
        <v>3456153381.3899999</v>
      </c>
      <c r="K44" s="47">
        <v>3456153381.3899999</v>
      </c>
      <c r="L44" s="47">
        <v>3456153381.3899999</v>
      </c>
      <c r="M44" s="47"/>
      <c r="N44" s="47"/>
      <c r="O44" s="47"/>
      <c r="P44" s="47"/>
      <c r="Q44" s="47"/>
      <c r="R44" s="47"/>
      <c r="S44" s="47"/>
      <c r="T44" s="47"/>
      <c r="U44" s="47"/>
      <c r="V44" s="47"/>
      <c r="W44" s="47"/>
      <c r="X44" s="47"/>
      <c r="Y44" s="47">
        <f t="shared" si="2"/>
        <v>7055715220</v>
      </c>
      <c r="Z44" s="47">
        <f t="shared" si="2"/>
        <v>3456153381.3899999</v>
      </c>
      <c r="AA44" s="47">
        <f t="shared" si="2"/>
        <v>3456153381.3899999</v>
      </c>
      <c r="AB44" s="47">
        <f t="shared" si="2"/>
        <v>3456153381.3899999</v>
      </c>
      <c r="AC44" s="36"/>
    </row>
    <row r="45" spans="1:29" ht="16.5" thickTop="1" thickBot="1">
      <c r="A45" s="42">
        <v>2</v>
      </c>
      <c r="B45" s="43" t="s">
        <v>134</v>
      </c>
      <c r="C45" s="43" t="s">
        <v>134</v>
      </c>
      <c r="D45" s="43" t="s">
        <v>139</v>
      </c>
      <c r="E45" s="42"/>
      <c r="F45" s="42"/>
      <c r="G45" s="42"/>
      <c r="H45" s="45" t="s">
        <v>225</v>
      </c>
      <c r="I45" s="46"/>
      <c r="J45" s="47"/>
      <c r="K45" s="47"/>
      <c r="L45" s="47"/>
      <c r="M45" s="47"/>
      <c r="N45" s="47"/>
      <c r="O45" s="47"/>
      <c r="P45" s="47"/>
      <c r="Q45" s="47"/>
      <c r="R45" s="47"/>
      <c r="S45" s="47"/>
      <c r="T45" s="47"/>
      <c r="U45" s="47"/>
      <c r="V45" s="47"/>
      <c r="W45" s="47"/>
      <c r="X45" s="47"/>
      <c r="Y45" s="47">
        <f t="shared" si="2"/>
        <v>0</v>
      </c>
      <c r="Z45" s="47">
        <f t="shared" si="2"/>
        <v>0</v>
      </c>
      <c r="AA45" s="47">
        <f t="shared" si="2"/>
        <v>0</v>
      </c>
      <c r="AB45" s="47">
        <f t="shared" si="2"/>
        <v>0</v>
      </c>
      <c r="AC45" s="36"/>
    </row>
    <row r="46" spans="1:29" ht="16.5" thickTop="1" thickBot="1">
      <c r="A46" s="42">
        <v>2</v>
      </c>
      <c r="B46" s="43" t="s">
        <v>134</v>
      </c>
      <c r="C46" s="43" t="s">
        <v>134</v>
      </c>
      <c r="D46" s="43" t="s">
        <v>140</v>
      </c>
      <c r="E46" s="42"/>
      <c r="F46" s="42"/>
      <c r="G46" s="42"/>
      <c r="H46" s="45" t="s">
        <v>243</v>
      </c>
      <c r="I46" s="53"/>
      <c r="J46" s="54"/>
      <c r="K46" s="54"/>
      <c r="L46" s="54"/>
      <c r="M46" s="54"/>
      <c r="N46" s="54"/>
      <c r="O46" s="54"/>
      <c r="P46" s="54"/>
      <c r="Q46" s="54"/>
      <c r="R46" s="54"/>
      <c r="S46" s="54"/>
      <c r="T46" s="54"/>
      <c r="U46" s="54"/>
      <c r="V46" s="54"/>
      <c r="W46" s="54"/>
      <c r="X46" s="54"/>
      <c r="Y46" s="54">
        <f t="shared" si="2"/>
        <v>0</v>
      </c>
      <c r="Z46" s="54">
        <f t="shared" si="2"/>
        <v>0</v>
      </c>
      <c r="AA46" s="54">
        <f t="shared" si="2"/>
        <v>0</v>
      </c>
      <c r="AB46" s="54">
        <f t="shared" si="2"/>
        <v>0</v>
      </c>
      <c r="AC46" s="36"/>
    </row>
    <row r="47" spans="1:29" ht="16.5" thickTop="1" thickBot="1">
      <c r="A47" s="32">
        <v>2</v>
      </c>
      <c r="B47" s="32" t="s">
        <v>139</v>
      </c>
      <c r="C47" s="32"/>
      <c r="D47" s="32"/>
      <c r="E47" s="32"/>
      <c r="F47" s="32"/>
      <c r="G47" s="32"/>
      <c r="H47" s="33" t="s">
        <v>934</v>
      </c>
      <c r="I47" s="34">
        <f t="shared" ref="I47:AB47" si="21">+I48+I61+I74+I91+I120+I161</f>
        <v>150217699899</v>
      </c>
      <c r="J47" s="34">
        <f t="shared" si="21"/>
        <v>149069581726.16</v>
      </c>
      <c r="K47" s="34">
        <f t="shared" si="21"/>
        <v>117249544482</v>
      </c>
      <c r="L47" s="34">
        <f t="shared" si="21"/>
        <v>112297014072</v>
      </c>
      <c r="M47" s="34">
        <f t="shared" si="21"/>
        <v>5221806239</v>
      </c>
      <c r="N47" s="34">
        <f t="shared" si="21"/>
        <v>5221806239</v>
      </c>
      <c r="O47" s="34">
        <f t="shared" si="21"/>
        <v>5221806239</v>
      </c>
      <c r="P47" s="34">
        <f t="shared" si="21"/>
        <v>5221806239</v>
      </c>
      <c r="Q47" s="34">
        <f t="shared" si="21"/>
        <v>0</v>
      </c>
      <c r="R47" s="34">
        <f t="shared" si="21"/>
        <v>0</v>
      </c>
      <c r="S47" s="34">
        <f t="shared" si="21"/>
        <v>0</v>
      </c>
      <c r="T47" s="34">
        <f t="shared" si="21"/>
        <v>0</v>
      </c>
      <c r="U47" s="34">
        <f t="shared" si="21"/>
        <v>0</v>
      </c>
      <c r="V47" s="34">
        <f t="shared" si="21"/>
        <v>0</v>
      </c>
      <c r="W47" s="34">
        <f t="shared" si="21"/>
        <v>0</v>
      </c>
      <c r="X47" s="34">
        <f t="shared" si="21"/>
        <v>0</v>
      </c>
      <c r="Y47" s="34">
        <f t="shared" si="21"/>
        <v>155439506138</v>
      </c>
      <c r="Z47" s="34">
        <f t="shared" si="21"/>
        <v>154291387965.16</v>
      </c>
      <c r="AA47" s="34">
        <f t="shared" si="21"/>
        <v>122471350721</v>
      </c>
      <c r="AB47" s="34">
        <f t="shared" si="21"/>
        <v>117518820311</v>
      </c>
      <c r="AC47" s="1932">
        <f>+'Anexo 5.1 INGRESOS VF'!R7</f>
        <v>155439506138.02002</v>
      </c>
    </row>
    <row r="48" spans="1:29" ht="16.5" thickTop="1" thickBot="1">
      <c r="A48" s="67">
        <v>2</v>
      </c>
      <c r="B48" s="37" t="s">
        <v>139</v>
      </c>
      <c r="C48" s="37" t="s">
        <v>180</v>
      </c>
      <c r="D48" s="37"/>
      <c r="E48" s="67"/>
      <c r="F48" s="67"/>
      <c r="G48" s="67"/>
      <c r="H48" s="68" t="s">
        <v>935</v>
      </c>
      <c r="I48" s="651">
        <f>+I49+I53+I57</f>
        <v>95512137617</v>
      </c>
      <c r="J48" s="651">
        <f t="shared" ref="J48:AB48" si="22">+J49+J53+J57</f>
        <v>95367786715</v>
      </c>
      <c r="K48" s="651">
        <f t="shared" si="22"/>
        <v>75007070006</v>
      </c>
      <c r="L48" s="651">
        <f t="shared" si="22"/>
        <v>73215023071</v>
      </c>
      <c r="M48" s="651">
        <f t="shared" si="22"/>
        <v>5221806239</v>
      </c>
      <c r="N48" s="651">
        <f t="shared" si="22"/>
        <v>5221806239</v>
      </c>
      <c r="O48" s="651">
        <f t="shared" si="22"/>
        <v>5221806239</v>
      </c>
      <c r="P48" s="651">
        <f t="shared" si="22"/>
        <v>5221806239</v>
      </c>
      <c r="Q48" s="651">
        <f t="shared" si="22"/>
        <v>0</v>
      </c>
      <c r="R48" s="651">
        <f t="shared" si="22"/>
        <v>0</v>
      </c>
      <c r="S48" s="651">
        <f t="shared" si="22"/>
        <v>0</v>
      </c>
      <c r="T48" s="651">
        <f t="shared" si="22"/>
        <v>0</v>
      </c>
      <c r="U48" s="651">
        <f t="shared" si="22"/>
        <v>0</v>
      </c>
      <c r="V48" s="651">
        <f t="shared" si="22"/>
        <v>0</v>
      </c>
      <c r="W48" s="651">
        <f t="shared" si="22"/>
        <v>0</v>
      </c>
      <c r="X48" s="651">
        <f t="shared" si="22"/>
        <v>0</v>
      </c>
      <c r="Y48" s="651">
        <f t="shared" si="22"/>
        <v>100733943856</v>
      </c>
      <c r="Z48" s="651">
        <f t="shared" si="22"/>
        <v>100589592954</v>
      </c>
      <c r="AA48" s="651">
        <f t="shared" si="22"/>
        <v>80228876245</v>
      </c>
      <c r="AB48" s="651">
        <f t="shared" si="22"/>
        <v>78436829310</v>
      </c>
      <c r="AC48" s="36"/>
    </row>
    <row r="49" spans="1:29" ht="16.5" thickTop="1" thickBot="1">
      <c r="A49" s="57">
        <v>2</v>
      </c>
      <c r="B49" s="57" t="s">
        <v>139</v>
      </c>
      <c r="C49" s="57" t="s">
        <v>180</v>
      </c>
      <c r="D49" s="57" t="s">
        <v>129</v>
      </c>
      <c r="E49" s="57"/>
      <c r="F49" s="57"/>
      <c r="G49" s="57"/>
      <c r="H49" s="69" t="s">
        <v>1306</v>
      </c>
      <c r="I49" s="652">
        <f>+I50</f>
        <v>43508743543</v>
      </c>
      <c r="J49" s="652">
        <f t="shared" ref="J49:AB51" si="23">+J50</f>
        <v>43406944351</v>
      </c>
      <c r="K49" s="652">
        <f t="shared" si="23"/>
        <v>30065921203</v>
      </c>
      <c r="L49" s="652">
        <f t="shared" si="23"/>
        <v>28636077679</v>
      </c>
      <c r="M49" s="652">
        <f t="shared" si="23"/>
        <v>5221806239</v>
      </c>
      <c r="N49" s="652">
        <f t="shared" si="23"/>
        <v>5221806239</v>
      </c>
      <c r="O49" s="652">
        <f t="shared" si="23"/>
        <v>5221806239</v>
      </c>
      <c r="P49" s="652">
        <f t="shared" si="23"/>
        <v>5221806239</v>
      </c>
      <c r="Q49" s="652">
        <f t="shared" si="23"/>
        <v>0</v>
      </c>
      <c r="R49" s="652">
        <f t="shared" si="23"/>
        <v>0</v>
      </c>
      <c r="S49" s="652">
        <f t="shared" si="23"/>
        <v>0</v>
      </c>
      <c r="T49" s="652">
        <f t="shared" si="23"/>
        <v>0</v>
      </c>
      <c r="U49" s="652">
        <f t="shared" si="23"/>
        <v>0</v>
      </c>
      <c r="V49" s="652">
        <f t="shared" si="23"/>
        <v>0</v>
      </c>
      <c r="W49" s="652">
        <f t="shared" si="23"/>
        <v>0</v>
      </c>
      <c r="X49" s="652">
        <f t="shared" si="23"/>
        <v>0</v>
      </c>
      <c r="Y49" s="652">
        <f t="shared" si="23"/>
        <v>48730549782</v>
      </c>
      <c r="Z49" s="652">
        <f t="shared" si="23"/>
        <v>48628750590</v>
      </c>
      <c r="AA49" s="652">
        <f t="shared" si="23"/>
        <v>35287727442</v>
      </c>
      <c r="AB49" s="652">
        <f t="shared" si="23"/>
        <v>33857883918</v>
      </c>
      <c r="AC49" s="36"/>
    </row>
    <row r="50" spans="1:29" ht="16.5" thickTop="1" thickBot="1">
      <c r="A50" s="57">
        <v>3</v>
      </c>
      <c r="B50" s="57" t="s">
        <v>139</v>
      </c>
      <c r="C50" s="57" t="s">
        <v>180</v>
      </c>
      <c r="D50" s="57" t="s">
        <v>129</v>
      </c>
      <c r="E50" s="57" t="s">
        <v>129</v>
      </c>
      <c r="F50" s="57"/>
      <c r="G50" s="57"/>
      <c r="H50" s="69" t="s">
        <v>319</v>
      </c>
      <c r="I50" s="652">
        <f>+I51</f>
        <v>43508743543</v>
      </c>
      <c r="J50" s="652">
        <f t="shared" si="23"/>
        <v>43406944351</v>
      </c>
      <c r="K50" s="652">
        <f t="shared" si="23"/>
        <v>30065921203</v>
      </c>
      <c r="L50" s="652">
        <f t="shared" si="23"/>
        <v>28636077679</v>
      </c>
      <c r="M50" s="652">
        <f t="shared" si="23"/>
        <v>5221806239</v>
      </c>
      <c r="N50" s="652">
        <f t="shared" si="23"/>
        <v>5221806239</v>
      </c>
      <c r="O50" s="652">
        <f t="shared" si="23"/>
        <v>5221806239</v>
      </c>
      <c r="P50" s="652">
        <f t="shared" si="23"/>
        <v>5221806239</v>
      </c>
      <c r="Q50" s="652">
        <f t="shared" si="23"/>
        <v>0</v>
      </c>
      <c r="R50" s="652">
        <f t="shared" si="23"/>
        <v>0</v>
      </c>
      <c r="S50" s="652">
        <f t="shared" si="23"/>
        <v>0</v>
      </c>
      <c r="T50" s="652">
        <f t="shared" si="23"/>
        <v>0</v>
      </c>
      <c r="U50" s="652">
        <f t="shared" si="23"/>
        <v>0</v>
      </c>
      <c r="V50" s="652">
        <f t="shared" si="23"/>
        <v>0</v>
      </c>
      <c r="W50" s="652">
        <f t="shared" si="23"/>
        <v>0</v>
      </c>
      <c r="X50" s="652">
        <f t="shared" si="23"/>
        <v>0</v>
      </c>
      <c r="Y50" s="652">
        <f t="shared" si="23"/>
        <v>48730549782</v>
      </c>
      <c r="Z50" s="652">
        <f t="shared" si="23"/>
        <v>48628750590</v>
      </c>
      <c r="AA50" s="652">
        <f t="shared" si="23"/>
        <v>35287727442</v>
      </c>
      <c r="AB50" s="652">
        <f t="shared" si="23"/>
        <v>33857883918</v>
      </c>
      <c r="AC50" s="36"/>
    </row>
    <row r="51" spans="1:29" ht="16.5" thickTop="1" thickBot="1">
      <c r="A51" s="42">
        <v>2</v>
      </c>
      <c r="B51" s="42" t="s">
        <v>139</v>
      </c>
      <c r="C51" s="42" t="s">
        <v>180</v>
      </c>
      <c r="D51" s="43" t="s">
        <v>129</v>
      </c>
      <c r="E51" s="43" t="s">
        <v>129</v>
      </c>
      <c r="F51" s="43" t="s">
        <v>129</v>
      </c>
      <c r="G51" s="42"/>
      <c r="H51" s="70" t="s">
        <v>320</v>
      </c>
      <c r="I51" s="646">
        <f>+I52</f>
        <v>43508743543</v>
      </c>
      <c r="J51" s="646">
        <f t="shared" si="23"/>
        <v>43406944351</v>
      </c>
      <c r="K51" s="646">
        <f t="shared" si="23"/>
        <v>30065921203</v>
      </c>
      <c r="L51" s="646">
        <f t="shared" si="23"/>
        <v>28636077679</v>
      </c>
      <c r="M51" s="646">
        <f t="shared" si="23"/>
        <v>5221806239</v>
      </c>
      <c r="N51" s="646">
        <f t="shared" si="23"/>
        <v>5221806239</v>
      </c>
      <c r="O51" s="646">
        <f t="shared" si="23"/>
        <v>5221806239</v>
      </c>
      <c r="P51" s="646">
        <f t="shared" si="23"/>
        <v>5221806239</v>
      </c>
      <c r="Q51" s="646">
        <f t="shared" si="23"/>
        <v>0</v>
      </c>
      <c r="R51" s="646">
        <f t="shared" si="23"/>
        <v>0</v>
      </c>
      <c r="S51" s="646">
        <f t="shared" si="23"/>
        <v>0</v>
      </c>
      <c r="T51" s="646">
        <f t="shared" si="23"/>
        <v>0</v>
      </c>
      <c r="U51" s="646">
        <f t="shared" si="23"/>
        <v>0</v>
      </c>
      <c r="V51" s="646">
        <f t="shared" si="23"/>
        <v>0</v>
      </c>
      <c r="W51" s="646">
        <f t="shared" si="23"/>
        <v>0</v>
      </c>
      <c r="X51" s="646">
        <f t="shared" si="23"/>
        <v>0</v>
      </c>
      <c r="Y51" s="646">
        <f t="shared" si="23"/>
        <v>48730549782</v>
      </c>
      <c r="Z51" s="646">
        <f t="shared" si="23"/>
        <v>48628750590</v>
      </c>
      <c r="AA51" s="646">
        <f t="shared" si="23"/>
        <v>35287727442</v>
      </c>
      <c r="AB51" s="646">
        <f t="shared" si="23"/>
        <v>33857883918</v>
      </c>
      <c r="AC51" s="36"/>
    </row>
    <row r="52" spans="1:29" ht="16.5" thickTop="1" thickBot="1">
      <c r="A52" s="42">
        <v>2</v>
      </c>
      <c r="B52" s="42" t="s">
        <v>139</v>
      </c>
      <c r="C52" s="42" t="s">
        <v>180</v>
      </c>
      <c r="D52" s="42" t="s">
        <v>129</v>
      </c>
      <c r="E52" s="43" t="s">
        <v>129</v>
      </c>
      <c r="F52" s="43" t="s">
        <v>129</v>
      </c>
      <c r="G52" s="43" t="s">
        <v>129</v>
      </c>
      <c r="H52" s="70" t="s">
        <v>321</v>
      </c>
      <c r="I52" s="646">
        <v>43508743543</v>
      </c>
      <c r="J52" s="646">
        <v>43406944351</v>
      </c>
      <c r="K52" s="646">
        <v>30065921203</v>
      </c>
      <c r="L52" s="646">
        <v>28636077679</v>
      </c>
      <c r="M52" s="646">
        <v>5221806239</v>
      </c>
      <c r="N52" s="646">
        <v>5221806239</v>
      </c>
      <c r="O52" s="646">
        <v>5221806239</v>
      </c>
      <c r="P52" s="646">
        <v>5221806239</v>
      </c>
      <c r="Q52" s="646"/>
      <c r="R52" s="646"/>
      <c r="S52" s="646"/>
      <c r="T52" s="646"/>
      <c r="U52" s="646"/>
      <c r="V52" s="646"/>
      <c r="W52" s="646"/>
      <c r="X52" s="646"/>
      <c r="Y52" s="646">
        <f t="shared" ref="Y52:AB52" si="24">+I52+M52+Q52+U52</f>
        <v>48730549782</v>
      </c>
      <c r="Z52" s="646">
        <f t="shared" si="24"/>
        <v>48628750590</v>
      </c>
      <c r="AA52" s="646">
        <f t="shared" si="24"/>
        <v>35287727442</v>
      </c>
      <c r="AB52" s="646">
        <f t="shared" si="24"/>
        <v>33857883918</v>
      </c>
      <c r="AC52" s="36"/>
    </row>
    <row r="53" spans="1:29" ht="16.5" thickTop="1" thickBot="1">
      <c r="A53" s="57">
        <v>2</v>
      </c>
      <c r="B53" s="57" t="s">
        <v>139</v>
      </c>
      <c r="C53" s="57" t="s">
        <v>180</v>
      </c>
      <c r="D53" s="57" t="s">
        <v>134</v>
      </c>
      <c r="E53" s="57"/>
      <c r="F53" s="57"/>
      <c r="G53" s="57"/>
      <c r="H53" s="69" t="s">
        <v>1307</v>
      </c>
      <c r="I53" s="652">
        <f>+I54</f>
        <v>14739126021</v>
      </c>
      <c r="J53" s="652">
        <f t="shared" ref="J53:AB55" si="25">+J54</f>
        <v>14721169038</v>
      </c>
      <c r="K53" s="652">
        <f t="shared" si="25"/>
        <v>7735525918</v>
      </c>
      <c r="L53" s="652">
        <f t="shared" si="25"/>
        <v>7396897093</v>
      </c>
      <c r="M53" s="652">
        <f t="shared" si="25"/>
        <v>0</v>
      </c>
      <c r="N53" s="652">
        <f t="shared" si="25"/>
        <v>0</v>
      </c>
      <c r="O53" s="652">
        <f t="shared" si="25"/>
        <v>0</v>
      </c>
      <c r="P53" s="652">
        <f t="shared" si="25"/>
        <v>0</v>
      </c>
      <c r="Q53" s="652">
        <f t="shared" si="25"/>
        <v>0</v>
      </c>
      <c r="R53" s="652">
        <f t="shared" si="25"/>
        <v>0</v>
      </c>
      <c r="S53" s="652">
        <f t="shared" si="25"/>
        <v>0</v>
      </c>
      <c r="T53" s="652">
        <f t="shared" si="25"/>
        <v>0</v>
      </c>
      <c r="U53" s="652">
        <f t="shared" si="25"/>
        <v>0</v>
      </c>
      <c r="V53" s="652">
        <f t="shared" si="25"/>
        <v>0</v>
      </c>
      <c r="W53" s="652">
        <f t="shared" si="25"/>
        <v>0</v>
      </c>
      <c r="X53" s="652">
        <f t="shared" si="25"/>
        <v>0</v>
      </c>
      <c r="Y53" s="652">
        <f t="shared" si="25"/>
        <v>14739126021</v>
      </c>
      <c r="Z53" s="652">
        <f t="shared" si="25"/>
        <v>14721169038</v>
      </c>
      <c r="AA53" s="652">
        <f t="shared" si="25"/>
        <v>7735525918</v>
      </c>
      <c r="AB53" s="652">
        <f t="shared" si="25"/>
        <v>7396897093</v>
      </c>
      <c r="AC53" s="36"/>
    </row>
    <row r="54" spans="1:29" ht="16.5" thickTop="1" thickBot="1">
      <c r="A54" s="57">
        <v>3</v>
      </c>
      <c r="B54" s="57" t="s">
        <v>139</v>
      </c>
      <c r="C54" s="57" t="s">
        <v>180</v>
      </c>
      <c r="D54" s="57" t="s">
        <v>134</v>
      </c>
      <c r="E54" s="57" t="s">
        <v>129</v>
      </c>
      <c r="F54" s="57"/>
      <c r="G54" s="57"/>
      <c r="H54" s="69" t="s">
        <v>319</v>
      </c>
      <c r="I54" s="652">
        <f>+I55</f>
        <v>14739126021</v>
      </c>
      <c r="J54" s="652">
        <f t="shared" si="25"/>
        <v>14721169038</v>
      </c>
      <c r="K54" s="652">
        <f t="shared" si="25"/>
        <v>7735525918</v>
      </c>
      <c r="L54" s="652">
        <f t="shared" si="25"/>
        <v>7396897093</v>
      </c>
      <c r="M54" s="652">
        <f t="shared" si="25"/>
        <v>0</v>
      </c>
      <c r="N54" s="652">
        <f t="shared" si="25"/>
        <v>0</v>
      </c>
      <c r="O54" s="652">
        <f t="shared" si="25"/>
        <v>0</v>
      </c>
      <c r="P54" s="652">
        <f t="shared" si="25"/>
        <v>0</v>
      </c>
      <c r="Q54" s="652">
        <f t="shared" si="25"/>
        <v>0</v>
      </c>
      <c r="R54" s="652">
        <f t="shared" si="25"/>
        <v>0</v>
      </c>
      <c r="S54" s="652">
        <f t="shared" si="25"/>
        <v>0</v>
      </c>
      <c r="T54" s="652">
        <f t="shared" si="25"/>
        <v>0</v>
      </c>
      <c r="U54" s="652">
        <f t="shared" si="25"/>
        <v>0</v>
      </c>
      <c r="V54" s="652">
        <f t="shared" si="25"/>
        <v>0</v>
      </c>
      <c r="W54" s="652">
        <f t="shared" si="25"/>
        <v>0</v>
      </c>
      <c r="X54" s="652">
        <f t="shared" si="25"/>
        <v>0</v>
      </c>
      <c r="Y54" s="652">
        <f t="shared" si="25"/>
        <v>14739126021</v>
      </c>
      <c r="Z54" s="652">
        <f t="shared" si="25"/>
        <v>14721169038</v>
      </c>
      <c r="AA54" s="652">
        <f t="shared" si="25"/>
        <v>7735525918</v>
      </c>
      <c r="AB54" s="652">
        <f t="shared" si="25"/>
        <v>7396897093</v>
      </c>
      <c r="AC54" s="36"/>
    </row>
    <row r="55" spans="1:29" ht="16.5" thickTop="1" thickBot="1">
      <c r="A55" s="42">
        <v>2</v>
      </c>
      <c r="B55" s="42" t="s">
        <v>139</v>
      </c>
      <c r="C55" s="42" t="s">
        <v>180</v>
      </c>
      <c r="D55" s="43" t="s">
        <v>134</v>
      </c>
      <c r="E55" s="43" t="s">
        <v>129</v>
      </c>
      <c r="F55" s="43" t="s">
        <v>129</v>
      </c>
      <c r="G55" s="42"/>
      <c r="H55" s="70" t="s">
        <v>320</v>
      </c>
      <c r="I55" s="646">
        <f>+I56</f>
        <v>14739126021</v>
      </c>
      <c r="J55" s="646">
        <f t="shared" si="25"/>
        <v>14721169038</v>
      </c>
      <c r="K55" s="646">
        <f t="shared" si="25"/>
        <v>7735525918</v>
      </c>
      <c r="L55" s="646">
        <f t="shared" si="25"/>
        <v>7396897093</v>
      </c>
      <c r="M55" s="646">
        <f t="shared" si="25"/>
        <v>0</v>
      </c>
      <c r="N55" s="646">
        <f t="shared" si="25"/>
        <v>0</v>
      </c>
      <c r="O55" s="646">
        <f t="shared" si="25"/>
        <v>0</v>
      </c>
      <c r="P55" s="646">
        <f t="shared" si="25"/>
        <v>0</v>
      </c>
      <c r="Q55" s="646">
        <f t="shared" si="25"/>
        <v>0</v>
      </c>
      <c r="R55" s="646">
        <f t="shared" si="25"/>
        <v>0</v>
      </c>
      <c r="S55" s="646">
        <f t="shared" si="25"/>
        <v>0</v>
      </c>
      <c r="T55" s="646">
        <f t="shared" si="25"/>
        <v>0</v>
      </c>
      <c r="U55" s="646">
        <f t="shared" si="25"/>
        <v>0</v>
      </c>
      <c r="V55" s="646">
        <f t="shared" si="25"/>
        <v>0</v>
      </c>
      <c r="W55" s="646">
        <f t="shared" si="25"/>
        <v>0</v>
      </c>
      <c r="X55" s="646">
        <f t="shared" si="25"/>
        <v>0</v>
      </c>
      <c r="Y55" s="646">
        <f t="shared" si="25"/>
        <v>14739126021</v>
      </c>
      <c r="Z55" s="646">
        <f t="shared" si="25"/>
        <v>14721169038</v>
      </c>
      <c r="AA55" s="646">
        <f t="shared" si="25"/>
        <v>7735525918</v>
      </c>
      <c r="AB55" s="646">
        <f t="shared" si="25"/>
        <v>7396897093</v>
      </c>
      <c r="AC55" s="36"/>
    </row>
    <row r="56" spans="1:29" ht="16.5" thickTop="1" thickBot="1">
      <c r="A56" s="42">
        <v>2</v>
      </c>
      <c r="B56" s="42" t="s">
        <v>139</v>
      </c>
      <c r="C56" s="42" t="s">
        <v>180</v>
      </c>
      <c r="D56" s="43" t="s">
        <v>134</v>
      </c>
      <c r="E56" s="43" t="s">
        <v>129</v>
      </c>
      <c r="F56" s="43" t="s">
        <v>129</v>
      </c>
      <c r="G56" s="43" t="s">
        <v>129</v>
      </c>
      <c r="H56" s="70" t="s">
        <v>321</v>
      </c>
      <c r="I56" s="646">
        <v>14739126021</v>
      </c>
      <c r="J56" s="646">
        <v>14721169038</v>
      </c>
      <c r="K56" s="646">
        <v>7735525918</v>
      </c>
      <c r="L56" s="646">
        <v>7396897093</v>
      </c>
      <c r="M56" s="646"/>
      <c r="N56" s="646"/>
      <c r="O56" s="646"/>
      <c r="P56" s="646"/>
      <c r="Q56" s="646"/>
      <c r="R56" s="646"/>
      <c r="S56" s="646"/>
      <c r="T56" s="646"/>
      <c r="U56" s="646"/>
      <c r="V56" s="646"/>
      <c r="W56" s="646"/>
      <c r="X56" s="646"/>
      <c r="Y56" s="646">
        <f t="shared" ref="Y56:AB56" si="26">+I56+M56+Q56+U56</f>
        <v>14739126021</v>
      </c>
      <c r="Z56" s="646">
        <f t="shared" si="26"/>
        <v>14721169038</v>
      </c>
      <c r="AA56" s="646">
        <f t="shared" si="26"/>
        <v>7735525918</v>
      </c>
      <c r="AB56" s="646">
        <f t="shared" si="26"/>
        <v>7396897093</v>
      </c>
      <c r="AC56" s="36"/>
    </row>
    <row r="57" spans="1:29" ht="16.5" thickTop="1" thickBot="1">
      <c r="A57" s="57">
        <v>2</v>
      </c>
      <c r="B57" s="57" t="s">
        <v>139</v>
      </c>
      <c r="C57" s="57" t="s">
        <v>180</v>
      </c>
      <c r="D57" s="57" t="s">
        <v>139</v>
      </c>
      <c r="E57" s="57"/>
      <c r="F57" s="57"/>
      <c r="G57" s="57"/>
      <c r="H57" s="69" t="s">
        <v>1308</v>
      </c>
      <c r="I57" s="652">
        <f>+I58</f>
        <v>37264268053</v>
      </c>
      <c r="J57" s="652">
        <f t="shared" ref="J57:AB59" si="27">+J58</f>
        <v>37239673326</v>
      </c>
      <c r="K57" s="652">
        <f t="shared" si="27"/>
        <v>37205622885</v>
      </c>
      <c r="L57" s="652">
        <f t="shared" si="27"/>
        <v>37182048299</v>
      </c>
      <c r="M57" s="652">
        <f t="shared" si="27"/>
        <v>0</v>
      </c>
      <c r="N57" s="652">
        <f t="shared" si="27"/>
        <v>0</v>
      </c>
      <c r="O57" s="652">
        <f t="shared" si="27"/>
        <v>0</v>
      </c>
      <c r="P57" s="652">
        <f t="shared" si="27"/>
        <v>0</v>
      </c>
      <c r="Q57" s="652">
        <f t="shared" si="27"/>
        <v>0</v>
      </c>
      <c r="R57" s="652">
        <f t="shared" si="27"/>
        <v>0</v>
      </c>
      <c r="S57" s="652">
        <f t="shared" si="27"/>
        <v>0</v>
      </c>
      <c r="T57" s="652">
        <f t="shared" si="27"/>
        <v>0</v>
      </c>
      <c r="U57" s="652">
        <f t="shared" si="27"/>
        <v>0</v>
      </c>
      <c r="V57" s="652">
        <f t="shared" si="27"/>
        <v>0</v>
      </c>
      <c r="W57" s="652">
        <f t="shared" si="27"/>
        <v>0</v>
      </c>
      <c r="X57" s="652">
        <f t="shared" si="27"/>
        <v>0</v>
      </c>
      <c r="Y57" s="652">
        <f t="shared" si="27"/>
        <v>37264268053</v>
      </c>
      <c r="Z57" s="652">
        <f t="shared" si="27"/>
        <v>37239673326</v>
      </c>
      <c r="AA57" s="652">
        <f t="shared" si="27"/>
        <v>37205622885</v>
      </c>
      <c r="AB57" s="652">
        <f t="shared" si="27"/>
        <v>37182048299</v>
      </c>
      <c r="AC57" s="36"/>
    </row>
    <row r="58" spans="1:29" ht="16.5" thickTop="1" thickBot="1">
      <c r="A58" s="57">
        <v>3</v>
      </c>
      <c r="B58" s="57" t="s">
        <v>139</v>
      </c>
      <c r="C58" s="57" t="s">
        <v>180</v>
      </c>
      <c r="D58" s="57" t="s">
        <v>139</v>
      </c>
      <c r="E58" s="57" t="s">
        <v>129</v>
      </c>
      <c r="F58" s="57"/>
      <c r="G58" s="57"/>
      <c r="H58" s="69" t="s">
        <v>319</v>
      </c>
      <c r="I58" s="652">
        <f>+I59</f>
        <v>37264268053</v>
      </c>
      <c r="J58" s="652">
        <f t="shared" si="27"/>
        <v>37239673326</v>
      </c>
      <c r="K58" s="652">
        <f t="shared" si="27"/>
        <v>37205622885</v>
      </c>
      <c r="L58" s="652">
        <f t="shared" si="27"/>
        <v>37182048299</v>
      </c>
      <c r="M58" s="652">
        <f t="shared" si="27"/>
        <v>0</v>
      </c>
      <c r="N58" s="652">
        <f t="shared" si="27"/>
        <v>0</v>
      </c>
      <c r="O58" s="652">
        <f t="shared" si="27"/>
        <v>0</v>
      </c>
      <c r="P58" s="652">
        <f t="shared" si="27"/>
        <v>0</v>
      </c>
      <c r="Q58" s="652">
        <f t="shared" si="27"/>
        <v>0</v>
      </c>
      <c r="R58" s="652">
        <f t="shared" si="27"/>
        <v>0</v>
      </c>
      <c r="S58" s="652">
        <f t="shared" si="27"/>
        <v>0</v>
      </c>
      <c r="T58" s="652">
        <f t="shared" si="27"/>
        <v>0</v>
      </c>
      <c r="U58" s="652">
        <f t="shared" si="27"/>
        <v>0</v>
      </c>
      <c r="V58" s="652">
        <f t="shared" si="27"/>
        <v>0</v>
      </c>
      <c r="W58" s="652">
        <f t="shared" si="27"/>
        <v>0</v>
      </c>
      <c r="X58" s="652">
        <f t="shared" si="27"/>
        <v>0</v>
      </c>
      <c r="Y58" s="652">
        <f t="shared" si="27"/>
        <v>37264268053</v>
      </c>
      <c r="Z58" s="652">
        <f t="shared" si="27"/>
        <v>37239673326</v>
      </c>
      <c r="AA58" s="652">
        <f t="shared" si="27"/>
        <v>37205622885</v>
      </c>
      <c r="AB58" s="652">
        <f t="shared" si="27"/>
        <v>37182048299</v>
      </c>
      <c r="AC58" s="36"/>
    </row>
    <row r="59" spans="1:29" ht="16.5" thickTop="1" thickBot="1">
      <c r="A59" s="42">
        <v>2</v>
      </c>
      <c r="B59" s="42" t="s">
        <v>139</v>
      </c>
      <c r="C59" s="42" t="s">
        <v>180</v>
      </c>
      <c r="D59" s="43" t="s">
        <v>139</v>
      </c>
      <c r="E59" s="43" t="s">
        <v>129</v>
      </c>
      <c r="F59" s="43" t="s">
        <v>129</v>
      </c>
      <c r="G59" s="42"/>
      <c r="H59" s="70" t="s">
        <v>320</v>
      </c>
      <c r="I59" s="646">
        <f>+I60</f>
        <v>37264268053</v>
      </c>
      <c r="J59" s="646">
        <f t="shared" si="27"/>
        <v>37239673326</v>
      </c>
      <c r="K59" s="646">
        <f t="shared" si="27"/>
        <v>37205622885</v>
      </c>
      <c r="L59" s="646">
        <f t="shared" si="27"/>
        <v>37182048299</v>
      </c>
      <c r="M59" s="646">
        <f t="shared" si="27"/>
        <v>0</v>
      </c>
      <c r="N59" s="646">
        <f t="shared" si="27"/>
        <v>0</v>
      </c>
      <c r="O59" s="646">
        <f t="shared" si="27"/>
        <v>0</v>
      </c>
      <c r="P59" s="646">
        <f t="shared" si="27"/>
        <v>0</v>
      </c>
      <c r="Q59" s="646">
        <f t="shared" si="27"/>
        <v>0</v>
      </c>
      <c r="R59" s="646">
        <f t="shared" si="27"/>
        <v>0</v>
      </c>
      <c r="S59" s="646">
        <f t="shared" si="27"/>
        <v>0</v>
      </c>
      <c r="T59" s="646">
        <f t="shared" si="27"/>
        <v>0</v>
      </c>
      <c r="U59" s="646">
        <f t="shared" si="27"/>
        <v>0</v>
      </c>
      <c r="V59" s="646">
        <f t="shared" si="27"/>
        <v>0</v>
      </c>
      <c r="W59" s="646">
        <f t="shared" si="27"/>
        <v>0</v>
      </c>
      <c r="X59" s="646">
        <f t="shared" si="27"/>
        <v>0</v>
      </c>
      <c r="Y59" s="646">
        <f t="shared" si="27"/>
        <v>37264268053</v>
      </c>
      <c r="Z59" s="646">
        <f t="shared" si="27"/>
        <v>37239673326</v>
      </c>
      <c r="AA59" s="646">
        <f t="shared" si="27"/>
        <v>37205622885</v>
      </c>
      <c r="AB59" s="646">
        <f t="shared" si="27"/>
        <v>37182048299</v>
      </c>
      <c r="AC59" s="36"/>
    </row>
    <row r="60" spans="1:29" ht="16.5" thickTop="1" thickBot="1">
      <c r="A60" s="42">
        <v>2</v>
      </c>
      <c r="B60" s="42" t="s">
        <v>139</v>
      </c>
      <c r="C60" s="42" t="s">
        <v>180</v>
      </c>
      <c r="D60" s="43" t="s">
        <v>139</v>
      </c>
      <c r="E60" s="43" t="s">
        <v>129</v>
      </c>
      <c r="F60" s="43" t="s">
        <v>129</v>
      </c>
      <c r="G60" s="43" t="s">
        <v>129</v>
      </c>
      <c r="H60" s="70" t="s">
        <v>321</v>
      </c>
      <c r="I60" s="646">
        <v>37264268053</v>
      </c>
      <c r="J60" s="646">
        <v>37239673326</v>
      </c>
      <c r="K60" s="646">
        <v>37205622885</v>
      </c>
      <c r="L60" s="646">
        <v>37182048299</v>
      </c>
      <c r="M60" s="646"/>
      <c r="N60" s="646"/>
      <c r="O60" s="646"/>
      <c r="P60" s="646"/>
      <c r="Q60" s="646"/>
      <c r="R60" s="646"/>
      <c r="S60" s="646"/>
      <c r="T60" s="646"/>
      <c r="U60" s="646"/>
      <c r="V60" s="646"/>
      <c r="W60" s="646"/>
      <c r="X60" s="646"/>
      <c r="Y60" s="646">
        <f t="shared" ref="Y60:AB60" si="28">+I60+M60+Q60+U60</f>
        <v>37264268053</v>
      </c>
      <c r="Z60" s="646">
        <f t="shared" si="28"/>
        <v>37239673326</v>
      </c>
      <c r="AA60" s="646">
        <f t="shared" si="28"/>
        <v>37205622885</v>
      </c>
      <c r="AB60" s="646">
        <f t="shared" si="28"/>
        <v>37182048299</v>
      </c>
      <c r="AC60" s="36"/>
    </row>
    <row r="61" spans="1:29" ht="16.5" thickTop="1" thickBot="1">
      <c r="A61" s="67">
        <v>2</v>
      </c>
      <c r="B61" s="37" t="s">
        <v>139</v>
      </c>
      <c r="C61" s="37" t="s">
        <v>181</v>
      </c>
      <c r="D61" s="37"/>
      <c r="E61" s="67"/>
      <c r="F61" s="67"/>
      <c r="G61" s="67"/>
      <c r="H61" s="68" t="s">
        <v>936</v>
      </c>
      <c r="I61" s="651">
        <f>+I62+I66+I70</f>
        <v>7065300000</v>
      </c>
      <c r="J61" s="651">
        <f t="shared" ref="J61:AB61" si="29">+J62+J66+J70</f>
        <v>7036396547</v>
      </c>
      <c r="K61" s="651">
        <f t="shared" si="29"/>
        <v>5840107139</v>
      </c>
      <c r="L61" s="651">
        <f t="shared" si="29"/>
        <v>4474621228</v>
      </c>
      <c r="M61" s="651">
        <f t="shared" si="29"/>
        <v>0</v>
      </c>
      <c r="N61" s="651">
        <f t="shared" si="29"/>
        <v>0</v>
      </c>
      <c r="O61" s="651">
        <f t="shared" si="29"/>
        <v>0</v>
      </c>
      <c r="P61" s="651">
        <f t="shared" si="29"/>
        <v>0</v>
      </c>
      <c r="Q61" s="651">
        <f t="shared" si="29"/>
        <v>0</v>
      </c>
      <c r="R61" s="651">
        <f t="shared" si="29"/>
        <v>0</v>
      </c>
      <c r="S61" s="651">
        <f t="shared" si="29"/>
        <v>0</v>
      </c>
      <c r="T61" s="651">
        <f t="shared" si="29"/>
        <v>0</v>
      </c>
      <c r="U61" s="651">
        <f t="shared" si="29"/>
        <v>0</v>
      </c>
      <c r="V61" s="651">
        <f t="shared" si="29"/>
        <v>0</v>
      </c>
      <c r="W61" s="651">
        <f t="shared" si="29"/>
        <v>0</v>
      </c>
      <c r="X61" s="651">
        <f t="shared" si="29"/>
        <v>0</v>
      </c>
      <c r="Y61" s="651">
        <f t="shared" si="29"/>
        <v>7065300000</v>
      </c>
      <c r="Z61" s="651">
        <f t="shared" si="29"/>
        <v>7036396547</v>
      </c>
      <c r="AA61" s="651">
        <f t="shared" si="29"/>
        <v>5840107139</v>
      </c>
      <c r="AB61" s="651">
        <f t="shared" si="29"/>
        <v>4474621228</v>
      </c>
      <c r="AC61" s="36"/>
    </row>
    <row r="62" spans="1:29" ht="16.5" thickTop="1" thickBot="1">
      <c r="A62" s="57">
        <v>2</v>
      </c>
      <c r="B62" s="57" t="s">
        <v>139</v>
      </c>
      <c r="C62" s="57" t="s">
        <v>181</v>
      </c>
      <c r="D62" s="57" t="s">
        <v>129</v>
      </c>
      <c r="E62" s="57"/>
      <c r="F62" s="57"/>
      <c r="G62" s="57"/>
      <c r="H62" s="69" t="s">
        <v>1309</v>
      </c>
      <c r="I62" s="652">
        <f>+I63</f>
        <v>2620000000</v>
      </c>
      <c r="J62" s="652">
        <f t="shared" ref="J62:AB64" si="30">+J63</f>
        <v>2615234468</v>
      </c>
      <c r="K62" s="652">
        <f t="shared" si="30"/>
        <v>1547677444</v>
      </c>
      <c r="L62" s="652">
        <f t="shared" si="30"/>
        <v>938871352</v>
      </c>
      <c r="M62" s="652">
        <f t="shared" si="30"/>
        <v>0</v>
      </c>
      <c r="N62" s="652">
        <f t="shared" si="30"/>
        <v>0</v>
      </c>
      <c r="O62" s="652">
        <f t="shared" si="30"/>
        <v>0</v>
      </c>
      <c r="P62" s="652">
        <f t="shared" si="30"/>
        <v>0</v>
      </c>
      <c r="Q62" s="652">
        <f t="shared" si="30"/>
        <v>0</v>
      </c>
      <c r="R62" s="652">
        <f t="shared" si="30"/>
        <v>0</v>
      </c>
      <c r="S62" s="652">
        <f t="shared" si="30"/>
        <v>0</v>
      </c>
      <c r="T62" s="652">
        <f t="shared" si="30"/>
        <v>0</v>
      </c>
      <c r="U62" s="652">
        <f t="shared" si="30"/>
        <v>0</v>
      </c>
      <c r="V62" s="652">
        <f t="shared" si="30"/>
        <v>0</v>
      </c>
      <c r="W62" s="652">
        <f t="shared" si="30"/>
        <v>0</v>
      </c>
      <c r="X62" s="652">
        <f t="shared" si="30"/>
        <v>0</v>
      </c>
      <c r="Y62" s="652">
        <f t="shared" si="30"/>
        <v>2620000000</v>
      </c>
      <c r="Z62" s="652">
        <f t="shared" si="30"/>
        <v>2615234468</v>
      </c>
      <c r="AA62" s="652">
        <f t="shared" si="30"/>
        <v>1547677444</v>
      </c>
      <c r="AB62" s="652">
        <f t="shared" si="30"/>
        <v>938871352</v>
      </c>
      <c r="AC62" s="36"/>
    </row>
    <row r="63" spans="1:29" ht="16.5" thickTop="1" thickBot="1">
      <c r="A63" s="57">
        <v>3</v>
      </c>
      <c r="B63" s="57" t="s">
        <v>139</v>
      </c>
      <c r="C63" s="57" t="s">
        <v>181</v>
      </c>
      <c r="D63" s="57" t="s">
        <v>129</v>
      </c>
      <c r="E63" s="57" t="s">
        <v>129</v>
      </c>
      <c r="F63" s="57"/>
      <c r="G63" s="57"/>
      <c r="H63" s="69" t="s">
        <v>319</v>
      </c>
      <c r="I63" s="652">
        <f>+I64</f>
        <v>2620000000</v>
      </c>
      <c r="J63" s="652">
        <f t="shared" si="30"/>
        <v>2615234468</v>
      </c>
      <c r="K63" s="652">
        <f t="shared" si="30"/>
        <v>1547677444</v>
      </c>
      <c r="L63" s="652">
        <f t="shared" si="30"/>
        <v>938871352</v>
      </c>
      <c r="M63" s="652">
        <f t="shared" si="30"/>
        <v>0</v>
      </c>
      <c r="N63" s="652">
        <f t="shared" si="30"/>
        <v>0</v>
      </c>
      <c r="O63" s="652">
        <f t="shared" si="30"/>
        <v>0</v>
      </c>
      <c r="P63" s="652">
        <f t="shared" si="30"/>
        <v>0</v>
      </c>
      <c r="Q63" s="652">
        <f t="shared" si="30"/>
        <v>0</v>
      </c>
      <c r="R63" s="652">
        <f t="shared" si="30"/>
        <v>0</v>
      </c>
      <c r="S63" s="652">
        <f t="shared" si="30"/>
        <v>0</v>
      </c>
      <c r="T63" s="652">
        <f t="shared" si="30"/>
        <v>0</v>
      </c>
      <c r="U63" s="652">
        <f t="shared" si="30"/>
        <v>0</v>
      </c>
      <c r="V63" s="652">
        <f t="shared" si="30"/>
        <v>0</v>
      </c>
      <c r="W63" s="652">
        <f t="shared" si="30"/>
        <v>0</v>
      </c>
      <c r="X63" s="652">
        <f t="shared" si="30"/>
        <v>0</v>
      </c>
      <c r="Y63" s="652">
        <f t="shared" si="30"/>
        <v>2620000000</v>
      </c>
      <c r="Z63" s="652">
        <f t="shared" si="30"/>
        <v>2615234468</v>
      </c>
      <c r="AA63" s="652">
        <f t="shared" si="30"/>
        <v>1547677444</v>
      </c>
      <c r="AB63" s="652">
        <f t="shared" si="30"/>
        <v>938871352</v>
      </c>
      <c r="AC63" s="36"/>
    </row>
    <row r="64" spans="1:29" ht="16.5" thickTop="1" thickBot="1">
      <c r="A64" s="42">
        <v>2</v>
      </c>
      <c r="B64" s="42" t="s">
        <v>139</v>
      </c>
      <c r="C64" s="43" t="s">
        <v>181</v>
      </c>
      <c r="D64" s="43" t="s">
        <v>129</v>
      </c>
      <c r="E64" s="43" t="s">
        <v>129</v>
      </c>
      <c r="F64" s="43" t="s">
        <v>129</v>
      </c>
      <c r="G64" s="42"/>
      <c r="H64" s="70" t="s">
        <v>320</v>
      </c>
      <c r="I64" s="646">
        <f>+I65</f>
        <v>2620000000</v>
      </c>
      <c r="J64" s="646">
        <f t="shared" si="30"/>
        <v>2615234468</v>
      </c>
      <c r="K64" s="646">
        <f t="shared" si="30"/>
        <v>1547677444</v>
      </c>
      <c r="L64" s="646">
        <f t="shared" si="30"/>
        <v>938871352</v>
      </c>
      <c r="M64" s="646">
        <f t="shared" si="30"/>
        <v>0</v>
      </c>
      <c r="N64" s="646">
        <f t="shared" si="30"/>
        <v>0</v>
      </c>
      <c r="O64" s="646">
        <f t="shared" si="30"/>
        <v>0</v>
      </c>
      <c r="P64" s="646">
        <f t="shared" si="30"/>
        <v>0</v>
      </c>
      <c r="Q64" s="646">
        <f t="shared" si="30"/>
        <v>0</v>
      </c>
      <c r="R64" s="646">
        <f t="shared" si="30"/>
        <v>0</v>
      </c>
      <c r="S64" s="646">
        <f t="shared" si="30"/>
        <v>0</v>
      </c>
      <c r="T64" s="646">
        <f t="shared" si="30"/>
        <v>0</v>
      </c>
      <c r="U64" s="646">
        <f t="shared" si="30"/>
        <v>0</v>
      </c>
      <c r="V64" s="646">
        <f t="shared" si="30"/>
        <v>0</v>
      </c>
      <c r="W64" s="646">
        <f t="shared" si="30"/>
        <v>0</v>
      </c>
      <c r="X64" s="646">
        <f t="shared" si="30"/>
        <v>0</v>
      </c>
      <c r="Y64" s="646">
        <f t="shared" si="30"/>
        <v>2620000000</v>
      </c>
      <c r="Z64" s="646">
        <f t="shared" si="30"/>
        <v>2615234468</v>
      </c>
      <c r="AA64" s="646">
        <f t="shared" si="30"/>
        <v>1547677444</v>
      </c>
      <c r="AB64" s="646">
        <f t="shared" si="30"/>
        <v>938871352</v>
      </c>
      <c r="AC64" s="36"/>
    </row>
    <row r="65" spans="1:29" ht="16.5" thickTop="1" thickBot="1">
      <c r="A65" s="42">
        <v>2</v>
      </c>
      <c r="B65" s="42" t="s">
        <v>139</v>
      </c>
      <c r="C65" s="42" t="s">
        <v>181</v>
      </c>
      <c r="D65" s="42" t="s">
        <v>129</v>
      </c>
      <c r="E65" s="43" t="s">
        <v>129</v>
      </c>
      <c r="F65" s="43" t="s">
        <v>129</v>
      </c>
      <c r="G65" s="43" t="s">
        <v>129</v>
      </c>
      <c r="H65" s="70" t="s">
        <v>321</v>
      </c>
      <c r="I65" s="646">
        <v>2620000000</v>
      </c>
      <c r="J65" s="646">
        <v>2615234468</v>
      </c>
      <c r="K65" s="646">
        <v>1547677444</v>
      </c>
      <c r="L65" s="646">
        <v>938871352</v>
      </c>
      <c r="M65" s="646"/>
      <c r="N65" s="646"/>
      <c r="O65" s="646"/>
      <c r="P65" s="646"/>
      <c r="Q65" s="646"/>
      <c r="R65" s="646"/>
      <c r="S65" s="646"/>
      <c r="T65" s="646"/>
      <c r="U65" s="646"/>
      <c r="V65" s="646"/>
      <c r="W65" s="646"/>
      <c r="X65" s="646"/>
      <c r="Y65" s="646">
        <f t="shared" ref="Y65:AB65" si="31">+I65+M65+Q65+U65</f>
        <v>2620000000</v>
      </c>
      <c r="Z65" s="646">
        <f t="shared" si="31"/>
        <v>2615234468</v>
      </c>
      <c r="AA65" s="646">
        <f t="shared" si="31"/>
        <v>1547677444</v>
      </c>
      <c r="AB65" s="646">
        <f t="shared" si="31"/>
        <v>938871352</v>
      </c>
      <c r="AC65" s="36"/>
    </row>
    <row r="66" spans="1:29" ht="16.5" thickTop="1" thickBot="1">
      <c r="A66" s="57">
        <v>2</v>
      </c>
      <c r="B66" s="57" t="s">
        <v>139</v>
      </c>
      <c r="C66" s="57" t="s">
        <v>181</v>
      </c>
      <c r="D66" s="57" t="s">
        <v>134</v>
      </c>
      <c r="E66" s="57"/>
      <c r="F66" s="57"/>
      <c r="G66" s="57"/>
      <c r="H66" s="69" t="s">
        <v>1310</v>
      </c>
      <c r="I66" s="652">
        <f>+I67</f>
        <v>1300000000</v>
      </c>
      <c r="J66" s="652">
        <f t="shared" ref="J66:AB68" si="32">+J67</f>
        <v>1282434799</v>
      </c>
      <c r="K66" s="652">
        <f t="shared" si="32"/>
        <v>1269974824</v>
      </c>
      <c r="L66" s="652">
        <f t="shared" si="32"/>
        <v>1035091088</v>
      </c>
      <c r="M66" s="652">
        <f t="shared" si="32"/>
        <v>0</v>
      </c>
      <c r="N66" s="652">
        <f t="shared" si="32"/>
        <v>0</v>
      </c>
      <c r="O66" s="652">
        <f t="shared" si="32"/>
        <v>0</v>
      </c>
      <c r="P66" s="652">
        <f t="shared" si="32"/>
        <v>0</v>
      </c>
      <c r="Q66" s="652">
        <f t="shared" si="32"/>
        <v>0</v>
      </c>
      <c r="R66" s="652">
        <f t="shared" si="32"/>
        <v>0</v>
      </c>
      <c r="S66" s="652">
        <f t="shared" si="32"/>
        <v>0</v>
      </c>
      <c r="T66" s="652">
        <f t="shared" si="32"/>
        <v>0</v>
      </c>
      <c r="U66" s="652">
        <f t="shared" si="32"/>
        <v>0</v>
      </c>
      <c r="V66" s="652">
        <f t="shared" si="32"/>
        <v>0</v>
      </c>
      <c r="W66" s="652">
        <f t="shared" si="32"/>
        <v>0</v>
      </c>
      <c r="X66" s="652">
        <f t="shared" si="32"/>
        <v>0</v>
      </c>
      <c r="Y66" s="652">
        <f t="shared" si="32"/>
        <v>1300000000</v>
      </c>
      <c r="Z66" s="652">
        <f t="shared" si="32"/>
        <v>1282434799</v>
      </c>
      <c r="AA66" s="652">
        <f t="shared" si="32"/>
        <v>1269974824</v>
      </c>
      <c r="AB66" s="652">
        <f t="shared" si="32"/>
        <v>1035091088</v>
      </c>
      <c r="AC66" s="36"/>
    </row>
    <row r="67" spans="1:29" ht="16.5" thickTop="1" thickBot="1">
      <c r="A67" s="57">
        <v>3</v>
      </c>
      <c r="B67" s="57" t="s">
        <v>139</v>
      </c>
      <c r="C67" s="57" t="s">
        <v>181</v>
      </c>
      <c r="D67" s="57" t="s">
        <v>134</v>
      </c>
      <c r="E67" s="57" t="s">
        <v>129</v>
      </c>
      <c r="F67" s="57"/>
      <c r="G67" s="57"/>
      <c r="H67" s="69" t="s">
        <v>319</v>
      </c>
      <c r="I67" s="652">
        <f>+I68</f>
        <v>1300000000</v>
      </c>
      <c r="J67" s="652">
        <f t="shared" si="32"/>
        <v>1282434799</v>
      </c>
      <c r="K67" s="652">
        <f t="shared" si="32"/>
        <v>1269974824</v>
      </c>
      <c r="L67" s="652">
        <f t="shared" si="32"/>
        <v>1035091088</v>
      </c>
      <c r="M67" s="652">
        <f t="shared" si="32"/>
        <v>0</v>
      </c>
      <c r="N67" s="652">
        <f t="shared" si="32"/>
        <v>0</v>
      </c>
      <c r="O67" s="652">
        <f t="shared" si="32"/>
        <v>0</v>
      </c>
      <c r="P67" s="652">
        <f t="shared" si="32"/>
        <v>0</v>
      </c>
      <c r="Q67" s="652">
        <f t="shared" si="32"/>
        <v>0</v>
      </c>
      <c r="R67" s="652">
        <f t="shared" si="32"/>
        <v>0</v>
      </c>
      <c r="S67" s="652">
        <f t="shared" si="32"/>
        <v>0</v>
      </c>
      <c r="T67" s="652">
        <f t="shared" si="32"/>
        <v>0</v>
      </c>
      <c r="U67" s="652">
        <f t="shared" si="32"/>
        <v>0</v>
      </c>
      <c r="V67" s="652">
        <f t="shared" si="32"/>
        <v>0</v>
      </c>
      <c r="W67" s="652">
        <f t="shared" si="32"/>
        <v>0</v>
      </c>
      <c r="X67" s="652">
        <f t="shared" si="32"/>
        <v>0</v>
      </c>
      <c r="Y67" s="652">
        <f t="shared" si="32"/>
        <v>1300000000</v>
      </c>
      <c r="Z67" s="652">
        <f t="shared" si="32"/>
        <v>1282434799</v>
      </c>
      <c r="AA67" s="652">
        <f t="shared" si="32"/>
        <v>1269974824</v>
      </c>
      <c r="AB67" s="652">
        <f t="shared" si="32"/>
        <v>1035091088</v>
      </c>
      <c r="AC67" s="36"/>
    </row>
    <row r="68" spans="1:29" ht="16.5" thickTop="1" thickBot="1">
      <c r="A68" s="42">
        <v>2</v>
      </c>
      <c r="B68" s="42" t="s">
        <v>139</v>
      </c>
      <c r="C68" s="43" t="s">
        <v>181</v>
      </c>
      <c r="D68" s="43" t="s">
        <v>134</v>
      </c>
      <c r="E68" s="43" t="s">
        <v>129</v>
      </c>
      <c r="F68" s="43" t="s">
        <v>129</v>
      </c>
      <c r="G68" s="42"/>
      <c r="H68" s="70" t="s">
        <v>320</v>
      </c>
      <c r="I68" s="646">
        <f>+I69</f>
        <v>1300000000</v>
      </c>
      <c r="J68" s="646">
        <f t="shared" si="32"/>
        <v>1282434799</v>
      </c>
      <c r="K68" s="646">
        <f t="shared" si="32"/>
        <v>1269974824</v>
      </c>
      <c r="L68" s="646">
        <f t="shared" si="32"/>
        <v>1035091088</v>
      </c>
      <c r="M68" s="646">
        <f t="shared" si="32"/>
        <v>0</v>
      </c>
      <c r="N68" s="646">
        <f t="shared" si="32"/>
        <v>0</v>
      </c>
      <c r="O68" s="646">
        <f t="shared" si="32"/>
        <v>0</v>
      </c>
      <c r="P68" s="646">
        <f t="shared" si="32"/>
        <v>0</v>
      </c>
      <c r="Q68" s="646">
        <f t="shared" si="32"/>
        <v>0</v>
      </c>
      <c r="R68" s="646">
        <f t="shared" si="32"/>
        <v>0</v>
      </c>
      <c r="S68" s="646">
        <f t="shared" si="32"/>
        <v>0</v>
      </c>
      <c r="T68" s="646">
        <f t="shared" si="32"/>
        <v>0</v>
      </c>
      <c r="U68" s="646">
        <f t="shared" si="32"/>
        <v>0</v>
      </c>
      <c r="V68" s="646">
        <f t="shared" si="32"/>
        <v>0</v>
      </c>
      <c r="W68" s="646">
        <f t="shared" si="32"/>
        <v>0</v>
      </c>
      <c r="X68" s="646">
        <f t="shared" si="32"/>
        <v>0</v>
      </c>
      <c r="Y68" s="646">
        <f t="shared" si="32"/>
        <v>1300000000</v>
      </c>
      <c r="Z68" s="646">
        <f t="shared" si="32"/>
        <v>1282434799</v>
      </c>
      <c r="AA68" s="646">
        <f t="shared" si="32"/>
        <v>1269974824</v>
      </c>
      <c r="AB68" s="646">
        <f t="shared" si="32"/>
        <v>1035091088</v>
      </c>
      <c r="AC68" s="36"/>
    </row>
    <row r="69" spans="1:29" ht="16.5" thickTop="1" thickBot="1">
      <c r="A69" s="42">
        <v>2</v>
      </c>
      <c r="B69" s="42" t="s">
        <v>139</v>
      </c>
      <c r="C69" s="43" t="s">
        <v>181</v>
      </c>
      <c r="D69" s="43" t="s">
        <v>134</v>
      </c>
      <c r="E69" s="43" t="s">
        <v>129</v>
      </c>
      <c r="F69" s="43" t="s">
        <v>129</v>
      </c>
      <c r="G69" s="43" t="s">
        <v>129</v>
      </c>
      <c r="H69" s="70" t="s">
        <v>321</v>
      </c>
      <c r="I69" s="646">
        <v>1300000000</v>
      </c>
      <c r="J69" s="646">
        <v>1282434799</v>
      </c>
      <c r="K69" s="646">
        <v>1269974824</v>
      </c>
      <c r="L69" s="646">
        <v>1035091088</v>
      </c>
      <c r="M69" s="646"/>
      <c r="N69" s="646"/>
      <c r="O69" s="646"/>
      <c r="P69" s="646"/>
      <c r="Q69" s="646"/>
      <c r="R69" s="646"/>
      <c r="S69" s="646"/>
      <c r="T69" s="646"/>
      <c r="U69" s="646"/>
      <c r="V69" s="646"/>
      <c r="W69" s="646"/>
      <c r="X69" s="646"/>
      <c r="Y69" s="646">
        <f t="shared" ref="Y69:AB69" si="33">+I69+M69+Q69+U69</f>
        <v>1300000000</v>
      </c>
      <c r="Z69" s="646">
        <f t="shared" si="33"/>
        <v>1282434799</v>
      </c>
      <c r="AA69" s="646">
        <f t="shared" si="33"/>
        <v>1269974824</v>
      </c>
      <c r="AB69" s="646">
        <f t="shared" si="33"/>
        <v>1035091088</v>
      </c>
      <c r="AC69" s="36"/>
    </row>
    <row r="70" spans="1:29" ht="16.5" thickTop="1" thickBot="1">
      <c r="A70" s="57">
        <v>2</v>
      </c>
      <c r="B70" s="57" t="s">
        <v>139</v>
      </c>
      <c r="C70" s="57" t="s">
        <v>181</v>
      </c>
      <c r="D70" s="57" t="s">
        <v>139</v>
      </c>
      <c r="E70" s="57"/>
      <c r="F70" s="57"/>
      <c r="G70" s="57"/>
      <c r="H70" s="69" t="s">
        <v>1311</v>
      </c>
      <c r="I70" s="652">
        <f>+I71</f>
        <v>3145300000</v>
      </c>
      <c r="J70" s="652">
        <f t="shared" ref="J70:AB72" si="34">+J71</f>
        <v>3138727280</v>
      </c>
      <c r="K70" s="652">
        <f t="shared" si="34"/>
        <v>3022454871</v>
      </c>
      <c r="L70" s="652">
        <f t="shared" si="34"/>
        <v>2500658788</v>
      </c>
      <c r="M70" s="652">
        <f t="shared" si="34"/>
        <v>0</v>
      </c>
      <c r="N70" s="652">
        <f t="shared" si="34"/>
        <v>0</v>
      </c>
      <c r="O70" s="652">
        <f t="shared" si="34"/>
        <v>0</v>
      </c>
      <c r="P70" s="652">
        <f t="shared" si="34"/>
        <v>0</v>
      </c>
      <c r="Q70" s="652">
        <f t="shared" si="34"/>
        <v>0</v>
      </c>
      <c r="R70" s="652">
        <f t="shared" si="34"/>
        <v>0</v>
      </c>
      <c r="S70" s="652">
        <f t="shared" si="34"/>
        <v>0</v>
      </c>
      <c r="T70" s="652">
        <f t="shared" si="34"/>
        <v>0</v>
      </c>
      <c r="U70" s="652">
        <f t="shared" si="34"/>
        <v>0</v>
      </c>
      <c r="V70" s="652">
        <f t="shared" si="34"/>
        <v>0</v>
      </c>
      <c r="W70" s="652">
        <f t="shared" si="34"/>
        <v>0</v>
      </c>
      <c r="X70" s="652">
        <f t="shared" si="34"/>
        <v>0</v>
      </c>
      <c r="Y70" s="652">
        <f t="shared" si="34"/>
        <v>3145300000</v>
      </c>
      <c r="Z70" s="652">
        <f t="shared" si="34"/>
        <v>3138727280</v>
      </c>
      <c r="AA70" s="652">
        <f t="shared" si="34"/>
        <v>3022454871</v>
      </c>
      <c r="AB70" s="652">
        <f t="shared" si="34"/>
        <v>2500658788</v>
      </c>
      <c r="AC70" s="36"/>
    </row>
    <row r="71" spans="1:29" ht="16.5" thickTop="1" thickBot="1">
      <c r="A71" s="57">
        <v>3</v>
      </c>
      <c r="B71" s="57" t="s">
        <v>139</v>
      </c>
      <c r="C71" s="57" t="s">
        <v>181</v>
      </c>
      <c r="D71" s="57" t="s">
        <v>139</v>
      </c>
      <c r="E71" s="57" t="s">
        <v>129</v>
      </c>
      <c r="F71" s="57"/>
      <c r="G71" s="57"/>
      <c r="H71" s="69" t="s">
        <v>319</v>
      </c>
      <c r="I71" s="652">
        <f>+I72</f>
        <v>3145300000</v>
      </c>
      <c r="J71" s="652">
        <f t="shared" si="34"/>
        <v>3138727280</v>
      </c>
      <c r="K71" s="652">
        <f t="shared" si="34"/>
        <v>3022454871</v>
      </c>
      <c r="L71" s="652">
        <f t="shared" si="34"/>
        <v>2500658788</v>
      </c>
      <c r="M71" s="652">
        <f t="shared" si="34"/>
        <v>0</v>
      </c>
      <c r="N71" s="652">
        <f t="shared" si="34"/>
        <v>0</v>
      </c>
      <c r="O71" s="652">
        <f t="shared" si="34"/>
        <v>0</v>
      </c>
      <c r="P71" s="652">
        <f t="shared" si="34"/>
        <v>0</v>
      </c>
      <c r="Q71" s="652">
        <f t="shared" si="34"/>
        <v>0</v>
      </c>
      <c r="R71" s="652">
        <f t="shared" si="34"/>
        <v>0</v>
      </c>
      <c r="S71" s="652">
        <f t="shared" si="34"/>
        <v>0</v>
      </c>
      <c r="T71" s="652">
        <f t="shared" si="34"/>
        <v>0</v>
      </c>
      <c r="U71" s="652">
        <f t="shared" si="34"/>
        <v>0</v>
      </c>
      <c r="V71" s="652">
        <f t="shared" si="34"/>
        <v>0</v>
      </c>
      <c r="W71" s="652">
        <f t="shared" si="34"/>
        <v>0</v>
      </c>
      <c r="X71" s="652">
        <f t="shared" si="34"/>
        <v>0</v>
      </c>
      <c r="Y71" s="652">
        <f t="shared" si="34"/>
        <v>3145300000</v>
      </c>
      <c r="Z71" s="652">
        <f t="shared" si="34"/>
        <v>3138727280</v>
      </c>
      <c r="AA71" s="652">
        <f t="shared" si="34"/>
        <v>3022454871</v>
      </c>
      <c r="AB71" s="652">
        <f t="shared" si="34"/>
        <v>2500658788</v>
      </c>
      <c r="AC71" s="36"/>
    </row>
    <row r="72" spans="1:29" ht="16.5" thickTop="1" thickBot="1">
      <c r="A72" s="42">
        <v>2</v>
      </c>
      <c r="B72" s="42" t="s">
        <v>139</v>
      </c>
      <c r="C72" s="43" t="s">
        <v>181</v>
      </c>
      <c r="D72" s="43" t="s">
        <v>139</v>
      </c>
      <c r="E72" s="43" t="s">
        <v>129</v>
      </c>
      <c r="F72" s="43" t="s">
        <v>129</v>
      </c>
      <c r="G72" s="42"/>
      <c r="H72" s="70" t="s">
        <v>320</v>
      </c>
      <c r="I72" s="646">
        <f>+I73</f>
        <v>3145300000</v>
      </c>
      <c r="J72" s="646">
        <f t="shared" si="34"/>
        <v>3138727280</v>
      </c>
      <c r="K72" s="646">
        <f t="shared" si="34"/>
        <v>3022454871</v>
      </c>
      <c r="L72" s="646">
        <f t="shared" si="34"/>
        <v>2500658788</v>
      </c>
      <c r="M72" s="646">
        <f t="shared" si="34"/>
        <v>0</v>
      </c>
      <c r="N72" s="646">
        <f t="shared" si="34"/>
        <v>0</v>
      </c>
      <c r="O72" s="646">
        <f t="shared" si="34"/>
        <v>0</v>
      </c>
      <c r="P72" s="646">
        <f t="shared" si="34"/>
        <v>0</v>
      </c>
      <c r="Q72" s="646">
        <f t="shared" si="34"/>
        <v>0</v>
      </c>
      <c r="R72" s="646">
        <f t="shared" si="34"/>
        <v>0</v>
      </c>
      <c r="S72" s="646">
        <f t="shared" si="34"/>
        <v>0</v>
      </c>
      <c r="T72" s="646">
        <f t="shared" si="34"/>
        <v>0</v>
      </c>
      <c r="U72" s="646">
        <f t="shared" si="34"/>
        <v>0</v>
      </c>
      <c r="V72" s="646">
        <f t="shared" si="34"/>
        <v>0</v>
      </c>
      <c r="W72" s="646">
        <f t="shared" si="34"/>
        <v>0</v>
      </c>
      <c r="X72" s="646">
        <f t="shared" si="34"/>
        <v>0</v>
      </c>
      <c r="Y72" s="646">
        <f t="shared" si="34"/>
        <v>3145300000</v>
      </c>
      <c r="Z72" s="646">
        <f t="shared" si="34"/>
        <v>3138727280</v>
      </c>
      <c r="AA72" s="646">
        <f t="shared" si="34"/>
        <v>3022454871</v>
      </c>
      <c r="AB72" s="646">
        <f t="shared" si="34"/>
        <v>2500658788</v>
      </c>
      <c r="AC72" s="36"/>
    </row>
    <row r="73" spans="1:29" ht="16.5" thickTop="1" thickBot="1">
      <c r="A73" s="42">
        <v>2</v>
      </c>
      <c r="B73" s="42" t="s">
        <v>139</v>
      </c>
      <c r="C73" s="43" t="s">
        <v>181</v>
      </c>
      <c r="D73" s="43" t="s">
        <v>139</v>
      </c>
      <c r="E73" s="43" t="s">
        <v>129</v>
      </c>
      <c r="F73" s="43" t="s">
        <v>129</v>
      </c>
      <c r="G73" s="43" t="s">
        <v>129</v>
      </c>
      <c r="H73" s="70" t="s">
        <v>321</v>
      </c>
      <c r="I73" s="646">
        <v>3145300000</v>
      </c>
      <c r="J73" s="646">
        <v>3138727280</v>
      </c>
      <c r="K73" s="646">
        <v>3022454871</v>
      </c>
      <c r="L73" s="646">
        <v>2500658788</v>
      </c>
      <c r="M73" s="646"/>
      <c r="N73" s="646"/>
      <c r="O73" s="646"/>
      <c r="P73" s="646"/>
      <c r="Q73" s="646"/>
      <c r="R73" s="646"/>
      <c r="S73" s="646"/>
      <c r="T73" s="646"/>
      <c r="U73" s="646"/>
      <c r="V73" s="646"/>
      <c r="W73" s="646"/>
      <c r="X73" s="646"/>
      <c r="Y73" s="646">
        <f t="shared" ref="Y73:AB73" si="35">+I73+M73+Q73+U73</f>
        <v>3145300000</v>
      </c>
      <c r="Z73" s="646">
        <f t="shared" si="35"/>
        <v>3138727280</v>
      </c>
      <c r="AA73" s="646">
        <f t="shared" si="35"/>
        <v>3022454871</v>
      </c>
      <c r="AB73" s="646">
        <f t="shared" si="35"/>
        <v>2500658788</v>
      </c>
      <c r="AC73" s="36"/>
    </row>
    <row r="74" spans="1:29" ht="16.5" thickTop="1" thickBot="1">
      <c r="A74" s="67">
        <v>2</v>
      </c>
      <c r="B74" s="37" t="s">
        <v>139</v>
      </c>
      <c r="C74" s="37" t="s">
        <v>182</v>
      </c>
      <c r="D74" s="37"/>
      <c r="E74" s="67"/>
      <c r="F74" s="67"/>
      <c r="G74" s="67"/>
      <c r="H74" s="68" t="s">
        <v>937</v>
      </c>
      <c r="I74" s="651">
        <f t="shared" ref="I74:AB74" si="36">+I75+I79+I83+I87</f>
        <v>6025000000</v>
      </c>
      <c r="J74" s="651">
        <f t="shared" si="36"/>
        <v>5997286808.1599998</v>
      </c>
      <c r="K74" s="651">
        <f t="shared" si="36"/>
        <v>3980728610</v>
      </c>
      <c r="L74" s="651">
        <f t="shared" si="36"/>
        <v>3491422747</v>
      </c>
      <c r="M74" s="651">
        <f t="shared" si="36"/>
        <v>0</v>
      </c>
      <c r="N74" s="651">
        <f t="shared" si="36"/>
        <v>0</v>
      </c>
      <c r="O74" s="651">
        <f t="shared" si="36"/>
        <v>0</v>
      </c>
      <c r="P74" s="651">
        <f t="shared" si="36"/>
        <v>0</v>
      </c>
      <c r="Q74" s="651">
        <f t="shared" si="36"/>
        <v>0</v>
      </c>
      <c r="R74" s="651">
        <f t="shared" si="36"/>
        <v>0</v>
      </c>
      <c r="S74" s="651">
        <f t="shared" si="36"/>
        <v>0</v>
      </c>
      <c r="T74" s="651">
        <f t="shared" si="36"/>
        <v>0</v>
      </c>
      <c r="U74" s="651">
        <f t="shared" si="36"/>
        <v>0</v>
      </c>
      <c r="V74" s="651">
        <f t="shared" si="36"/>
        <v>0</v>
      </c>
      <c r="W74" s="651">
        <f t="shared" si="36"/>
        <v>0</v>
      </c>
      <c r="X74" s="651">
        <f t="shared" si="36"/>
        <v>0</v>
      </c>
      <c r="Y74" s="651">
        <f t="shared" si="36"/>
        <v>6025000000</v>
      </c>
      <c r="Z74" s="651">
        <f t="shared" si="36"/>
        <v>5997286808.1599998</v>
      </c>
      <c r="AA74" s="651">
        <f t="shared" si="36"/>
        <v>3980728610</v>
      </c>
      <c r="AB74" s="651">
        <f t="shared" si="36"/>
        <v>3491422747</v>
      </c>
      <c r="AC74" s="36"/>
    </row>
    <row r="75" spans="1:29" ht="16.5" thickTop="1" thickBot="1">
      <c r="A75" s="57">
        <v>2</v>
      </c>
      <c r="B75" s="57" t="s">
        <v>139</v>
      </c>
      <c r="C75" s="57" t="s">
        <v>182</v>
      </c>
      <c r="D75" s="57" t="s">
        <v>129</v>
      </c>
      <c r="E75" s="57"/>
      <c r="F75" s="57"/>
      <c r="G75" s="57"/>
      <c r="H75" s="69" t="s">
        <v>1312</v>
      </c>
      <c r="I75" s="652">
        <f t="shared" ref="I75:AB77" si="37">+I76</f>
        <v>2600000000</v>
      </c>
      <c r="J75" s="652">
        <f t="shared" si="37"/>
        <v>2591775980</v>
      </c>
      <c r="K75" s="652">
        <f t="shared" si="37"/>
        <v>1840500137</v>
      </c>
      <c r="L75" s="652">
        <f t="shared" si="37"/>
        <v>1528547284</v>
      </c>
      <c r="M75" s="652">
        <f t="shared" si="37"/>
        <v>0</v>
      </c>
      <c r="N75" s="652">
        <f t="shared" si="37"/>
        <v>0</v>
      </c>
      <c r="O75" s="652">
        <f t="shared" si="37"/>
        <v>0</v>
      </c>
      <c r="P75" s="652">
        <f t="shared" si="37"/>
        <v>0</v>
      </c>
      <c r="Q75" s="652">
        <f t="shared" si="37"/>
        <v>0</v>
      </c>
      <c r="R75" s="652">
        <f t="shared" si="37"/>
        <v>0</v>
      </c>
      <c r="S75" s="652">
        <f t="shared" si="37"/>
        <v>0</v>
      </c>
      <c r="T75" s="652">
        <f t="shared" si="37"/>
        <v>0</v>
      </c>
      <c r="U75" s="652">
        <f t="shared" si="37"/>
        <v>0</v>
      </c>
      <c r="V75" s="652">
        <f t="shared" si="37"/>
        <v>0</v>
      </c>
      <c r="W75" s="652">
        <f t="shared" si="37"/>
        <v>0</v>
      </c>
      <c r="X75" s="652">
        <f t="shared" si="37"/>
        <v>0</v>
      </c>
      <c r="Y75" s="652">
        <f t="shared" si="37"/>
        <v>2600000000</v>
      </c>
      <c r="Z75" s="652">
        <f t="shared" si="37"/>
        <v>2591775980</v>
      </c>
      <c r="AA75" s="652">
        <f t="shared" si="37"/>
        <v>1840500137</v>
      </c>
      <c r="AB75" s="652">
        <f t="shared" si="37"/>
        <v>1528547284</v>
      </c>
      <c r="AC75" s="36"/>
    </row>
    <row r="76" spans="1:29" ht="16.5" thickTop="1" thickBot="1">
      <c r="A76" s="57">
        <v>3</v>
      </c>
      <c r="B76" s="57" t="s">
        <v>139</v>
      </c>
      <c r="C76" s="57" t="s">
        <v>182</v>
      </c>
      <c r="D76" s="57" t="s">
        <v>129</v>
      </c>
      <c r="E76" s="57" t="s">
        <v>129</v>
      </c>
      <c r="F76" s="57"/>
      <c r="G76" s="57"/>
      <c r="H76" s="69" t="s">
        <v>319</v>
      </c>
      <c r="I76" s="652">
        <f>+I77</f>
        <v>2600000000</v>
      </c>
      <c r="J76" s="652">
        <f t="shared" si="37"/>
        <v>2591775980</v>
      </c>
      <c r="K76" s="652">
        <f t="shared" si="37"/>
        <v>1840500137</v>
      </c>
      <c r="L76" s="652">
        <f t="shared" si="37"/>
        <v>1528547284</v>
      </c>
      <c r="M76" s="652">
        <f t="shared" si="37"/>
        <v>0</v>
      </c>
      <c r="N76" s="652">
        <f t="shared" si="37"/>
        <v>0</v>
      </c>
      <c r="O76" s="652">
        <f t="shared" si="37"/>
        <v>0</v>
      </c>
      <c r="P76" s="652">
        <f t="shared" si="37"/>
        <v>0</v>
      </c>
      <c r="Q76" s="652">
        <f t="shared" si="37"/>
        <v>0</v>
      </c>
      <c r="R76" s="652">
        <f t="shared" si="37"/>
        <v>0</v>
      </c>
      <c r="S76" s="652">
        <f t="shared" si="37"/>
        <v>0</v>
      </c>
      <c r="T76" s="652">
        <f t="shared" si="37"/>
        <v>0</v>
      </c>
      <c r="U76" s="652">
        <f t="shared" si="37"/>
        <v>0</v>
      </c>
      <c r="V76" s="652">
        <f t="shared" si="37"/>
        <v>0</v>
      </c>
      <c r="W76" s="652">
        <f t="shared" si="37"/>
        <v>0</v>
      </c>
      <c r="X76" s="652">
        <f t="shared" si="37"/>
        <v>0</v>
      </c>
      <c r="Y76" s="652">
        <f t="shared" si="37"/>
        <v>2600000000</v>
      </c>
      <c r="Z76" s="652">
        <f t="shared" si="37"/>
        <v>2591775980</v>
      </c>
      <c r="AA76" s="652">
        <f t="shared" si="37"/>
        <v>1840500137</v>
      </c>
      <c r="AB76" s="652">
        <f t="shared" si="37"/>
        <v>1528547284</v>
      </c>
      <c r="AC76" s="36"/>
    </row>
    <row r="77" spans="1:29" ht="16.5" thickTop="1" thickBot="1">
      <c r="A77" s="42">
        <v>2</v>
      </c>
      <c r="B77" s="42" t="s">
        <v>139</v>
      </c>
      <c r="C77" s="43" t="s">
        <v>182</v>
      </c>
      <c r="D77" s="43" t="s">
        <v>129</v>
      </c>
      <c r="E77" s="43" t="s">
        <v>129</v>
      </c>
      <c r="F77" s="43" t="s">
        <v>129</v>
      </c>
      <c r="G77" s="42"/>
      <c r="H77" s="70" t="s">
        <v>320</v>
      </c>
      <c r="I77" s="646">
        <f>+I78</f>
        <v>2600000000</v>
      </c>
      <c r="J77" s="646">
        <f t="shared" si="37"/>
        <v>2591775980</v>
      </c>
      <c r="K77" s="646">
        <f t="shared" si="37"/>
        <v>1840500137</v>
      </c>
      <c r="L77" s="646">
        <f t="shared" si="37"/>
        <v>1528547284</v>
      </c>
      <c r="M77" s="646">
        <f t="shared" si="37"/>
        <v>0</v>
      </c>
      <c r="N77" s="646">
        <f t="shared" si="37"/>
        <v>0</v>
      </c>
      <c r="O77" s="646">
        <f t="shared" si="37"/>
        <v>0</v>
      </c>
      <c r="P77" s="646">
        <f t="shared" si="37"/>
        <v>0</v>
      </c>
      <c r="Q77" s="646">
        <f t="shared" si="37"/>
        <v>0</v>
      </c>
      <c r="R77" s="646">
        <f t="shared" si="37"/>
        <v>0</v>
      </c>
      <c r="S77" s="646">
        <f t="shared" si="37"/>
        <v>0</v>
      </c>
      <c r="T77" s="646">
        <f t="shared" si="37"/>
        <v>0</v>
      </c>
      <c r="U77" s="646">
        <f t="shared" si="37"/>
        <v>0</v>
      </c>
      <c r="V77" s="646">
        <f t="shared" si="37"/>
        <v>0</v>
      </c>
      <c r="W77" s="646">
        <f t="shared" si="37"/>
        <v>0</v>
      </c>
      <c r="X77" s="646">
        <f t="shared" si="37"/>
        <v>0</v>
      </c>
      <c r="Y77" s="646">
        <f t="shared" si="37"/>
        <v>2600000000</v>
      </c>
      <c r="Z77" s="646">
        <f t="shared" si="37"/>
        <v>2591775980</v>
      </c>
      <c r="AA77" s="646">
        <f t="shared" si="37"/>
        <v>1840500137</v>
      </c>
      <c r="AB77" s="646">
        <f t="shared" si="37"/>
        <v>1528547284</v>
      </c>
      <c r="AC77" s="36"/>
    </row>
    <row r="78" spans="1:29" ht="16.5" thickTop="1" thickBot="1">
      <c r="A78" s="42">
        <v>2</v>
      </c>
      <c r="B78" s="42" t="s">
        <v>139</v>
      </c>
      <c r="C78" s="42" t="s">
        <v>182</v>
      </c>
      <c r="D78" s="42" t="s">
        <v>129</v>
      </c>
      <c r="E78" s="43" t="s">
        <v>129</v>
      </c>
      <c r="F78" s="43" t="s">
        <v>129</v>
      </c>
      <c r="G78" s="43" t="s">
        <v>129</v>
      </c>
      <c r="H78" s="70" t="s">
        <v>321</v>
      </c>
      <c r="I78" s="646">
        <v>2600000000</v>
      </c>
      <c r="J78" s="646">
        <v>2591775980</v>
      </c>
      <c r="K78" s="646">
        <v>1840500137</v>
      </c>
      <c r="L78" s="646">
        <v>1528547284</v>
      </c>
      <c r="M78" s="646"/>
      <c r="N78" s="646"/>
      <c r="O78" s="646"/>
      <c r="P78" s="646"/>
      <c r="Q78" s="646"/>
      <c r="R78" s="646"/>
      <c r="S78" s="646"/>
      <c r="T78" s="646"/>
      <c r="U78" s="646"/>
      <c r="V78" s="646"/>
      <c r="W78" s="646"/>
      <c r="X78" s="646"/>
      <c r="Y78" s="646">
        <f t="shared" ref="Y78:AB78" si="38">+I78+M78+Q78+U78</f>
        <v>2600000000</v>
      </c>
      <c r="Z78" s="646">
        <f t="shared" si="38"/>
        <v>2591775980</v>
      </c>
      <c r="AA78" s="646">
        <f t="shared" si="38"/>
        <v>1840500137</v>
      </c>
      <c r="AB78" s="646">
        <f t="shared" si="38"/>
        <v>1528547284</v>
      </c>
      <c r="AC78" s="36"/>
    </row>
    <row r="79" spans="1:29" ht="16.5" thickTop="1" thickBot="1">
      <c r="A79" s="57">
        <v>2</v>
      </c>
      <c r="B79" s="57" t="s">
        <v>139</v>
      </c>
      <c r="C79" s="57" t="s">
        <v>182</v>
      </c>
      <c r="D79" s="57" t="s">
        <v>134</v>
      </c>
      <c r="E79" s="57"/>
      <c r="F79" s="57"/>
      <c r="G79" s="57"/>
      <c r="H79" s="69" t="s">
        <v>1313</v>
      </c>
      <c r="I79" s="652">
        <f t="shared" ref="I79:AB81" si="39">+I80</f>
        <v>1690000000</v>
      </c>
      <c r="J79" s="652">
        <f t="shared" si="39"/>
        <v>1672302090.1600001</v>
      </c>
      <c r="K79" s="652">
        <f t="shared" si="39"/>
        <v>1112650927</v>
      </c>
      <c r="L79" s="652">
        <f t="shared" si="39"/>
        <v>982862798</v>
      </c>
      <c r="M79" s="652">
        <f t="shared" si="39"/>
        <v>0</v>
      </c>
      <c r="N79" s="652">
        <f t="shared" si="39"/>
        <v>0</v>
      </c>
      <c r="O79" s="652">
        <f t="shared" si="39"/>
        <v>0</v>
      </c>
      <c r="P79" s="652">
        <f t="shared" si="39"/>
        <v>0</v>
      </c>
      <c r="Q79" s="652">
        <f t="shared" si="39"/>
        <v>0</v>
      </c>
      <c r="R79" s="652">
        <f t="shared" si="39"/>
        <v>0</v>
      </c>
      <c r="S79" s="652">
        <f t="shared" si="39"/>
        <v>0</v>
      </c>
      <c r="T79" s="652">
        <f t="shared" si="39"/>
        <v>0</v>
      </c>
      <c r="U79" s="652">
        <f t="shared" si="39"/>
        <v>0</v>
      </c>
      <c r="V79" s="652">
        <f t="shared" si="39"/>
        <v>0</v>
      </c>
      <c r="W79" s="652">
        <f t="shared" si="39"/>
        <v>0</v>
      </c>
      <c r="X79" s="652">
        <f t="shared" si="39"/>
        <v>0</v>
      </c>
      <c r="Y79" s="652">
        <f t="shared" si="39"/>
        <v>1690000000</v>
      </c>
      <c r="Z79" s="652">
        <f t="shared" si="39"/>
        <v>1672302090.1600001</v>
      </c>
      <c r="AA79" s="652">
        <f t="shared" si="39"/>
        <v>1112650927</v>
      </c>
      <c r="AB79" s="652">
        <f t="shared" si="39"/>
        <v>982862798</v>
      </c>
      <c r="AC79" s="36"/>
    </row>
    <row r="80" spans="1:29" ht="16.5" thickTop="1" thickBot="1">
      <c r="A80" s="57">
        <v>3</v>
      </c>
      <c r="B80" s="57" t="s">
        <v>139</v>
      </c>
      <c r="C80" s="57" t="s">
        <v>182</v>
      </c>
      <c r="D80" s="57" t="s">
        <v>134</v>
      </c>
      <c r="E80" s="57" t="s">
        <v>129</v>
      </c>
      <c r="F80" s="57"/>
      <c r="G80" s="57"/>
      <c r="H80" s="69" t="s">
        <v>319</v>
      </c>
      <c r="I80" s="652">
        <f>+I81</f>
        <v>1690000000</v>
      </c>
      <c r="J80" s="652">
        <f t="shared" si="39"/>
        <v>1672302090.1600001</v>
      </c>
      <c r="K80" s="652">
        <f t="shared" si="39"/>
        <v>1112650927</v>
      </c>
      <c r="L80" s="652">
        <f t="shared" si="39"/>
        <v>982862798</v>
      </c>
      <c r="M80" s="652">
        <f t="shared" si="39"/>
        <v>0</v>
      </c>
      <c r="N80" s="652">
        <f t="shared" si="39"/>
        <v>0</v>
      </c>
      <c r="O80" s="652">
        <f t="shared" si="39"/>
        <v>0</v>
      </c>
      <c r="P80" s="652">
        <f t="shared" si="39"/>
        <v>0</v>
      </c>
      <c r="Q80" s="652">
        <f t="shared" si="39"/>
        <v>0</v>
      </c>
      <c r="R80" s="652">
        <f t="shared" si="39"/>
        <v>0</v>
      </c>
      <c r="S80" s="652">
        <f t="shared" si="39"/>
        <v>0</v>
      </c>
      <c r="T80" s="652">
        <f t="shared" si="39"/>
        <v>0</v>
      </c>
      <c r="U80" s="652">
        <f t="shared" si="39"/>
        <v>0</v>
      </c>
      <c r="V80" s="652">
        <f t="shared" si="39"/>
        <v>0</v>
      </c>
      <c r="W80" s="652">
        <f t="shared" si="39"/>
        <v>0</v>
      </c>
      <c r="X80" s="652">
        <f t="shared" si="39"/>
        <v>0</v>
      </c>
      <c r="Y80" s="652">
        <f t="shared" si="39"/>
        <v>1690000000</v>
      </c>
      <c r="Z80" s="652">
        <f t="shared" si="39"/>
        <v>1672302090.1600001</v>
      </c>
      <c r="AA80" s="652">
        <f t="shared" si="39"/>
        <v>1112650927</v>
      </c>
      <c r="AB80" s="652">
        <f t="shared" si="39"/>
        <v>982862798</v>
      </c>
      <c r="AC80" s="36"/>
    </row>
    <row r="81" spans="1:29" ht="16.5" thickTop="1" thickBot="1">
      <c r="A81" s="42">
        <v>2</v>
      </c>
      <c r="B81" s="42" t="s">
        <v>139</v>
      </c>
      <c r="C81" s="43" t="s">
        <v>182</v>
      </c>
      <c r="D81" s="43" t="s">
        <v>134</v>
      </c>
      <c r="E81" s="43" t="s">
        <v>129</v>
      </c>
      <c r="F81" s="43" t="s">
        <v>129</v>
      </c>
      <c r="G81" s="42"/>
      <c r="H81" s="70" t="s">
        <v>320</v>
      </c>
      <c r="I81" s="646">
        <f>+I82</f>
        <v>1690000000</v>
      </c>
      <c r="J81" s="646">
        <f t="shared" si="39"/>
        <v>1672302090.1600001</v>
      </c>
      <c r="K81" s="646">
        <f t="shared" si="39"/>
        <v>1112650927</v>
      </c>
      <c r="L81" s="646">
        <f t="shared" si="39"/>
        <v>982862798</v>
      </c>
      <c r="M81" s="646">
        <f t="shared" si="39"/>
        <v>0</v>
      </c>
      <c r="N81" s="646">
        <f t="shared" si="39"/>
        <v>0</v>
      </c>
      <c r="O81" s="646">
        <f t="shared" si="39"/>
        <v>0</v>
      </c>
      <c r="P81" s="646">
        <f t="shared" si="39"/>
        <v>0</v>
      </c>
      <c r="Q81" s="646">
        <f t="shared" si="39"/>
        <v>0</v>
      </c>
      <c r="R81" s="646">
        <f t="shared" si="39"/>
        <v>0</v>
      </c>
      <c r="S81" s="646">
        <f t="shared" si="39"/>
        <v>0</v>
      </c>
      <c r="T81" s="646">
        <f t="shared" si="39"/>
        <v>0</v>
      </c>
      <c r="U81" s="646">
        <f t="shared" si="39"/>
        <v>0</v>
      </c>
      <c r="V81" s="646">
        <f t="shared" si="39"/>
        <v>0</v>
      </c>
      <c r="W81" s="646">
        <f t="shared" si="39"/>
        <v>0</v>
      </c>
      <c r="X81" s="646">
        <f t="shared" si="39"/>
        <v>0</v>
      </c>
      <c r="Y81" s="646">
        <f t="shared" si="39"/>
        <v>1690000000</v>
      </c>
      <c r="Z81" s="646">
        <f t="shared" si="39"/>
        <v>1672302090.1600001</v>
      </c>
      <c r="AA81" s="646">
        <f t="shared" si="39"/>
        <v>1112650927</v>
      </c>
      <c r="AB81" s="646">
        <f t="shared" si="39"/>
        <v>982862798</v>
      </c>
      <c r="AC81" s="36"/>
    </row>
    <row r="82" spans="1:29" ht="16.5" thickTop="1" thickBot="1">
      <c r="A82" s="42">
        <v>2</v>
      </c>
      <c r="B82" s="42" t="s">
        <v>139</v>
      </c>
      <c r="C82" s="43" t="s">
        <v>182</v>
      </c>
      <c r="D82" s="43" t="s">
        <v>134</v>
      </c>
      <c r="E82" s="43" t="s">
        <v>129</v>
      </c>
      <c r="F82" s="43" t="s">
        <v>129</v>
      </c>
      <c r="G82" s="43" t="s">
        <v>129</v>
      </c>
      <c r="H82" s="70" t="s">
        <v>321</v>
      </c>
      <c r="I82" s="646">
        <v>1690000000</v>
      </c>
      <c r="J82" s="646">
        <v>1672302090.1600001</v>
      </c>
      <c r="K82" s="646">
        <v>1112650927</v>
      </c>
      <c r="L82" s="646">
        <v>982862798</v>
      </c>
      <c r="M82" s="646"/>
      <c r="N82" s="646"/>
      <c r="O82" s="646"/>
      <c r="P82" s="646"/>
      <c r="Q82" s="646"/>
      <c r="R82" s="646"/>
      <c r="S82" s="646"/>
      <c r="T82" s="646"/>
      <c r="U82" s="646"/>
      <c r="V82" s="646"/>
      <c r="W82" s="646"/>
      <c r="X82" s="646"/>
      <c r="Y82" s="646">
        <f t="shared" ref="Y82:AB82" si="40">+I82+M82+Q82+U82</f>
        <v>1690000000</v>
      </c>
      <c r="Z82" s="646">
        <f t="shared" si="40"/>
        <v>1672302090.1600001</v>
      </c>
      <c r="AA82" s="646">
        <f t="shared" si="40"/>
        <v>1112650927</v>
      </c>
      <c r="AB82" s="646">
        <f t="shared" si="40"/>
        <v>982862798</v>
      </c>
      <c r="AC82" s="36"/>
    </row>
    <row r="83" spans="1:29" ht="16.5" thickTop="1" thickBot="1">
      <c r="A83" s="57">
        <v>2</v>
      </c>
      <c r="B83" s="57" t="s">
        <v>139</v>
      </c>
      <c r="C83" s="57" t="s">
        <v>182</v>
      </c>
      <c r="D83" s="57" t="s">
        <v>139</v>
      </c>
      <c r="E83" s="57"/>
      <c r="F83" s="57"/>
      <c r="G83" s="57"/>
      <c r="H83" s="69" t="s">
        <v>1314</v>
      </c>
      <c r="I83" s="652">
        <f>+I84</f>
        <v>600000000</v>
      </c>
      <c r="J83" s="652">
        <f t="shared" ref="J83:AB85" si="41">+J84</f>
        <v>599332244</v>
      </c>
      <c r="K83" s="652">
        <f t="shared" si="41"/>
        <v>363796006</v>
      </c>
      <c r="L83" s="652">
        <f t="shared" si="41"/>
        <v>343542915</v>
      </c>
      <c r="M83" s="652">
        <f t="shared" si="41"/>
        <v>0</v>
      </c>
      <c r="N83" s="652">
        <f t="shared" si="41"/>
        <v>0</v>
      </c>
      <c r="O83" s="652">
        <f t="shared" si="41"/>
        <v>0</v>
      </c>
      <c r="P83" s="652">
        <f t="shared" si="41"/>
        <v>0</v>
      </c>
      <c r="Q83" s="652">
        <f t="shared" si="41"/>
        <v>0</v>
      </c>
      <c r="R83" s="652">
        <f t="shared" si="41"/>
        <v>0</v>
      </c>
      <c r="S83" s="652">
        <f t="shared" si="41"/>
        <v>0</v>
      </c>
      <c r="T83" s="652">
        <f t="shared" si="41"/>
        <v>0</v>
      </c>
      <c r="U83" s="652">
        <f t="shared" si="41"/>
        <v>0</v>
      </c>
      <c r="V83" s="652">
        <f t="shared" si="41"/>
        <v>0</v>
      </c>
      <c r="W83" s="652">
        <f t="shared" si="41"/>
        <v>0</v>
      </c>
      <c r="X83" s="652">
        <f t="shared" si="41"/>
        <v>0</v>
      </c>
      <c r="Y83" s="652">
        <f t="shared" si="41"/>
        <v>600000000</v>
      </c>
      <c r="Z83" s="652">
        <f t="shared" si="41"/>
        <v>599332244</v>
      </c>
      <c r="AA83" s="652">
        <f t="shared" si="41"/>
        <v>363796006</v>
      </c>
      <c r="AB83" s="652">
        <f t="shared" si="41"/>
        <v>343542915</v>
      </c>
      <c r="AC83" s="36"/>
    </row>
    <row r="84" spans="1:29" ht="16.5" thickTop="1" thickBot="1">
      <c r="A84" s="57">
        <v>3</v>
      </c>
      <c r="B84" s="57" t="s">
        <v>139</v>
      </c>
      <c r="C84" s="57" t="s">
        <v>182</v>
      </c>
      <c r="D84" s="57" t="s">
        <v>139</v>
      </c>
      <c r="E84" s="57" t="s">
        <v>129</v>
      </c>
      <c r="F84" s="57"/>
      <c r="G84" s="57"/>
      <c r="H84" s="69" t="s">
        <v>319</v>
      </c>
      <c r="I84" s="652">
        <f>+I85</f>
        <v>600000000</v>
      </c>
      <c r="J84" s="652">
        <f t="shared" si="41"/>
        <v>599332244</v>
      </c>
      <c r="K84" s="652">
        <f t="shared" si="41"/>
        <v>363796006</v>
      </c>
      <c r="L84" s="652">
        <f t="shared" si="41"/>
        <v>343542915</v>
      </c>
      <c r="M84" s="652">
        <f t="shared" si="41"/>
        <v>0</v>
      </c>
      <c r="N84" s="652">
        <f t="shared" si="41"/>
        <v>0</v>
      </c>
      <c r="O84" s="652">
        <f t="shared" si="41"/>
        <v>0</v>
      </c>
      <c r="P84" s="652">
        <f t="shared" si="41"/>
        <v>0</v>
      </c>
      <c r="Q84" s="652">
        <f t="shared" si="41"/>
        <v>0</v>
      </c>
      <c r="R84" s="652">
        <f t="shared" si="41"/>
        <v>0</v>
      </c>
      <c r="S84" s="652">
        <f t="shared" si="41"/>
        <v>0</v>
      </c>
      <c r="T84" s="652">
        <f t="shared" si="41"/>
        <v>0</v>
      </c>
      <c r="U84" s="652">
        <f t="shared" si="41"/>
        <v>0</v>
      </c>
      <c r="V84" s="652">
        <f t="shared" si="41"/>
        <v>0</v>
      </c>
      <c r="W84" s="652">
        <f t="shared" si="41"/>
        <v>0</v>
      </c>
      <c r="X84" s="652">
        <f t="shared" si="41"/>
        <v>0</v>
      </c>
      <c r="Y84" s="652">
        <f t="shared" si="41"/>
        <v>600000000</v>
      </c>
      <c r="Z84" s="652">
        <f t="shared" si="41"/>
        <v>599332244</v>
      </c>
      <c r="AA84" s="652">
        <f t="shared" si="41"/>
        <v>363796006</v>
      </c>
      <c r="AB84" s="652">
        <f t="shared" si="41"/>
        <v>343542915</v>
      </c>
      <c r="AC84" s="36"/>
    </row>
    <row r="85" spans="1:29" ht="16.5" thickTop="1" thickBot="1">
      <c r="A85" s="42">
        <v>2</v>
      </c>
      <c r="B85" s="42" t="s">
        <v>139</v>
      </c>
      <c r="C85" s="43" t="s">
        <v>182</v>
      </c>
      <c r="D85" s="43" t="s">
        <v>139</v>
      </c>
      <c r="E85" s="43" t="s">
        <v>129</v>
      </c>
      <c r="F85" s="43" t="s">
        <v>129</v>
      </c>
      <c r="G85" s="42"/>
      <c r="H85" s="70" t="s">
        <v>320</v>
      </c>
      <c r="I85" s="646">
        <f>+I86</f>
        <v>600000000</v>
      </c>
      <c r="J85" s="646">
        <f t="shared" si="41"/>
        <v>599332244</v>
      </c>
      <c r="K85" s="646">
        <f t="shared" si="41"/>
        <v>363796006</v>
      </c>
      <c r="L85" s="646">
        <f t="shared" si="41"/>
        <v>343542915</v>
      </c>
      <c r="M85" s="646">
        <f t="shared" si="41"/>
        <v>0</v>
      </c>
      <c r="N85" s="646">
        <f t="shared" si="41"/>
        <v>0</v>
      </c>
      <c r="O85" s="646">
        <f t="shared" si="41"/>
        <v>0</v>
      </c>
      <c r="P85" s="646">
        <f t="shared" si="41"/>
        <v>0</v>
      </c>
      <c r="Q85" s="646">
        <f t="shared" si="41"/>
        <v>0</v>
      </c>
      <c r="R85" s="646">
        <f t="shared" si="41"/>
        <v>0</v>
      </c>
      <c r="S85" s="646">
        <f t="shared" si="41"/>
        <v>0</v>
      </c>
      <c r="T85" s="646">
        <f t="shared" si="41"/>
        <v>0</v>
      </c>
      <c r="U85" s="646">
        <f t="shared" si="41"/>
        <v>0</v>
      </c>
      <c r="V85" s="646">
        <f t="shared" si="41"/>
        <v>0</v>
      </c>
      <c r="W85" s="646">
        <f t="shared" si="41"/>
        <v>0</v>
      </c>
      <c r="X85" s="646">
        <f t="shared" si="41"/>
        <v>0</v>
      </c>
      <c r="Y85" s="646">
        <f t="shared" si="41"/>
        <v>600000000</v>
      </c>
      <c r="Z85" s="646">
        <f t="shared" si="41"/>
        <v>599332244</v>
      </c>
      <c r="AA85" s="646">
        <f t="shared" si="41"/>
        <v>363796006</v>
      </c>
      <c r="AB85" s="646">
        <f t="shared" si="41"/>
        <v>343542915</v>
      </c>
      <c r="AC85" s="36"/>
    </row>
    <row r="86" spans="1:29" ht="16.5" thickTop="1" thickBot="1">
      <c r="A86" s="42">
        <v>2</v>
      </c>
      <c r="B86" s="42" t="s">
        <v>139</v>
      </c>
      <c r="C86" s="43" t="s">
        <v>182</v>
      </c>
      <c r="D86" s="43" t="s">
        <v>139</v>
      </c>
      <c r="E86" s="43" t="s">
        <v>129</v>
      </c>
      <c r="F86" s="43" t="s">
        <v>129</v>
      </c>
      <c r="G86" s="43" t="s">
        <v>129</v>
      </c>
      <c r="H86" s="70" t="s">
        <v>321</v>
      </c>
      <c r="I86" s="646">
        <v>600000000</v>
      </c>
      <c r="J86" s="646">
        <v>599332244</v>
      </c>
      <c r="K86" s="646">
        <v>363796006</v>
      </c>
      <c r="L86" s="646">
        <v>343542915</v>
      </c>
      <c r="M86" s="646"/>
      <c r="N86" s="646"/>
      <c r="O86" s="646"/>
      <c r="P86" s="646"/>
      <c r="Q86" s="646"/>
      <c r="R86" s="646"/>
      <c r="S86" s="646"/>
      <c r="T86" s="646"/>
      <c r="U86" s="646"/>
      <c r="V86" s="646"/>
      <c r="W86" s="646"/>
      <c r="X86" s="646"/>
      <c r="Y86" s="646">
        <f t="shared" ref="Y86:AB87" si="42">+I86+M86+Q86+U86</f>
        <v>600000000</v>
      </c>
      <c r="Z86" s="646">
        <f t="shared" si="42"/>
        <v>599332244</v>
      </c>
      <c r="AA86" s="646">
        <f t="shared" si="42"/>
        <v>363796006</v>
      </c>
      <c r="AB86" s="646">
        <f t="shared" si="42"/>
        <v>343542915</v>
      </c>
      <c r="AC86" s="36"/>
    </row>
    <row r="87" spans="1:29" ht="16.5" thickTop="1" thickBot="1">
      <c r="A87" s="57">
        <v>2</v>
      </c>
      <c r="B87" s="57" t="s">
        <v>139</v>
      </c>
      <c r="C87" s="57" t="s">
        <v>182</v>
      </c>
      <c r="D87" s="57" t="s">
        <v>140</v>
      </c>
      <c r="E87" s="57"/>
      <c r="F87" s="57"/>
      <c r="G87" s="57"/>
      <c r="H87" s="69" t="s">
        <v>1315</v>
      </c>
      <c r="I87" s="652">
        <f>+I88</f>
        <v>1135000000</v>
      </c>
      <c r="J87" s="652">
        <f t="shared" ref="J87:Z89" si="43">+J88</f>
        <v>1133876494</v>
      </c>
      <c r="K87" s="652">
        <f t="shared" si="43"/>
        <v>663781540</v>
      </c>
      <c r="L87" s="652">
        <f t="shared" si="43"/>
        <v>636469750</v>
      </c>
      <c r="M87" s="652">
        <f t="shared" si="43"/>
        <v>0</v>
      </c>
      <c r="N87" s="652">
        <f t="shared" si="43"/>
        <v>0</v>
      </c>
      <c r="O87" s="652">
        <f t="shared" si="43"/>
        <v>0</v>
      </c>
      <c r="P87" s="652">
        <f t="shared" si="43"/>
        <v>0</v>
      </c>
      <c r="Q87" s="652">
        <f t="shared" si="43"/>
        <v>0</v>
      </c>
      <c r="R87" s="652">
        <f t="shared" si="43"/>
        <v>0</v>
      </c>
      <c r="S87" s="652">
        <f t="shared" si="43"/>
        <v>0</v>
      </c>
      <c r="T87" s="652">
        <f t="shared" si="43"/>
        <v>0</v>
      </c>
      <c r="U87" s="652">
        <f t="shared" si="43"/>
        <v>0</v>
      </c>
      <c r="V87" s="652">
        <f t="shared" si="43"/>
        <v>0</v>
      </c>
      <c r="W87" s="652">
        <f t="shared" si="43"/>
        <v>0</v>
      </c>
      <c r="X87" s="652">
        <f t="shared" si="43"/>
        <v>0</v>
      </c>
      <c r="Y87" s="652">
        <f t="shared" si="43"/>
        <v>1135000000</v>
      </c>
      <c r="Z87" s="652">
        <f t="shared" si="43"/>
        <v>1133876494</v>
      </c>
      <c r="AA87" s="652">
        <f t="shared" si="42"/>
        <v>663781540</v>
      </c>
      <c r="AB87" s="652">
        <f t="shared" si="42"/>
        <v>636469750</v>
      </c>
      <c r="AC87" s="36"/>
    </row>
    <row r="88" spans="1:29" ht="16.5" thickTop="1" thickBot="1">
      <c r="A88" s="57">
        <v>3</v>
      </c>
      <c r="B88" s="57" t="s">
        <v>139</v>
      </c>
      <c r="C88" s="57" t="s">
        <v>182</v>
      </c>
      <c r="D88" s="57" t="s">
        <v>140</v>
      </c>
      <c r="E88" s="57" t="s">
        <v>129</v>
      </c>
      <c r="F88" s="57"/>
      <c r="G88" s="57"/>
      <c r="H88" s="69" t="s">
        <v>319</v>
      </c>
      <c r="I88" s="652">
        <f>+I89</f>
        <v>1135000000</v>
      </c>
      <c r="J88" s="652">
        <f t="shared" si="43"/>
        <v>1133876494</v>
      </c>
      <c r="K88" s="652">
        <f t="shared" si="43"/>
        <v>663781540</v>
      </c>
      <c r="L88" s="652">
        <f t="shared" si="43"/>
        <v>636469750</v>
      </c>
      <c r="M88" s="652">
        <f t="shared" si="43"/>
        <v>0</v>
      </c>
      <c r="N88" s="652">
        <f t="shared" si="43"/>
        <v>0</v>
      </c>
      <c r="O88" s="652">
        <f t="shared" si="43"/>
        <v>0</v>
      </c>
      <c r="P88" s="652">
        <f t="shared" si="43"/>
        <v>0</v>
      </c>
      <c r="Q88" s="652">
        <f t="shared" si="43"/>
        <v>0</v>
      </c>
      <c r="R88" s="652">
        <f t="shared" si="43"/>
        <v>0</v>
      </c>
      <c r="S88" s="652">
        <f t="shared" si="43"/>
        <v>0</v>
      </c>
      <c r="T88" s="652">
        <f t="shared" si="43"/>
        <v>0</v>
      </c>
      <c r="U88" s="652">
        <f t="shared" si="43"/>
        <v>0</v>
      </c>
      <c r="V88" s="652">
        <f t="shared" si="43"/>
        <v>0</v>
      </c>
      <c r="W88" s="652">
        <f t="shared" si="43"/>
        <v>0</v>
      </c>
      <c r="X88" s="652">
        <f t="shared" si="43"/>
        <v>0</v>
      </c>
      <c r="Y88" s="652">
        <f t="shared" si="43"/>
        <v>1135000000</v>
      </c>
      <c r="Z88" s="652">
        <f t="shared" si="43"/>
        <v>1133876494</v>
      </c>
      <c r="AA88" s="652"/>
      <c r="AB88" s="652"/>
      <c r="AC88" s="36"/>
    </row>
    <row r="89" spans="1:29" ht="16.5" thickTop="1" thickBot="1">
      <c r="A89" s="42">
        <v>2</v>
      </c>
      <c r="B89" s="42" t="s">
        <v>139</v>
      </c>
      <c r="C89" s="43" t="s">
        <v>182</v>
      </c>
      <c r="D89" s="43" t="s">
        <v>140</v>
      </c>
      <c r="E89" s="43" t="s">
        <v>129</v>
      </c>
      <c r="F89" s="43" t="s">
        <v>129</v>
      </c>
      <c r="G89" s="42"/>
      <c r="H89" s="70" t="s">
        <v>320</v>
      </c>
      <c r="I89" s="646">
        <f>+I90</f>
        <v>1135000000</v>
      </c>
      <c r="J89" s="646">
        <f t="shared" si="43"/>
        <v>1133876494</v>
      </c>
      <c r="K89" s="646">
        <f t="shared" si="43"/>
        <v>663781540</v>
      </c>
      <c r="L89" s="646">
        <f t="shared" si="43"/>
        <v>636469750</v>
      </c>
      <c r="M89" s="646">
        <f t="shared" si="43"/>
        <v>0</v>
      </c>
      <c r="N89" s="646">
        <f t="shared" si="43"/>
        <v>0</v>
      </c>
      <c r="O89" s="646">
        <f t="shared" si="43"/>
        <v>0</v>
      </c>
      <c r="P89" s="646">
        <f t="shared" si="43"/>
        <v>0</v>
      </c>
      <c r="Q89" s="646">
        <f t="shared" si="43"/>
        <v>0</v>
      </c>
      <c r="R89" s="646">
        <f t="shared" si="43"/>
        <v>0</v>
      </c>
      <c r="S89" s="646">
        <f t="shared" si="43"/>
        <v>0</v>
      </c>
      <c r="T89" s="646">
        <f t="shared" si="43"/>
        <v>0</v>
      </c>
      <c r="U89" s="646">
        <f t="shared" si="43"/>
        <v>0</v>
      </c>
      <c r="V89" s="646">
        <f t="shared" si="43"/>
        <v>0</v>
      </c>
      <c r="W89" s="646">
        <f t="shared" si="43"/>
        <v>0</v>
      </c>
      <c r="X89" s="646">
        <f t="shared" si="43"/>
        <v>0</v>
      </c>
      <c r="Y89" s="646">
        <f t="shared" si="43"/>
        <v>1135000000</v>
      </c>
      <c r="Z89" s="646">
        <f t="shared" si="43"/>
        <v>1133876494</v>
      </c>
      <c r="AA89" s="646">
        <f t="shared" ref="AA89:AB90" si="44">+K89+O89+S89+W89</f>
        <v>663781540</v>
      </c>
      <c r="AB89" s="646">
        <f t="shared" si="44"/>
        <v>636469750</v>
      </c>
      <c r="AC89" s="36"/>
    </row>
    <row r="90" spans="1:29" ht="16.5" thickTop="1" thickBot="1">
      <c r="A90" s="42">
        <v>2</v>
      </c>
      <c r="B90" s="42" t="s">
        <v>139</v>
      </c>
      <c r="C90" s="43" t="s">
        <v>182</v>
      </c>
      <c r="D90" s="43" t="s">
        <v>140</v>
      </c>
      <c r="E90" s="43" t="s">
        <v>129</v>
      </c>
      <c r="F90" s="43" t="s">
        <v>129</v>
      </c>
      <c r="G90" s="43" t="s">
        <v>129</v>
      </c>
      <c r="H90" s="70" t="s">
        <v>321</v>
      </c>
      <c r="I90" s="646">
        <v>1135000000</v>
      </c>
      <c r="J90" s="646">
        <v>1133876494</v>
      </c>
      <c r="K90" s="646">
        <v>663781540</v>
      </c>
      <c r="L90" s="646">
        <v>636469750</v>
      </c>
      <c r="M90" s="646"/>
      <c r="N90" s="646"/>
      <c r="O90" s="646"/>
      <c r="P90" s="646"/>
      <c r="Q90" s="646"/>
      <c r="R90" s="646"/>
      <c r="S90" s="646"/>
      <c r="T90" s="646"/>
      <c r="U90" s="646"/>
      <c r="V90" s="646"/>
      <c r="W90" s="646"/>
      <c r="X90" s="646"/>
      <c r="Y90" s="646">
        <f t="shared" ref="Y90:Z90" si="45">+I90+M90+Q90+U90</f>
        <v>1135000000</v>
      </c>
      <c r="Z90" s="646">
        <f t="shared" si="45"/>
        <v>1133876494</v>
      </c>
      <c r="AA90" s="646">
        <f t="shared" si="44"/>
        <v>663781540</v>
      </c>
      <c r="AB90" s="646">
        <f t="shared" si="44"/>
        <v>636469750</v>
      </c>
      <c r="AC90" s="36"/>
    </row>
    <row r="91" spans="1:29" ht="16.5" thickTop="1" thickBot="1">
      <c r="A91" s="67">
        <v>2</v>
      </c>
      <c r="B91" s="37" t="s">
        <v>139</v>
      </c>
      <c r="C91" s="37" t="s">
        <v>183</v>
      </c>
      <c r="D91" s="37"/>
      <c r="E91" s="67"/>
      <c r="F91" s="67"/>
      <c r="G91" s="67"/>
      <c r="H91" s="68" t="s">
        <v>938</v>
      </c>
      <c r="I91" s="651">
        <f>+I92+I96+I100+I104+I108+I112+I116</f>
        <v>11090821444</v>
      </c>
      <c r="J91" s="651">
        <f t="shared" ref="J91:AB91" si="46">+J92+J96+J100+J104+J108+J112+J116</f>
        <v>10746837803</v>
      </c>
      <c r="K91" s="651">
        <f t="shared" si="46"/>
        <v>6159301541</v>
      </c>
      <c r="L91" s="651">
        <f t="shared" si="46"/>
        <v>5231449758</v>
      </c>
      <c r="M91" s="651">
        <f t="shared" si="46"/>
        <v>0</v>
      </c>
      <c r="N91" s="651">
        <f t="shared" si="46"/>
        <v>0</v>
      </c>
      <c r="O91" s="651">
        <f t="shared" si="46"/>
        <v>0</v>
      </c>
      <c r="P91" s="651">
        <f t="shared" si="46"/>
        <v>0</v>
      </c>
      <c r="Q91" s="651">
        <f t="shared" si="46"/>
        <v>0</v>
      </c>
      <c r="R91" s="651">
        <f t="shared" si="46"/>
        <v>0</v>
      </c>
      <c r="S91" s="651">
        <f t="shared" si="46"/>
        <v>0</v>
      </c>
      <c r="T91" s="651">
        <f t="shared" si="46"/>
        <v>0</v>
      </c>
      <c r="U91" s="651">
        <f t="shared" si="46"/>
        <v>0</v>
      </c>
      <c r="V91" s="651">
        <f t="shared" si="46"/>
        <v>0</v>
      </c>
      <c r="W91" s="651">
        <f t="shared" si="46"/>
        <v>0</v>
      </c>
      <c r="X91" s="651">
        <f t="shared" si="46"/>
        <v>0</v>
      </c>
      <c r="Y91" s="651">
        <f t="shared" si="46"/>
        <v>11090821444</v>
      </c>
      <c r="Z91" s="651">
        <f t="shared" si="46"/>
        <v>10746837803</v>
      </c>
      <c r="AA91" s="651">
        <f t="shared" si="46"/>
        <v>6159301541</v>
      </c>
      <c r="AB91" s="651">
        <f t="shared" si="46"/>
        <v>5231449758</v>
      </c>
      <c r="AC91" s="36"/>
    </row>
    <row r="92" spans="1:29" ht="16.5" thickTop="1" thickBot="1">
      <c r="A92" s="57">
        <v>2</v>
      </c>
      <c r="B92" s="57" t="s">
        <v>139</v>
      </c>
      <c r="C92" s="57" t="s">
        <v>183</v>
      </c>
      <c r="D92" s="57" t="s">
        <v>129</v>
      </c>
      <c r="E92" s="57"/>
      <c r="F92" s="57"/>
      <c r="G92" s="57"/>
      <c r="H92" s="69" t="s">
        <v>1316</v>
      </c>
      <c r="I92" s="652">
        <f>+I93</f>
        <v>175000000</v>
      </c>
      <c r="J92" s="652">
        <f t="shared" ref="J92:Z94" si="47">+J93</f>
        <v>174909553</v>
      </c>
      <c r="K92" s="652">
        <f t="shared" si="47"/>
        <v>162374348</v>
      </c>
      <c r="L92" s="652">
        <f t="shared" si="47"/>
        <v>22906145</v>
      </c>
      <c r="M92" s="652">
        <f t="shared" si="47"/>
        <v>0</v>
      </c>
      <c r="N92" s="652">
        <f t="shared" si="47"/>
        <v>0</v>
      </c>
      <c r="O92" s="652">
        <f t="shared" si="47"/>
        <v>0</v>
      </c>
      <c r="P92" s="652">
        <f t="shared" si="47"/>
        <v>0</v>
      </c>
      <c r="Q92" s="652">
        <f t="shared" si="47"/>
        <v>0</v>
      </c>
      <c r="R92" s="652">
        <f t="shared" si="47"/>
        <v>0</v>
      </c>
      <c r="S92" s="652">
        <f t="shared" si="47"/>
        <v>0</v>
      </c>
      <c r="T92" s="652">
        <f t="shared" si="47"/>
        <v>0</v>
      </c>
      <c r="U92" s="652">
        <f t="shared" si="47"/>
        <v>0</v>
      </c>
      <c r="V92" s="652">
        <f t="shared" si="47"/>
        <v>0</v>
      </c>
      <c r="W92" s="652">
        <f t="shared" si="47"/>
        <v>0</v>
      </c>
      <c r="X92" s="652">
        <f t="shared" si="47"/>
        <v>0</v>
      </c>
      <c r="Y92" s="652">
        <f t="shared" si="47"/>
        <v>175000000</v>
      </c>
      <c r="Z92" s="652">
        <f t="shared" si="47"/>
        <v>174909553</v>
      </c>
      <c r="AA92" s="652">
        <f t="shared" ref="AA92:AB92" si="48">+K92+O92+S92+W92</f>
        <v>162374348</v>
      </c>
      <c r="AB92" s="652">
        <f t="shared" si="48"/>
        <v>22906145</v>
      </c>
      <c r="AC92" s="36"/>
    </row>
    <row r="93" spans="1:29" ht="16.5" thickTop="1" thickBot="1">
      <c r="A93" s="57">
        <v>3</v>
      </c>
      <c r="B93" s="57" t="s">
        <v>139</v>
      </c>
      <c r="C93" s="57" t="s">
        <v>183</v>
      </c>
      <c r="D93" s="57" t="s">
        <v>129</v>
      </c>
      <c r="E93" s="57" t="s">
        <v>129</v>
      </c>
      <c r="F93" s="57"/>
      <c r="G93" s="57"/>
      <c r="H93" s="69" t="s">
        <v>319</v>
      </c>
      <c r="I93" s="652">
        <f>+I94</f>
        <v>175000000</v>
      </c>
      <c r="J93" s="652">
        <f t="shared" si="47"/>
        <v>174909553</v>
      </c>
      <c r="K93" s="652">
        <f t="shared" si="47"/>
        <v>162374348</v>
      </c>
      <c r="L93" s="652">
        <f t="shared" si="47"/>
        <v>22906145</v>
      </c>
      <c r="M93" s="652">
        <f t="shared" si="47"/>
        <v>0</v>
      </c>
      <c r="N93" s="652">
        <f t="shared" si="47"/>
        <v>0</v>
      </c>
      <c r="O93" s="652">
        <f t="shared" si="47"/>
        <v>0</v>
      </c>
      <c r="P93" s="652">
        <f t="shared" si="47"/>
        <v>0</v>
      </c>
      <c r="Q93" s="652">
        <f t="shared" si="47"/>
        <v>0</v>
      </c>
      <c r="R93" s="652">
        <f t="shared" si="47"/>
        <v>0</v>
      </c>
      <c r="S93" s="652">
        <f t="shared" si="47"/>
        <v>0</v>
      </c>
      <c r="T93" s="652">
        <f t="shared" si="47"/>
        <v>0</v>
      </c>
      <c r="U93" s="652">
        <f t="shared" si="47"/>
        <v>0</v>
      </c>
      <c r="V93" s="652">
        <f t="shared" si="47"/>
        <v>0</v>
      </c>
      <c r="W93" s="652">
        <f t="shared" si="47"/>
        <v>0</v>
      </c>
      <c r="X93" s="652">
        <f t="shared" si="47"/>
        <v>0</v>
      </c>
      <c r="Y93" s="652">
        <f t="shared" si="47"/>
        <v>175000000</v>
      </c>
      <c r="Z93" s="652">
        <f t="shared" si="47"/>
        <v>174909553</v>
      </c>
      <c r="AA93" s="652"/>
      <c r="AB93" s="652"/>
      <c r="AC93" s="36"/>
    </row>
    <row r="94" spans="1:29" ht="16.5" thickTop="1" thickBot="1">
      <c r="A94" s="42">
        <v>2</v>
      </c>
      <c r="B94" s="42" t="s">
        <v>139</v>
      </c>
      <c r="C94" s="43" t="s">
        <v>183</v>
      </c>
      <c r="D94" s="43" t="s">
        <v>129</v>
      </c>
      <c r="E94" s="43" t="s">
        <v>129</v>
      </c>
      <c r="F94" s="43" t="s">
        <v>129</v>
      </c>
      <c r="G94" s="42"/>
      <c r="H94" s="70" t="s">
        <v>320</v>
      </c>
      <c r="I94" s="646">
        <f>+I95</f>
        <v>175000000</v>
      </c>
      <c r="J94" s="646">
        <f t="shared" si="47"/>
        <v>174909553</v>
      </c>
      <c r="K94" s="646">
        <f t="shared" si="47"/>
        <v>162374348</v>
      </c>
      <c r="L94" s="646">
        <f t="shared" si="47"/>
        <v>22906145</v>
      </c>
      <c r="M94" s="646">
        <f t="shared" si="47"/>
        <v>0</v>
      </c>
      <c r="N94" s="646">
        <f t="shared" si="47"/>
        <v>0</v>
      </c>
      <c r="O94" s="646">
        <f t="shared" si="47"/>
        <v>0</v>
      </c>
      <c r="P94" s="646">
        <f t="shared" si="47"/>
        <v>0</v>
      </c>
      <c r="Q94" s="646">
        <f t="shared" si="47"/>
        <v>0</v>
      </c>
      <c r="R94" s="646">
        <f t="shared" si="47"/>
        <v>0</v>
      </c>
      <c r="S94" s="646">
        <f t="shared" si="47"/>
        <v>0</v>
      </c>
      <c r="T94" s="646">
        <f t="shared" si="47"/>
        <v>0</v>
      </c>
      <c r="U94" s="646">
        <f t="shared" si="47"/>
        <v>0</v>
      </c>
      <c r="V94" s="646">
        <f t="shared" si="47"/>
        <v>0</v>
      </c>
      <c r="W94" s="646">
        <f t="shared" si="47"/>
        <v>0</v>
      </c>
      <c r="X94" s="646">
        <f t="shared" si="47"/>
        <v>0</v>
      </c>
      <c r="Y94" s="646">
        <f t="shared" si="47"/>
        <v>175000000</v>
      </c>
      <c r="Z94" s="646">
        <f t="shared" si="47"/>
        <v>174909553</v>
      </c>
      <c r="AA94" s="646">
        <f t="shared" ref="AA94:AB95" si="49">+K94+O94+S94+W94</f>
        <v>162374348</v>
      </c>
      <c r="AB94" s="646">
        <f t="shared" si="49"/>
        <v>22906145</v>
      </c>
      <c r="AC94" s="36"/>
    </row>
    <row r="95" spans="1:29" ht="16.5" thickTop="1" thickBot="1">
      <c r="A95" s="42">
        <v>2</v>
      </c>
      <c r="B95" s="42" t="s">
        <v>139</v>
      </c>
      <c r="C95" s="42" t="s">
        <v>183</v>
      </c>
      <c r="D95" s="42" t="s">
        <v>129</v>
      </c>
      <c r="E95" s="43" t="s">
        <v>129</v>
      </c>
      <c r="F95" s="43" t="s">
        <v>129</v>
      </c>
      <c r="G95" s="43" t="s">
        <v>129</v>
      </c>
      <c r="H95" s="70" t="s">
        <v>321</v>
      </c>
      <c r="I95" s="646">
        <v>175000000</v>
      </c>
      <c r="J95" s="646">
        <v>174909553</v>
      </c>
      <c r="K95" s="646">
        <v>162374348</v>
      </c>
      <c r="L95" s="646">
        <v>22906145</v>
      </c>
      <c r="M95" s="646"/>
      <c r="N95" s="646"/>
      <c r="O95" s="646"/>
      <c r="P95" s="646"/>
      <c r="Q95" s="646"/>
      <c r="R95" s="646"/>
      <c r="S95" s="646"/>
      <c r="T95" s="646"/>
      <c r="U95" s="646"/>
      <c r="V95" s="646"/>
      <c r="W95" s="646"/>
      <c r="X95" s="646"/>
      <c r="Y95" s="646">
        <f t="shared" ref="Y95:Z95" si="50">+I95+M95+Q95+U95</f>
        <v>175000000</v>
      </c>
      <c r="Z95" s="646">
        <f t="shared" si="50"/>
        <v>174909553</v>
      </c>
      <c r="AA95" s="646">
        <f t="shared" si="49"/>
        <v>162374348</v>
      </c>
      <c r="AB95" s="646">
        <f t="shared" si="49"/>
        <v>22906145</v>
      </c>
      <c r="AC95" s="36"/>
    </row>
    <row r="96" spans="1:29" ht="16.5" thickTop="1" thickBot="1">
      <c r="A96" s="57">
        <v>2</v>
      </c>
      <c r="B96" s="57" t="s">
        <v>139</v>
      </c>
      <c r="C96" s="57" t="s">
        <v>183</v>
      </c>
      <c r="D96" s="57" t="s">
        <v>134</v>
      </c>
      <c r="E96" s="57"/>
      <c r="F96" s="57"/>
      <c r="G96" s="57"/>
      <c r="H96" s="69" t="s">
        <v>1317</v>
      </c>
      <c r="I96" s="652">
        <f>+I97</f>
        <v>430000000</v>
      </c>
      <c r="J96" s="652">
        <f t="shared" ref="J96:AB98" si="51">+J97</f>
        <v>429686303</v>
      </c>
      <c r="K96" s="652">
        <f t="shared" si="51"/>
        <v>320743627</v>
      </c>
      <c r="L96" s="652">
        <f t="shared" si="51"/>
        <v>196406566</v>
      </c>
      <c r="M96" s="652">
        <f t="shared" si="51"/>
        <v>0</v>
      </c>
      <c r="N96" s="652">
        <f t="shared" si="51"/>
        <v>0</v>
      </c>
      <c r="O96" s="652">
        <f t="shared" si="51"/>
        <v>0</v>
      </c>
      <c r="P96" s="652">
        <f t="shared" si="51"/>
        <v>0</v>
      </c>
      <c r="Q96" s="652">
        <f t="shared" si="51"/>
        <v>0</v>
      </c>
      <c r="R96" s="652">
        <f t="shared" si="51"/>
        <v>0</v>
      </c>
      <c r="S96" s="652">
        <f t="shared" si="51"/>
        <v>0</v>
      </c>
      <c r="T96" s="652">
        <f t="shared" si="51"/>
        <v>0</v>
      </c>
      <c r="U96" s="652">
        <f t="shared" si="51"/>
        <v>0</v>
      </c>
      <c r="V96" s="652">
        <f t="shared" si="51"/>
        <v>0</v>
      </c>
      <c r="W96" s="652">
        <f t="shared" si="51"/>
        <v>0</v>
      </c>
      <c r="X96" s="652">
        <f t="shared" si="51"/>
        <v>0</v>
      </c>
      <c r="Y96" s="652">
        <f t="shared" si="51"/>
        <v>430000000</v>
      </c>
      <c r="Z96" s="652">
        <f t="shared" si="51"/>
        <v>429686303</v>
      </c>
      <c r="AA96" s="652">
        <f t="shared" si="51"/>
        <v>320743627</v>
      </c>
      <c r="AB96" s="652">
        <f t="shared" si="51"/>
        <v>196406566</v>
      </c>
      <c r="AC96" s="36"/>
    </row>
    <row r="97" spans="1:29" ht="16.5" thickTop="1" thickBot="1">
      <c r="A97" s="57">
        <v>3</v>
      </c>
      <c r="B97" s="57" t="s">
        <v>139</v>
      </c>
      <c r="C97" s="57" t="s">
        <v>183</v>
      </c>
      <c r="D97" s="57" t="s">
        <v>134</v>
      </c>
      <c r="E97" s="57" t="s">
        <v>129</v>
      </c>
      <c r="F97" s="57"/>
      <c r="G97" s="57"/>
      <c r="H97" s="69" t="s">
        <v>319</v>
      </c>
      <c r="I97" s="652">
        <f>+I98</f>
        <v>430000000</v>
      </c>
      <c r="J97" s="652">
        <f t="shared" si="51"/>
        <v>429686303</v>
      </c>
      <c r="K97" s="652">
        <f t="shared" si="51"/>
        <v>320743627</v>
      </c>
      <c r="L97" s="652">
        <f t="shared" si="51"/>
        <v>196406566</v>
      </c>
      <c r="M97" s="652">
        <f t="shared" si="51"/>
        <v>0</v>
      </c>
      <c r="N97" s="652">
        <f t="shared" si="51"/>
        <v>0</v>
      </c>
      <c r="O97" s="652">
        <f t="shared" si="51"/>
        <v>0</v>
      </c>
      <c r="P97" s="652">
        <f t="shared" si="51"/>
        <v>0</v>
      </c>
      <c r="Q97" s="652">
        <f t="shared" si="51"/>
        <v>0</v>
      </c>
      <c r="R97" s="652">
        <f t="shared" si="51"/>
        <v>0</v>
      </c>
      <c r="S97" s="652">
        <f t="shared" si="51"/>
        <v>0</v>
      </c>
      <c r="T97" s="652">
        <f t="shared" si="51"/>
        <v>0</v>
      </c>
      <c r="U97" s="652">
        <f t="shared" si="51"/>
        <v>0</v>
      </c>
      <c r="V97" s="652">
        <f t="shared" si="51"/>
        <v>0</v>
      </c>
      <c r="W97" s="652">
        <f t="shared" si="51"/>
        <v>0</v>
      </c>
      <c r="X97" s="652">
        <f t="shared" si="51"/>
        <v>0</v>
      </c>
      <c r="Y97" s="652">
        <f t="shared" si="51"/>
        <v>430000000</v>
      </c>
      <c r="Z97" s="652">
        <f t="shared" si="51"/>
        <v>429686303</v>
      </c>
      <c r="AA97" s="652">
        <f t="shared" si="51"/>
        <v>320743627</v>
      </c>
      <c r="AB97" s="652">
        <f t="shared" si="51"/>
        <v>196406566</v>
      </c>
      <c r="AC97" s="36"/>
    </row>
    <row r="98" spans="1:29" ht="16.5" thickTop="1" thickBot="1">
      <c r="A98" s="42">
        <v>2</v>
      </c>
      <c r="B98" s="42" t="s">
        <v>139</v>
      </c>
      <c r="C98" s="43" t="s">
        <v>183</v>
      </c>
      <c r="D98" s="43" t="s">
        <v>134</v>
      </c>
      <c r="E98" s="43" t="s">
        <v>129</v>
      </c>
      <c r="F98" s="43" t="s">
        <v>129</v>
      </c>
      <c r="G98" s="42"/>
      <c r="H98" s="70" t="s">
        <v>320</v>
      </c>
      <c r="I98" s="646">
        <f>+I99</f>
        <v>430000000</v>
      </c>
      <c r="J98" s="646">
        <f t="shared" si="51"/>
        <v>429686303</v>
      </c>
      <c r="K98" s="646">
        <f t="shared" si="51"/>
        <v>320743627</v>
      </c>
      <c r="L98" s="646">
        <f t="shared" si="51"/>
        <v>196406566</v>
      </c>
      <c r="M98" s="646">
        <f t="shared" si="51"/>
        <v>0</v>
      </c>
      <c r="N98" s="646">
        <f t="shared" si="51"/>
        <v>0</v>
      </c>
      <c r="O98" s="646">
        <f t="shared" si="51"/>
        <v>0</v>
      </c>
      <c r="P98" s="646">
        <f t="shared" si="51"/>
        <v>0</v>
      </c>
      <c r="Q98" s="646">
        <f t="shared" si="51"/>
        <v>0</v>
      </c>
      <c r="R98" s="646">
        <f t="shared" si="51"/>
        <v>0</v>
      </c>
      <c r="S98" s="646">
        <f t="shared" si="51"/>
        <v>0</v>
      </c>
      <c r="T98" s="646">
        <f t="shared" si="51"/>
        <v>0</v>
      </c>
      <c r="U98" s="646">
        <f t="shared" si="51"/>
        <v>0</v>
      </c>
      <c r="V98" s="646">
        <f t="shared" si="51"/>
        <v>0</v>
      </c>
      <c r="W98" s="646">
        <f t="shared" si="51"/>
        <v>0</v>
      </c>
      <c r="X98" s="646">
        <f t="shared" si="51"/>
        <v>0</v>
      </c>
      <c r="Y98" s="646">
        <f t="shared" si="51"/>
        <v>430000000</v>
      </c>
      <c r="Z98" s="646">
        <f t="shared" si="51"/>
        <v>429686303</v>
      </c>
      <c r="AA98" s="646">
        <f t="shared" si="51"/>
        <v>320743627</v>
      </c>
      <c r="AB98" s="646">
        <f t="shared" si="51"/>
        <v>196406566</v>
      </c>
      <c r="AC98" s="36"/>
    </row>
    <row r="99" spans="1:29" ht="16.5" thickTop="1" thickBot="1">
      <c r="A99" s="42">
        <v>2</v>
      </c>
      <c r="B99" s="42" t="s">
        <v>139</v>
      </c>
      <c r="C99" s="43" t="s">
        <v>183</v>
      </c>
      <c r="D99" s="43" t="s">
        <v>134</v>
      </c>
      <c r="E99" s="43" t="s">
        <v>129</v>
      </c>
      <c r="F99" s="43" t="s">
        <v>129</v>
      </c>
      <c r="G99" s="43" t="s">
        <v>129</v>
      </c>
      <c r="H99" s="70" t="s">
        <v>321</v>
      </c>
      <c r="I99" s="646">
        <v>430000000</v>
      </c>
      <c r="J99" s="646">
        <v>429686303</v>
      </c>
      <c r="K99" s="646">
        <v>320743627</v>
      </c>
      <c r="L99" s="646">
        <v>196406566</v>
      </c>
      <c r="M99" s="646"/>
      <c r="N99" s="646"/>
      <c r="O99" s="646"/>
      <c r="P99" s="646"/>
      <c r="Q99" s="646"/>
      <c r="R99" s="646"/>
      <c r="S99" s="646"/>
      <c r="T99" s="646"/>
      <c r="U99" s="646"/>
      <c r="V99" s="646"/>
      <c r="W99" s="646"/>
      <c r="X99" s="646"/>
      <c r="Y99" s="646">
        <f t="shared" ref="Y99:AB99" si="52">+I99+M99+Q99+U99</f>
        <v>430000000</v>
      </c>
      <c r="Z99" s="646">
        <f t="shared" si="52"/>
        <v>429686303</v>
      </c>
      <c r="AA99" s="646">
        <f t="shared" si="52"/>
        <v>320743627</v>
      </c>
      <c r="AB99" s="646">
        <f t="shared" si="52"/>
        <v>196406566</v>
      </c>
      <c r="AC99" s="36"/>
    </row>
    <row r="100" spans="1:29" ht="16.5" thickTop="1" thickBot="1">
      <c r="A100" s="57">
        <v>2</v>
      </c>
      <c r="B100" s="57" t="s">
        <v>139</v>
      </c>
      <c r="C100" s="57" t="s">
        <v>183</v>
      </c>
      <c r="D100" s="57" t="s">
        <v>139</v>
      </c>
      <c r="E100" s="57"/>
      <c r="F100" s="57"/>
      <c r="G100" s="57"/>
      <c r="H100" s="69" t="s">
        <v>1318</v>
      </c>
      <c r="I100" s="652">
        <f>+I101</f>
        <v>1750000000</v>
      </c>
      <c r="J100" s="652">
        <f t="shared" ref="J100:AB102" si="53">+J101</f>
        <v>1729588519</v>
      </c>
      <c r="K100" s="652">
        <f t="shared" si="53"/>
        <v>1346126997</v>
      </c>
      <c r="L100" s="652">
        <f t="shared" si="53"/>
        <v>1290521344</v>
      </c>
      <c r="M100" s="652">
        <f t="shared" si="53"/>
        <v>0</v>
      </c>
      <c r="N100" s="652">
        <f t="shared" si="53"/>
        <v>0</v>
      </c>
      <c r="O100" s="652">
        <f t="shared" si="53"/>
        <v>0</v>
      </c>
      <c r="P100" s="652">
        <f t="shared" si="53"/>
        <v>0</v>
      </c>
      <c r="Q100" s="652">
        <f t="shared" si="53"/>
        <v>0</v>
      </c>
      <c r="R100" s="652">
        <f t="shared" si="53"/>
        <v>0</v>
      </c>
      <c r="S100" s="652">
        <f t="shared" si="53"/>
        <v>0</v>
      </c>
      <c r="T100" s="652">
        <f t="shared" si="53"/>
        <v>0</v>
      </c>
      <c r="U100" s="652">
        <f t="shared" si="53"/>
        <v>0</v>
      </c>
      <c r="V100" s="652">
        <f t="shared" si="53"/>
        <v>0</v>
      </c>
      <c r="W100" s="652">
        <f t="shared" si="53"/>
        <v>0</v>
      </c>
      <c r="X100" s="652">
        <f t="shared" si="53"/>
        <v>0</v>
      </c>
      <c r="Y100" s="652">
        <f t="shared" si="53"/>
        <v>1750000000</v>
      </c>
      <c r="Z100" s="652">
        <f t="shared" si="53"/>
        <v>1729588519</v>
      </c>
      <c r="AA100" s="652">
        <f t="shared" si="53"/>
        <v>1346126997</v>
      </c>
      <c r="AB100" s="652">
        <f t="shared" si="53"/>
        <v>1290521344</v>
      </c>
      <c r="AC100" s="36"/>
    </row>
    <row r="101" spans="1:29" ht="16.5" thickTop="1" thickBot="1">
      <c r="A101" s="57">
        <v>3</v>
      </c>
      <c r="B101" s="57" t="s">
        <v>139</v>
      </c>
      <c r="C101" s="57" t="s">
        <v>183</v>
      </c>
      <c r="D101" s="57" t="s">
        <v>139</v>
      </c>
      <c r="E101" s="57" t="s">
        <v>129</v>
      </c>
      <c r="F101" s="57"/>
      <c r="G101" s="57"/>
      <c r="H101" s="69" t="s">
        <v>319</v>
      </c>
      <c r="I101" s="652">
        <f>+I102</f>
        <v>1750000000</v>
      </c>
      <c r="J101" s="652">
        <f t="shared" si="53"/>
        <v>1729588519</v>
      </c>
      <c r="K101" s="652">
        <f t="shared" si="53"/>
        <v>1346126997</v>
      </c>
      <c r="L101" s="652">
        <f t="shared" si="53"/>
        <v>1290521344</v>
      </c>
      <c r="M101" s="652">
        <f t="shared" si="53"/>
        <v>0</v>
      </c>
      <c r="N101" s="652">
        <f t="shared" si="53"/>
        <v>0</v>
      </c>
      <c r="O101" s="652">
        <f t="shared" si="53"/>
        <v>0</v>
      </c>
      <c r="P101" s="652">
        <f t="shared" si="53"/>
        <v>0</v>
      </c>
      <c r="Q101" s="652">
        <f t="shared" si="53"/>
        <v>0</v>
      </c>
      <c r="R101" s="652">
        <f t="shared" si="53"/>
        <v>0</v>
      </c>
      <c r="S101" s="652">
        <f t="shared" si="53"/>
        <v>0</v>
      </c>
      <c r="T101" s="652">
        <f t="shared" si="53"/>
        <v>0</v>
      </c>
      <c r="U101" s="652">
        <f t="shared" si="53"/>
        <v>0</v>
      </c>
      <c r="V101" s="652">
        <f t="shared" si="53"/>
        <v>0</v>
      </c>
      <c r="W101" s="652">
        <f t="shared" si="53"/>
        <v>0</v>
      </c>
      <c r="X101" s="652">
        <f t="shared" si="53"/>
        <v>0</v>
      </c>
      <c r="Y101" s="652">
        <f t="shared" si="53"/>
        <v>1750000000</v>
      </c>
      <c r="Z101" s="652">
        <f t="shared" si="53"/>
        <v>1729588519</v>
      </c>
      <c r="AA101" s="652">
        <f t="shared" si="53"/>
        <v>1346126997</v>
      </c>
      <c r="AB101" s="652">
        <f t="shared" si="53"/>
        <v>1290521344</v>
      </c>
      <c r="AC101" s="36"/>
    </row>
    <row r="102" spans="1:29" ht="16.5" thickTop="1" thickBot="1">
      <c r="A102" s="42">
        <v>2</v>
      </c>
      <c r="B102" s="42" t="s">
        <v>139</v>
      </c>
      <c r="C102" s="43" t="s">
        <v>183</v>
      </c>
      <c r="D102" s="43" t="s">
        <v>139</v>
      </c>
      <c r="E102" s="43" t="s">
        <v>129</v>
      </c>
      <c r="F102" s="43" t="s">
        <v>129</v>
      </c>
      <c r="G102" s="42"/>
      <c r="H102" s="70" t="s">
        <v>320</v>
      </c>
      <c r="I102" s="646">
        <f>+I103</f>
        <v>1750000000</v>
      </c>
      <c r="J102" s="646">
        <f t="shared" si="53"/>
        <v>1729588519</v>
      </c>
      <c r="K102" s="646">
        <f t="shared" si="53"/>
        <v>1346126997</v>
      </c>
      <c r="L102" s="646">
        <f t="shared" si="53"/>
        <v>1290521344</v>
      </c>
      <c r="M102" s="646">
        <f t="shared" si="53"/>
        <v>0</v>
      </c>
      <c r="N102" s="646">
        <f t="shared" si="53"/>
        <v>0</v>
      </c>
      <c r="O102" s="646">
        <f t="shared" si="53"/>
        <v>0</v>
      </c>
      <c r="P102" s="646">
        <f t="shared" si="53"/>
        <v>0</v>
      </c>
      <c r="Q102" s="646">
        <f t="shared" si="53"/>
        <v>0</v>
      </c>
      <c r="R102" s="646">
        <f t="shared" si="53"/>
        <v>0</v>
      </c>
      <c r="S102" s="646">
        <f t="shared" si="53"/>
        <v>0</v>
      </c>
      <c r="T102" s="646">
        <f t="shared" si="53"/>
        <v>0</v>
      </c>
      <c r="U102" s="646">
        <f t="shared" si="53"/>
        <v>0</v>
      </c>
      <c r="V102" s="646">
        <f t="shared" si="53"/>
        <v>0</v>
      </c>
      <c r="W102" s="646">
        <f t="shared" si="53"/>
        <v>0</v>
      </c>
      <c r="X102" s="646">
        <f t="shared" si="53"/>
        <v>0</v>
      </c>
      <c r="Y102" s="646">
        <f t="shared" si="53"/>
        <v>1750000000</v>
      </c>
      <c r="Z102" s="646">
        <f t="shared" si="53"/>
        <v>1729588519</v>
      </c>
      <c r="AA102" s="646">
        <f t="shared" si="53"/>
        <v>1346126997</v>
      </c>
      <c r="AB102" s="646">
        <f t="shared" si="53"/>
        <v>1290521344</v>
      </c>
      <c r="AC102" s="36"/>
    </row>
    <row r="103" spans="1:29" ht="16.5" thickTop="1" thickBot="1">
      <c r="A103" s="42">
        <v>2</v>
      </c>
      <c r="B103" s="42" t="s">
        <v>139</v>
      </c>
      <c r="C103" s="43" t="s">
        <v>183</v>
      </c>
      <c r="D103" s="43" t="s">
        <v>139</v>
      </c>
      <c r="E103" s="43" t="s">
        <v>129</v>
      </c>
      <c r="F103" s="43" t="s">
        <v>129</v>
      </c>
      <c r="G103" s="43" t="s">
        <v>129</v>
      </c>
      <c r="H103" s="70" t="s">
        <v>321</v>
      </c>
      <c r="I103" s="646">
        <v>1750000000</v>
      </c>
      <c r="J103" s="646">
        <v>1729588519</v>
      </c>
      <c r="K103" s="646">
        <v>1346126997</v>
      </c>
      <c r="L103" s="646">
        <v>1290521344</v>
      </c>
      <c r="M103" s="646"/>
      <c r="N103" s="646"/>
      <c r="O103" s="646"/>
      <c r="P103" s="646"/>
      <c r="Q103" s="646"/>
      <c r="R103" s="646"/>
      <c r="S103" s="646"/>
      <c r="T103" s="646"/>
      <c r="U103" s="646"/>
      <c r="V103" s="646"/>
      <c r="W103" s="646"/>
      <c r="X103" s="646"/>
      <c r="Y103" s="646">
        <f t="shared" ref="Y103:AB103" si="54">+I103+M103+Q103+U103</f>
        <v>1750000000</v>
      </c>
      <c r="Z103" s="646">
        <f t="shared" si="54"/>
        <v>1729588519</v>
      </c>
      <c r="AA103" s="646">
        <f t="shared" si="54"/>
        <v>1346126997</v>
      </c>
      <c r="AB103" s="646">
        <f t="shared" si="54"/>
        <v>1290521344</v>
      </c>
      <c r="AC103" s="36"/>
    </row>
    <row r="104" spans="1:29" ht="16.5" thickTop="1" thickBot="1">
      <c r="A104" s="57">
        <v>2</v>
      </c>
      <c r="B104" s="57" t="s">
        <v>139</v>
      </c>
      <c r="C104" s="57" t="s">
        <v>183</v>
      </c>
      <c r="D104" s="57" t="s">
        <v>140</v>
      </c>
      <c r="E104" s="57"/>
      <c r="F104" s="57"/>
      <c r="G104" s="57"/>
      <c r="H104" s="69" t="s">
        <v>1319</v>
      </c>
      <c r="I104" s="652">
        <f>+I105</f>
        <v>1792247465</v>
      </c>
      <c r="J104" s="652">
        <f t="shared" ref="J104:AB106" si="55">+J105</f>
        <v>1504902493</v>
      </c>
      <c r="K104" s="652">
        <f t="shared" si="55"/>
        <v>1126432229</v>
      </c>
      <c r="L104" s="652">
        <f>+L105</f>
        <v>1015906883</v>
      </c>
      <c r="M104" s="652">
        <f t="shared" si="55"/>
        <v>0</v>
      </c>
      <c r="N104" s="652">
        <f t="shared" si="55"/>
        <v>0</v>
      </c>
      <c r="O104" s="652">
        <f t="shared" si="55"/>
        <v>0</v>
      </c>
      <c r="P104" s="652">
        <f t="shared" si="55"/>
        <v>0</v>
      </c>
      <c r="Q104" s="652">
        <f t="shared" si="55"/>
        <v>0</v>
      </c>
      <c r="R104" s="652">
        <f t="shared" si="55"/>
        <v>0</v>
      </c>
      <c r="S104" s="652">
        <f t="shared" si="55"/>
        <v>0</v>
      </c>
      <c r="T104" s="652">
        <f t="shared" si="55"/>
        <v>0</v>
      </c>
      <c r="U104" s="652">
        <f t="shared" si="55"/>
        <v>0</v>
      </c>
      <c r="V104" s="652">
        <f t="shared" si="55"/>
        <v>0</v>
      </c>
      <c r="W104" s="652">
        <f t="shared" si="55"/>
        <v>0</v>
      </c>
      <c r="X104" s="652">
        <f t="shared" si="55"/>
        <v>0</v>
      </c>
      <c r="Y104" s="652">
        <f t="shared" si="55"/>
        <v>1792247465</v>
      </c>
      <c r="Z104" s="652">
        <f t="shared" si="55"/>
        <v>1504902493</v>
      </c>
      <c r="AA104" s="652">
        <f t="shared" si="55"/>
        <v>1126432229</v>
      </c>
      <c r="AB104" s="652">
        <f t="shared" si="55"/>
        <v>1015906883</v>
      </c>
      <c r="AC104" s="36"/>
    </row>
    <row r="105" spans="1:29" ht="16.5" thickTop="1" thickBot="1">
      <c r="A105" s="57">
        <v>3</v>
      </c>
      <c r="B105" s="57" t="s">
        <v>139</v>
      </c>
      <c r="C105" s="57" t="s">
        <v>183</v>
      </c>
      <c r="D105" s="57" t="s">
        <v>140</v>
      </c>
      <c r="E105" s="57" t="s">
        <v>129</v>
      </c>
      <c r="F105" s="57"/>
      <c r="G105" s="57"/>
      <c r="H105" s="69" t="s">
        <v>319</v>
      </c>
      <c r="I105" s="652">
        <f>+I106</f>
        <v>1792247465</v>
      </c>
      <c r="J105" s="652">
        <f t="shared" si="55"/>
        <v>1504902493</v>
      </c>
      <c r="K105" s="652">
        <f t="shared" si="55"/>
        <v>1126432229</v>
      </c>
      <c r="L105" s="652">
        <f t="shared" si="55"/>
        <v>1015906883</v>
      </c>
      <c r="M105" s="652">
        <f t="shared" si="55"/>
        <v>0</v>
      </c>
      <c r="N105" s="652">
        <f t="shared" si="55"/>
        <v>0</v>
      </c>
      <c r="O105" s="652">
        <f t="shared" si="55"/>
        <v>0</v>
      </c>
      <c r="P105" s="652">
        <f t="shared" si="55"/>
        <v>0</v>
      </c>
      <c r="Q105" s="652">
        <f t="shared" si="55"/>
        <v>0</v>
      </c>
      <c r="R105" s="652">
        <f t="shared" si="55"/>
        <v>0</v>
      </c>
      <c r="S105" s="652">
        <f t="shared" si="55"/>
        <v>0</v>
      </c>
      <c r="T105" s="652">
        <f t="shared" si="55"/>
        <v>0</v>
      </c>
      <c r="U105" s="652">
        <f t="shared" si="55"/>
        <v>0</v>
      </c>
      <c r="V105" s="652">
        <f t="shared" si="55"/>
        <v>0</v>
      </c>
      <c r="W105" s="652">
        <f t="shared" si="55"/>
        <v>0</v>
      </c>
      <c r="X105" s="652">
        <f t="shared" si="55"/>
        <v>0</v>
      </c>
      <c r="Y105" s="652">
        <f t="shared" si="55"/>
        <v>1792247465</v>
      </c>
      <c r="Z105" s="652">
        <f t="shared" si="55"/>
        <v>1504902493</v>
      </c>
      <c r="AA105" s="652">
        <f t="shared" si="55"/>
        <v>1126432229</v>
      </c>
      <c r="AB105" s="652">
        <f t="shared" si="55"/>
        <v>1015906883</v>
      </c>
      <c r="AC105" s="36"/>
    </row>
    <row r="106" spans="1:29" ht="16.5" thickTop="1" thickBot="1">
      <c r="A106" s="42">
        <v>2</v>
      </c>
      <c r="B106" s="42" t="s">
        <v>139</v>
      </c>
      <c r="C106" s="43" t="s">
        <v>183</v>
      </c>
      <c r="D106" s="43" t="s">
        <v>140</v>
      </c>
      <c r="E106" s="43" t="s">
        <v>129</v>
      </c>
      <c r="F106" s="43" t="s">
        <v>129</v>
      </c>
      <c r="G106" s="42"/>
      <c r="H106" s="70" t="s">
        <v>320</v>
      </c>
      <c r="I106" s="646">
        <f>+I107</f>
        <v>1792247465</v>
      </c>
      <c r="J106" s="646">
        <f t="shared" si="55"/>
        <v>1504902493</v>
      </c>
      <c r="K106" s="646">
        <f t="shared" si="55"/>
        <v>1126432229</v>
      </c>
      <c r="L106" s="646">
        <f t="shared" si="55"/>
        <v>1015906883</v>
      </c>
      <c r="M106" s="646">
        <f t="shared" si="55"/>
        <v>0</v>
      </c>
      <c r="N106" s="646">
        <f t="shared" si="55"/>
        <v>0</v>
      </c>
      <c r="O106" s="646">
        <f t="shared" si="55"/>
        <v>0</v>
      </c>
      <c r="P106" s="646">
        <f t="shared" si="55"/>
        <v>0</v>
      </c>
      <c r="Q106" s="646">
        <f t="shared" si="55"/>
        <v>0</v>
      </c>
      <c r="R106" s="646">
        <f t="shared" si="55"/>
        <v>0</v>
      </c>
      <c r="S106" s="646">
        <f t="shared" si="55"/>
        <v>0</v>
      </c>
      <c r="T106" s="646">
        <f t="shared" si="55"/>
        <v>0</v>
      </c>
      <c r="U106" s="646">
        <f t="shared" si="55"/>
        <v>0</v>
      </c>
      <c r="V106" s="646">
        <f t="shared" si="55"/>
        <v>0</v>
      </c>
      <c r="W106" s="646">
        <f t="shared" si="55"/>
        <v>0</v>
      </c>
      <c r="X106" s="646">
        <f t="shared" si="55"/>
        <v>0</v>
      </c>
      <c r="Y106" s="646">
        <f t="shared" si="55"/>
        <v>1792247465</v>
      </c>
      <c r="Z106" s="646">
        <f t="shared" si="55"/>
        <v>1504902493</v>
      </c>
      <c r="AA106" s="646">
        <f t="shared" si="55"/>
        <v>1126432229</v>
      </c>
      <c r="AB106" s="646">
        <f t="shared" si="55"/>
        <v>1015906883</v>
      </c>
      <c r="AC106" s="36"/>
    </row>
    <row r="107" spans="1:29" ht="16.5" thickTop="1" thickBot="1">
      <c r="A107" s="42">
        <v>2</v>
      </c>
      <c r="B107" s="42" t="s">
        <v>139</v>
      </c>
      <c r="C107" s="43" t="s">
        <v>183</v>
      </c>
      <c r="D107" s="43" t="s">
        <v>140</v>
      </c>
      <c r="E107" s="43" t="s">
        <v>129</v>
      </c>
      <c r="F107" s="43" t="s">
        <v>129</v>
      </c>
      <c r="G107" s="43" t="s">
        <v>129</v>
      </c>
      <c r="H107" s="70" t="s">
        <v>321</v>
      </c>
      <c r="I107" s="646">
        <v>1792247465</v>
      </c>
      <c r="J107" s="646">
        <v>1504902493</v>
      </c>
      <c r="K107" s="646">
        <v>1126432229</v>
      </c>
      <c r="L107" s="646">
        <v>1015906883</v>
      </c>
      <c r="M107" s="646"/>
      <c r="N107" s="646"/>
      <c r="O107" s="646"/>
      <c r="P107" s="646"/>
      <c r="Q107" s="646"/>
      <c r="R107" s="646"/>
      <c r="S107" s="646"/>
      <c r="T107" s="646"/>
      <c r="U107" s="646"/>
      <c r="V107" s="646"/>
      <c r="W107" s="646"/>
      <c r="X107" s="646"/>
      <c r="Y107" s="646">
        <f t="shared" ref="Y107:AB107" si="56">+I107+M107+Q107+U107</f>
        <v>1792247465</v>
      </c>
      <c r="Z107" s="646">
        <f t="shared" si="56"/>
        <v>1504902493</v>
      </c>
      <c r="AA107" s="646">
        <f t="shared" si="56"/>
        <v>1126432229</v>
      </c>
      <c r="AB107" s="646">
        <f t="shared" si="56"/>
        <v>1015906883</v>
      </c>
      <c r="AC107" s="36"/>
    </row>
    <row r="108" spans="1:29" ht="16.5" thickTop="1" thickBot="1">
      <c r="A108" s="57">
        <v>2</v>
      </c>
      <c r="B108" s="57" t="s">
        <v>139</v>
      </c>
      <c r="C108" s="57" t="s">
        <v>183</v>
      </c>
      <c r="D108" s="57" t="s">
        <v>144</v>
      </c>
      <c r="E108" s="57"/>
      <c r="F108" s="57"/>
      <c r="G108" s="57"/>
      <c r="H108" s="69" t="s">
        <v>1320</v>
      </c>
      <c r="I108" s="652">
        <f>+I109</f>
        <v>1760000000</v>
      </c>
      <c r="J108" s="652">
        <f t="shared" ref="J108:AB110" si="57">+J109</f>
        <v>1754989156</v>
      </c>
      <c r="K108" s="652">
        <f t="shared" si="57"/>
        <v>1716641085</v>
      </c>
      <c r="L108" s="652">
        <f t="shared" si="57"/>
        <v>1696490811</v>
      </c>
      <c r="M108" s="652">
        <f t="shared" si="57"/>
        <v>0</v>
      </c>
      <c r="N108" s="652">
        <f t="shared" si="57"/>
        <v>0</v>
      </c>
      <c r="O108" s="652">
        <f t="shared" si="57"/>
        <v>0</v>
      </c>
      <c r="P108" s="652">
        <f t="shared" si="57"/>
        <v>0</v>
      </c>
      <c r="Q108" s="652">
        <f t="shared" si="57"/>
        <v>0</v>
      </c>
      <c r="R108" s="652">
        <f t="shared" si="57"/>
        <v>0</v>
      </c>
      <c r="S108" s="652">
        <f t="shared" si="57"/>
        <v>0</v>
      </c>
      <c r="T108" s="652">
        <f t="shared" si="57"/>
        <v>0</v>
      </c>
      <c r="U108" s="652">
        <f t="shared" si="57"/>
        <v>0</v>
      </c>
      <c r="V108" s="652">
        <f t="shared" si="57"/>
        <v>0</v>
      </c>
      <c r="W108" s="652">
        <f t="shared" si="57"/>
        <v>0</v>
      </c>
      <c r="X108" s="652">
        <f t="shared" si="57"/>
        <v>0</v>
      </c>
      <c r="Y108" s="652">
        <f t="shared" si="57"/>
        <v>1760000000</v>
      </c>
      <c r="Z108" s="652">
        <f t="shared" si="57"/>
        <v>1754989156</v>
      </c>
      <c r="AA108" s="652">
        <f t="shared" si="57"/>
        <v>1716641085</v>
      </c>
      <c r="AB108" s="652">
        <f t="shared" si="57"/>
        <v>1696490811</v>
      </c>
      <c r="AC108" s="36"/>
    </row>
    <row r="109" spans="1:29" ht="16.5" thickTop="1" thickBot="1">
      <c r="A109" s="57">
        <v>3</v>
      </c>
      <c r="B109" s="57" t="s">
        <v>139</v>
      </c>
      <c r="C109" s="57" t="s">
        <v>183</v>
      </c>
      <c r="D109" s="57" t="s">
        <v>144</v>
      </c>
      <c r="E109" s="57" t="s">
        <v>129</v>
      </c>
      <c r="F109" s="57"/>
      <c r="G109" s="57"/>
      <c r="H109" s="69" t="s">
        <v>319</v>
      </c>
      <c r="I109" s="652">
        <f>+I110</f>
        <v>1760000000</v>
      </c>
      <c r="J109" s="652">
        <f t="shared" si="57"/>
        <v>1754989156</v>
      </c>
      <c r="K109" s="652">
        <f t="shared" si="57"/>
        <v>1716641085</v>
      </c>
      <c r="L109" s="652">
        <f t="shared" si="57"/>
        <v>1696490811</v>
      </c>
      <c r="M109" s="652">
        <f t="shared" si="57"/>
        <v>0</v>
      </c>
      <c r="N109" s="652">
        <f t="shared" si="57"/>
        <v>0</v>
      </c>
      <c r="O109" s="652">
        <f t="shared" si="57"/>
        <v>0</v>
      </c>
      <c r="P109" s="652">
        <f t="shared" si="57"/>
        <v>0</v>
      </c>
      <c r="Q109" s="652">
        <f t="shared" si="57"/>
        <v>0</v>
      </c>
      <c r="R109" s="652">
        <f t="shared" si="57"/>
        <v>0</v>
      </c>
      <c r="S109" s="652">
        <f t="shared" si="57"/>
        <v>0</v>
      </c>
      <c r="T109" s="652">
        <f t="shared" si="57"/>
        <v>0</v>
      </c>
      <c r="U109" s="652">
        <f t="shared" si="57"/>
        <v>0</v>
      </c>
      <c r="V109" s="652">
        <f t="shared" si="57"/>
        <v>0</v>
      </c>
      <c r="W109" s="652">
        <f t="shared" si="57"/>
        <v>0</v>
      </c>
      <c r="X109" s="652">
        <f t="shared" si="57"/>
        <v>0</v>
      </c>
      <c r="Y109" s="652">
        <f t="shared" si="57"/>
        <v>1760000000</v>
      </c>
      <c r="Z109" s="652">
        <f t="shared" si="57"/>
        <v>1754989156</v>
      </c>
      <c r="AA109" s="652">
        <f t="shared" si="57"/>
        <v>1716641085</v>
      </c>
      <c r="AB109" s="652">
        <f t="shared" si="57"/>
        <v>1696490811</v>
      </c>
      <c r="AC109" s="36"/>
    </row>
    <row r="110" spans="1:29" ht="16.5" thickTop="1" thickBot="1">
      <c r="A110" s="42">
        <v>2</v>
      </c>
      <c r="B110" s="42" t="s">
        <v>139</v>
      </c>
      <c r="C110" s="43" t="s">
        <v>183</v>
      </c>
      <c r="D110" s="43" t="s">
        <v>144</v>
      </c>
      <c r="E110" s="43" t="s">
        <v>129</v>
      </c>
      <c r="F110" s="43" t="s">
        <v>129</v>
      </c>
      <c r="G110" s="42"/>
      <c r="H110" s="70" t="s">
        <v>320</v>
      </c>
      <c r="I110" s="646">
        <f>+I111</f>
        <v>1760000000</v>
      </c>
      <c r="J110" s="646">
        <f t="shared" si="57"/>
        <v>1754989156</v>
      </c>
      <c r="K110" s="646">
        <f t="shared" si="57"/>
        <v>1716641085</v>
      </c>
      <c r="L110" s="646">
        <f t="shared" si="57"/>
        <v>1696490811</v>
      </c>
      <c r="M110" s="646">
        <f t="shared" si="57"/>
        <v>0</v>
      </c>
      <c r="N110" s="646">
        <f t="shared" si="57"/>
        <v>0</v>
      </c>
      <c r="O110" s="646">
        <f t="shared" si="57"/>
        <v>0</v>
      </c>
      <c r="P110" s="646">
        <f t="shared" si="57"/>
        <v>0</v>
      </c>
      <c r="Q110" s="646">
        <f t="shared" si="57"/>
        <v>0</v>
      </c>
      <c r="R110" s="646">
        <f t="shared" si="57"/>
        <v>0</v>
      </c>
      <c r="S110" s="646">
        <f t="shared" si="57"/>
        <v>0</v>
      </c>
      <c r="T110" s="646">
        <f t="shared" si="57"/>
        <v>0</v>
      </c>
      <c r="U110" s="646">
        <f t="shared" si="57"/>
        <v>0</v>
      </c>
      <c r="V110" s="646">
        <f t="shared" si="57"/>
        <v>0</v>
      </c>
      <c r="W110" s="646">
        <f t="shared" si="57"/>
        <v>0</v>
      </c>
      <c r="X110" s="646">
        <f t="shared" si="57"/>
        <v>0</v>
      </c>
      <c r="Y110" s="646">
        <f t="shared" si="57"/>
        <v>1760000000</v>
      </c>
      <c r="Z110" s="646">
        <f t="shared" si="57"/>
        <v>1754989156</v>
      </c>
      <c r="AA110" s="646">
        <f t="shared" si="57"/>
        <v>1716641085</v>
      </c>
      <c r="AB110" s="646">
        <f t="shared" si="57"/>
        <v>1696490811</v>
      </c>
      <c r="AC110" s="36"/>
    </row>
    <row r="111" spans="1:29" ht="16.5" thickTop="1" thickBot="1">
      <c r="A111" s="42">
        <v>2</v>
      </c>
      <c r="B111" s="42" t="s">
        <v>139</v>
      </c>
      <c r="C111" s="43" t="s">
        <v>183</v>
      </c>
      <c r="D111" s="43" t="s">
        <v>144</v>
      </c>
      <c r="E111" s="43" t="s">
        <v>129</v>
      </c>
      <c r="F111" s="43" t="s">
        <v>129</v>
      </c>
      <c r="G111" s="43" t="s">
        <v>129</v>
      </c>
      <c r="H111" s="70" t="s">
        <v>321</v>
      </c>
      <c r="I111" s="646">
        <v>1760000000</v>
      </c>
      <c r="J111" s="646">
        <v>1754989156</v>
      </c>
      <c r="K111" s="646">
        <v>1716641085</v>
      </c>
      <c r="L111" s="646">
        <v>1696490811</v>
      </c>
      <c r="M111" s="646"/>
      <c r="N111" s="646"/>
      <c r="O111" s="646"/>
      <c r="P111" s="646"/>
      <c r="Q111" s="646"/>
      <c r="R111" s="646"/>
      <c r="S111" s="646"/>
      <c r="T111" s="646"/>
      <c r="U111" s="646"/>
      <c r="V111" s="646"/>
      <c r="W111" s="646"/>
      <c r="X111" s="646"/>
      <c r="Y111" s="646">
        <f t="shared" ref="Y111:AB111" si="58">+I111+M111+Q111+U111</f>
        <v>1760000000</v>
      </c>
      <c r="Z111" s="646">
        <f t="shared" si="58"/>
        <v>1754989156</v>
      </c>
      <c r="AA111" s="646">
        <f t="shared" si="58"/>
        <v>1716641085</v>
      </c>
      <c r="AB111" s="646">
        <f t="shared" si="58"/>
        <v>1696490811</v>
      </c>
      <c r="AC111" s="36"/>
    </row>
    <row r="112" spans="1:29" ht="16.5" thickTop="1" thickBot="1">
      <c r="A112" s="57">
        <v>2</v>
      </c>
      <c r="B112" s="57" t="s">
        <v>139</v>
      </c>
      <c r="C112" s="57" t="s">
        <v>183</v>
      </c>
      <c r="D112" s="57" t="s">
        <v>145</v>
      </c>
      <c r="E112" s="57"/>
      <c r="F112" s="57"/>
      <c r="G112" s="57"/>
      <c r="H112" s="69" t="s">
        <v>1321</v>
      </c>
      <c r="I112" s="652">
        <f>+I113</f>
        <v>500000000</v>
      </c>
      <c r="J112" s="652">
        <f t="shared" ref="J112:AB114" si="59">+J113</f>
        <v>488140412</v>
      </c>
      <c r="K112" s="652">
        <f t="shared" si="59"/>
        <v>248222958</v>
      </c>
      <c r="L112" s="652">
        <f t="shared" si="59"/>
        <v>226002431</v>
      </c>
      <c r="M112" s="652">
        <f t="shared" si="59"/>
        <v>0</v>
      </c>
      <c r="N112" s="652">
        <f t="shared" si="59"/>
        <v>0</v>
      </c>
      <c r="O112" s="652">
        <f t="shared" si="59"/>
        <v>0</v>
      </c>
      <c r="P112" s="652">
        <f t="shared" si="59"/>
        <v>0</v>
      </c>
      <c r="Q112" s="652">
        <f t="shared" si="59"/>
        <v>0</v>
      </c>
      <c r="R112" s="652">
        <f t="shared" si="59"/>
        <v>0</v>
      </c>
      <c r="S112" s="652">
        <f t="shared" si="59"/>
        <v>0</v>
      </c>
      <c r="T112" s="652">
        <f t="shared" si="59"/>
        <v>0</v>
      </c>
      <c r="U112" s="652">
        <f t="shared" si="59"/>
        <v>0</v>
      </c>
      <c r="V112" s="652">
        <f t="shared" si="59"/>
        <v>0</v>
      </c>
      <c r="W112" s="652">
        <f t="shared" si="59"/>
        <v>0</v>
      </c>
      <c r="X112" s="652">
        <f t="shared" si="59"/>
        <v>0</v>
      </c>
      <c r="Y112" s="652">
        <f t="shared" si="59"/>
        <v>500000000</v>
      </c>
      <c r="Z112" s="652">
        <f t="shared" si="59"/>
        <v>488140412</v>
      </c>
      <c r="AA112" s="652">
        <f t="shared" si="59"/>
        <v>248222958</v>
      </c>
      <c r="AB112" s="652">
        <f t="shared" si="59"/>
        <v>226002431</v>
      </c>
      <c r="AC112" s="36"/>
    </row>
    <row r="113" spans="1:29" ht="16.5" thickTop="1" thickBot="1">
      <c r="A113" s="57">
        <v>3</v>
      </c>
      <c r="B113" s="57" t="s">
        <v>139</v>
      </c>
      <c r="C113" s="57" t="s">
        <v>183</v>
      </c>
      <c r="D113" s="57" t="s">
        <v>145</v>
      </c>
      <c r="E113" s="57" t="s">
        <v>129</v>
      </c>
      <c r="F113" s="57"/>
      <c r="G113" s="57"/>
      <c r="H113" s="69" t="s">
        <v>319</v>
      </c>
      <c r="I113" s="652">
        <f>+I114</f>
        <v>500000000</v>
      </c>
      <c r="J113" s="652">
        <f t="shared" si="59"/>
        <v>488140412</v>
      </c>
      <c r="K113" s="652">
        <f t="shared" si="59"/>
        <v>248222958</v>
      </c>
      <c r="L113" s="652">
        <f t="shared" si="59"/>
        <v>226002431</v>
      </c>
      <c r="M113" s="652">
        <f t="shared" si="59"/>
        <v>0</v>
      </c>
      <c r="N113" s="652">
        <f t="shared" si="59"/>
        <v>0</v>
      </c>
      <c r="O113" s="652">
        <f t="shared" si="59"/>
        <v>0</v>
      </c>
      <c r="P113" s="652">
        <f t="shared" si="59"/>
        <v>0</v>
      </c>
      <c r="Q113" s="652">
        <f t="shared" si="59"/>
        <v>0</v>
      </c>
      <c r="R113" s="652">
        <f t="shared" si="59"/>
        <v>0</v>
      </c>
      <c r="S113" s="652">
        <f t="shared" si="59"/>
        <v>0</v>
      </c>
      <c r="T113" s="652">
        <f t="shared" si="59"/>
        <v>0</v>
      </c>
      <c r="U113" s="652">
        <f t="shared" si="59"/>
        <v>0</v>
      </c>
      <c r="V113" s="652">
        <f t="shared" si="59"/>
        <v>0</v>
      </c>
      <c r="W113" s="652">
        <f t="shared" si="59"/>
        <v>0</v>
      </c>
      <c r="X113" s="652">
        <f t="shared" si="59"/>
        <v>0</v>
      </c>
      <c r="Y113" s="652">
        <f t="shared" si="59"/>
        <v>500000000</v>
      </c>
      <c r="Z113" s="652">
        <f t="shared" si="59"/>
        <v>488140412</v>
      </c>
      <c r="AA113" s="652">
        <f t="shared" si="59"/>
        <v>248222958</v>
      </c>
      <c r="AB113" s="652">
        <f t="shared" si="59"/>
        <v>226002431</v>
      </c>
      <c r="AC113" s="36"/>
    </row>
    <row r="114" spans="1:29" ht="16.5" thickTop="1" thickBot="1">
      <c r="A114" s="42">
        <v>2</v>
      </c>
      <c r="B114" s="42" t="s">
        <v>139</v>
      </c>
      <c r="C114" s="43" t="s">
        <v>183</v>
      </c>
      <c r="D114" s="43" t="s">
        <v>145</v>
      </c>
      <c r="E114" s="43" t="s">
        <v>129</v>
      </c>
      <c r="F114" s="43" t="s">
        <v>129</v>
      </c>
      <c r="G114" s="42"/>
      <c r="H114" s="70" t="s">
        <v>320</v>
      </c>
      <c r="I114" s="646">
        <f>+I115</f>
        <v>500000000</v>
      </c>
      <c r="J114" s="646">
        <f t="shared" si="59"/>
        <v>488140412</v>
      </c>
      <c r="K114" s="646">
        <f t="shared" si="59"/>
        <v>248222958</v>
      </c>
      <c r="L114" s="646">
        <f t="shared" si="59"/>
        <v>226002431</v>
      </c>
      <c r="M114" s="646">
        <f t="shared" si="59"/>
        <v>0</v>
      </c>
      <c r="N114" s="646">
        <f t="shared" si="59"/>
        <v>0</v>
      </c>
      <c r="O114" s="646">
        <f t="shared" si="59"/>
        <v>0</v>
      </c>
      <c r="P114" s="646">
        <f t="shared" si="59"/>
        <v>0</v>
      </c>
      <c r="Q114" s="646">
        <f t="shared" si="59"/>
        <v>0</v>
      </c>
      <c r="R114" s="646">
        <f t="shared" si="59"/>
        <v>0</v>
      </c>
      <c r="S114" s="646">
        <f t="shared" si="59"/>
        <v>0</v>
      </c>
      <c r="T114" s="646">
        <f t="shared" si="59"/>
        <v>0</v>
      </c>
      <c r="U114" s="646">
        <f t="shared" si="59"/>
        <v>0</v>
      </c>
      <c r="V114" s="646">
        <f t="shared" si="59"/>
        <v>0</v>
      </c>
      <c r="W114" s="646">
        <f t="shared" si="59"/>
        <v>0</v>
      </c>
      <c r="X114" s="646">
        <f t="shared" si="59"/>
        <v>0</v>
      </c>
      <c r="Y114" s="646">
        <f t="shared" si="59"/>
        <v>500000000</v>
      </c>
      <c r="Z114" s="646">
        <f t="shared" si="59"/>
        <v>488140412</v>
      </c>
      <c r="AA114" s="646">
        <f t="shared" si="59"/>
        <v>248222958</v>
      </c>
      <c r="AB114" s="646">
        <f t="shared" si="59"/>
        <v>226002431</v>
      </c>
      <c r="AC114" s="36"/>
    </row>
    <row r="115" spans="1:29" ht="16.5" thickTop="1" thickBot="1">
      <c r="A115" s="42">
        <v>2</v>
      </c>
      <c r="B115" s="42" t="s">
        <v>139</v>
      </c>
      <c r="C115" s="43" t="s">
        <v>183</v>
      </c>
      <c r="D115" s="43" t="s">
        <v>145</v>
      </c>
      <c r="E115" s="43" t="s">
        <v>129</v>
      </c>
      <c r="F115" s="43" t="s">
        <v>129</v>
      </c>
      <c r="G115" s="43" t="s">
        <v>129</v>
      </c>
      <c r="H115" s="70" t="s">
        <v>321</v>
      </c>
      <c r="I115" s="646">
        <v>500000000</v>
      </c>
      <c r="J115" s="646">
        <v>488140412</v>
      </c>
      <c r="K115" s="646">
        <v>248222958</v>
      </c>
      <c r="L115" s="646">
        <v>226002431</v>
      </c>
      <c r="M115" s="646"/>
      <c r="N115" s="646"/>
      <c r="O115" s="646"/>
      <c r="P115" s="646"/>
      <c r="Q115" s="646"/>
      <c r="R115" s="646"/>
      <c r="S115" s="646"/>
      <c r="T115" s="646"/>
      <c r="U115" s="646"/>
      <c r="V115" s="646"/>
      <c r="W115" s="646"/>
      <c r="X115" s="646"/>
      <c r="Y115" s="646">
        <f t="shared" ref="Y115:AB115" si="60">+I115+M115+Q115+U115</f>
        <v>500000000</v>
      </c>
      <c r="Z115" s="646">
        <f t="shared" si="60"/>
        <v>488140412</v>
      </c>
      <c r="AA115" s="646">
        <f t="shared" si="60"/>
        <v>248222958</v>
      </c>
      <c r="AB115" s="646">
        <f t="shared" si="60"/>
        <v>226002431</v>
      </c>
      <c r="AC115" s="36"/>
    </row>
    <row r="116" spans="1:29" ht="16.5" thickTop="1" thickBot="1">
      <c r="A116" s="57">
        <v>2</v>
      </c>
      <c r="B116" s="57" t="s">
        <v>139</v>
      </c>
      <c r="C116" s="57" t="s">
        <v>183</v>
      </c>
      <c r="D116" s="57" t="s">
        <v>146</v>
      </c>
      <c r="E116" s="57"/>
      <c r="F116" s="57"/>
      <c r="G116" s="57"/>
      <c r="H116" s="69" t="s">
        <v>1322</v>
      </c>
      <c r="I116" s="652">
        <f>+I117</f>
        <v>4683573979</v>
      </c>
      <c r="J116" s="652">
        <f t="shared" ref="J116:AB118" si="61">+J117</f>
        <v>4664621367</v>
      </c>
      <c r="K116" s="652">
        <f t="shared" si="61"/>
        <v>1238760297</v>
      </c>
      <c r="L116" s="652">
        <f t="shared" si="61"/>
        <v>783215578</v>
      </c>
      <c r="M116" s="652">
        <f t="shared" si="61"/>
        <v>0</v>
      </c>
      <c r="N116" s="652">
        <f t="shared" si="61"/>
        <v>0</v>
      </c>
      <c r="O116" s="652">
        <f t="shared" si="61"/>
        <v>0</v>
      </c>
      <c r="P116" s="652">
        <f t="shared" si="61"/>
        <v>0</v>
      </c>
      <c r="Q116" s="652">
        <f t="shared" si="61"/>
        <v>0</v>
      </c>
      <c r="R116" s="652">
        <f t="shared" si="61"/>
        <v>0</v>
      </c>
      <c r="S116" s="652">
        <f t="shared" si="61"/>
        <v>0</v>
      </c>
      <c r="T116" s="652">
        <f t="shared" si="61"/>
        <v>0</v>
      </c>
      <c r="U116" s="652">
        <f t="shared" si="61"/>
        <v>0</v>
      </c>
      <c r="V116" s="652">
        <f t="shared" si="61"/>
        <v>0</v>
      </c>
      <c r="W116" s="652">
        <f t="shared" si="61"/>
        <v>0</v>
      </c>
      <c r="X116" s="652">
        <f t="shared" si="61"/>
        <v>0</v>
      </c>
      <c r="Y116" s="652">
        <f t="shared" si="61"/>
        <v>4683573979</v>
      </c>
      <c r="Z116" s="652">
        <f t="shared" si="61"/>
        <v>4664621367</v>
      </c>
      <c r="AA116" s="652">
        <f t="shared" si="61"/>
        <v>1238760297</v>
      </c>
      <c r="AB116" s="652">
        <f t="shared" si="61"/>
        <v>783215578</v>
      </c>
      <c r="AC116" s="36"/>
    </row>
    <row r="117" spans="1:29" ht="16.5" thickTop="1" thickBot="1">
      <c r="A117" s="57">
        <v>3</v>
      </c>
      <c r="B117" s="57" t="s">
        <v>139</v>
      </c>
      <c r="C117" s="57" t="s">
        <v>183</v>
      </c>
      <c r="D117" s="57" t="s">
        <v>146</v>
      </c>
      <c r="E117" s="57" t="s">
        <v>129</v>
      </c>
      <c r="F117" s="57"/>
      <c r="G117" s="57"/>
      <c r="H117" s="69" t="s">
        <v>319</v>
      </c>
      <c r="I117" s="652">
        <f>+I118</f>
        <v>4683573979</v>
      </c>
      <c r="J117" s="652">
        <f t="shared" si="61"/>
        <v>4664621367</v>
      </c>
      <c r="K117" s="652">
        <f t="shared" si="61"/>
        <v>1238760297</v>
      </c>
      <c r="L117" s="652">
        <f t="shared" si="61"/>
        <v>783215578</v>
      </c>
      <c r="M117" s="652">
        <f t="shared" si="61"/>
        <v>0</v>
      </c>
      <c r="N117" s="652">
        <f t="shared" si="61"/>
        <v>0</v>
      </c>
      <c r="O117" s="652">
        <f t="shared" si="61"/>
        <v>0</v>
      </c>
      <c r="P117" s="652">
        <f t="shared" si="61"/>
        <v>0</v>
      </c>
      <c r="Q117" s="652">
        <f t="shared" si="61"/>
        <v>0</v>
      </c>
      <c r="R117" s="652">
        <f t="shared" si="61"/>
        <v>0</v>
      </c>
      <c r="S117" s="652">
        <f t="shared" si="61"/>
        <v>0</v>
      </c>
      <c r="T117" s="652">
        <f t="shared" si="61"/>
        <v>0</v>
      </c>
      <c r="U117" s="652">
        <f t="shared" si="61"/>
        <v>0</v>
      </c>
      <c r="V117" s="652">
        <f t="shared" si="61"/>
        <v>0</v>
      </c>
      <c r="W117" s="652">
        <f t="shared" si="61"/>
        <v>0</v>
      </c>
      <c r="X117" s="652">
        <f t="shared" si="61"/>
        <v>0</v>
      </c>
      <c r="Y117" s="652">
        <f t="shared" si="61"/>
        <v>4683573979</v>
      </c>
      <c r="Z117" s="652">
        <f t="shared" si="61"/>
        <v>4664621367</v>
      </c>
      <c r="AA117" s="652">
        <f t="shared" si="61"/>
        <v>1238760297</v>
      </c>
      <c r="AB117" s="652">
        <f t="shared" si="61"/>
        <v>783215578</v>
      </c>
      <c r="AC117" s="36"/>
    </row>
    <row r="118" spans="1:29" ht="16.5" thickTop="1" thickBot="1">
      <c r="A118" s="42">
        <v>2</v>
      </c>
      <c r="B118" s="42" t="s">
        <v>139</v>
      </c>
      <c r="C118" s="43" t="s">
        <v>183</v>
      </c>
      <c r="D118" s="43" t="s">
        <v>146</v>
      </c>
      <c r="E118" s="43" t="s">
        <v>129</v>
      </c>
      <c r="F118" s="43" t="s">
        <v>129</v>
      </c>
      <c r="G118" s="42"/>
      <c r="H118" s="70" t="s">
        <v>320</v>
      </c>
      <c r="I118" s="646">
        <f>+I119</f>
        <v>4683573979</v>
      </c>
      <c r="J118" s="646">
        <f t="shared" si="61"/>
        <v>4664621367</v>
      </c>
      <c r="K118" s="646">
        <f t="shared" si="61"/>
        <v>1238760297</v>
      </c>
      <c r="L118" s="646">
        <f t="shared" si="61"/>
        <v>783215578</v>
      </c>
      <c r="M118" s="646">
        <f t="shared" si="61"/>
        <v>0</v>
      </c>
      <c r="N118" s="646">
        <f t="shared" si="61"/>
        <v>0</v>
      </c>
      <c r="O118" s="646">
        <f t="shared" si="61"/>
        <v>0</v>
      </c>
      <c r="P118" s="646">
        <f t="shared" si="61"/>
        <v>0</v>
      </c>
      <c r="Q118" s="646">
        <f t="shared" si="61"/>
        <v>0</v>
      </c>
      <c r="R118" s="646">
        <f t="shared" si="61"/>
        <v>0</v>
      </c>
      <c r="S118" s="646">
        <f t="shared" si="61"/>
        <v>0</v>
      </c>
      <c r="T118" s="646">
        <f t="shared" si="61"/>
        <v>0</v>
      </c>
      <c r="U118" s="646">
        <f t="shared" si="61"/>
        <v>0</v>
      </c>
      <c r="V118" s="646">
        <f t="shared" si="61"/>
        <v>0</v>
      </c>
      <c r="W118" s="646">
        <f t="shared" si="61"/>
        <v>0</v>
      </c>
      <c r="X118" s="646">
        <f t="shared" si="61"/>
        <v>0</v>
      </c>
      <c r="Y118" s="646">
        <f t="shared" si="61"/>
        <v>4683573979</v>
      </c>
      <c r="Z118" s="646">
        <f t="shared" si="61"/>
        <v>4664621367</v>
      </c>
      <c r="AA118" s="646">
        <f t="shared" si="61"/>
        <v>1238760297</v>
      </c>
      <c r="AB118" s="646">
        <f t="shared" si="61"/>
        <v>783215578</v>
      </c>
      <c r="AC118" s="36"/>
    </row>
    <row r="119" spans="1:29" ht="16.5" thickTop="1" thickBot="1">
      <c r="A119" s="42">
        <v>2</v>
      </c>
      <c r="B119" s="42" t="s">
        <v>139</v>
      </c>
      <c r="C119" s="43" t="s">
        <v>183</v>
      </c>
      <c r="D119" s="43" t="s">
        <v>146</v>
      </c>
      <c r="E119" s="43" t="s">
        <v>129</v>
      </c>
      <c r="F119" s="43" t="s">
        <v>129</v>
      </c>
      <c r="G119" s="43" t="s">
        <v>129</v>
      </c>
      <c r="H119" s="70" t="s">
        <v>321</v>
      </c>
      <c r="I119" s="646">
        <v>4683573979</v>
      </c>
      <c r="J119" s="646">
        <v>4664621367</v>
      </c>
      <c r="K119" s="646">
        <v>1238760297</v>
      </c>
      <c r="L119" s="646">
        <v>783215578</v>
      </c>
      <c r="M119" s="646"/>
      <c r="N119" s="646"/>
      <c r="O119" s="646"/>
      <c r="P119" s="646"/>
      <c r="Q119" s="646"/>
      <c r="R119" s="646"/>
      <c r="S119" s="646"/>
      <c r="T119" s="646"/>
      <c r="U119" s="646"/>
      <c r="V119" s="646"/>
      <c r="W119" s="646"/>
      <c r="X119" s="646"/>
      <c r="Y119" s="646">
        <f t="shared" ref="Y119:AB119" si="62">+I119+M119+Q119+U119</f>
        <v>4683573979</v>
      </c>
      <c r="Z119" s="646">
        <f t="shared" si="62"/>
        <v>4664621367</v>
      </c>
      <c r="AA119" s="646">
        <f t="shared" si="62"/>
        <v>1238760297</v>
      </c>
      <c r="AB119" s="646">
        <f t="shared" si="62"/>
        <v>783215578</v>
      </c>
      <c r="AC119" s="36"/>
    </row>
    <row r="120" spans="1:29" ht="16.5" thickTop="1" thickBot="1">
      <c r="A120" s="67">
        <v>2</v>
      </c>
      <c r="B120" s="37" t="s">
        <v>139</v>
      </c>
      <c r="C120" s="37" t="s">
        <v>183</v>
      </c>
      <c r="D120" s="37"/>
      <c r="E120" s="67"/>
      <c r="F120" s="67"/>
      <c r="G120" s="67"/>
      <c r="H120" s="68" t="s">
        <v>939</v>
      </c>
      <c r="I120" s="651">
        <f>+I121+I125+I129+I133+I137+I141+I145+I150+I153+I157</f>
        <v>6300990838</v>
      </c>
      <c r="J120" s="651">
        <f t="shared" ref="J120:AB120" si="63">+J121+J125+J129+J133+J137+J141+J145+J150+J153+J157</f>
        <v>6174033210</v>
      </c>
      <c r="K120" s="651">
        <f t="shared" si="63"/>
        <v>5741471632</v>
      </c>
      <c r="L120" s="651">
        <f t="shared" si="63"/>
        <v>5623610062</v>
      </c>
      <c r="M120" s="651">
        <f t="shared" si="63"/>
        <v>0</v>
      </c>
      <c r="N120" s="651">
        <f t="shared" si="63"/>
        <v>0</v>
      </c>
      <c r="O120" s="651">
        <f t="shared" si="63"/>
        <v>0</v>
      </c>
      <c r="P120" s="651">
        <f t="shared" si="63"/>
        <v>0</v>
      </c>
      <c r="Q120" s="651">
        <f t="shared" si="63"/>
        <v>0</v>
      </c>
      <c r="R120" s="651">
        <f t="shared" si="63"/>
        <v>0</v>
      </c>
      <c r="S120" s="651">
        <f t="shared" si="63"/>
        <v>0</v>
      </c>
      <c r="T120" s="651">
        <f t="shared" si="63"/>
        <v>0</v>
      </c>
      <c r="U120" s="651">
        <f t="shared" si="63"/>
        <v>0</v>
      </c>
      <c r="V120" s="651">
        <f t="shared" si="63"/>
        <v>0</v>
      </c>
      <c r="W120" s="651">
        <f t="shared" si="63"/>
        <v>0</v>
      </c>
      <c r="X120" s="651">
        <f t="shared" si="63"/>
        <v>0</v>
      </c>
      <c r="Y120" s="651">
        <f t="shared" si="63"/>
        <v>6300990838</v>
      </c>
      <c r="Z120" s="651">
        <f t="shared" si="63"/>
        <v>6174033210</v>
      </c>
      <c r="AA120" s="651">
        <f t="shared" si="63"/>
        <v>5741471632</v>
      </c>
      <c r="AB120" s="651">
        <f t="shared" si="63"/>
        <v>5623610062</v>
      </c>
      <c r="AC120" s="36"/>
    </row>
    <row r="121" spans="1:29" ht="16.5" thickTop="1" thickBot="1">
      <c r="A121" s="57">
        <v>2</v>
      </c>
      <c r="B121" s="57" t="s">
        <v>139</v>
      </c>
      <c r="C121" s="57" t="s">
        <v>183</v>
      </c>
      <c r="D121" s="57" t="s">
        <v>129</v>
      </c>
      <c r="E121" s="57"/>
      <c r="F121" s="57"/>
      <c r="G121" s="57"/>
      <c r="H121" s="69" t="s">
        <v>1323</v>
      </c>
      <c r="I121" s="652">
        <f>+I122</f>
        <v>655000000</v>
      </c>
      <c r="J121" s="652">
        <f t="shared" ref="J121:Z123" si="64">+J122</f>
        <v>544014835</v>
      </c>
      <c r="K121" s="652">
        <f t="shared" si="64"/>
        <v>477240510</v>
      </c>
      <c r="L121" s="652">
        <f t="shared" si="64"/>
        <v>463713083</v>
      </c>
      <c r="M121" s="652">
        <f t="shared" si="64"/>
        <v>0</v>
      </c>
      <c r="N121" s="652">
        <f t="shared" si="64"/>
        <v>0</v>
      </c>
      <c r="O121" s="652">
        <f t="shared" si="64"/>
        <v>0</v>
      </c>
      <c r="P121" s="652">
        <f t="shared" si="64"/>
        <v>0</v>
      </c>
      <c r="Q121" s="652">
        <f t="shared" si="64"/>
        <v>0</v>
      </c>
      <c r="R121" s="652">
        <f t="shared" si="64"/>
        <v>0</v>
      </c>
      <c r="S121" s="652">
        <f t="shared" si="64"/>
        <v>0</v>
      </c>
      <c r="T121" s="652">
        <f t="shared" si="64"/>
        <v>0</v>
      </c>
      <c r="U121" s="652">
        <f t="shared" si="64"/>
        <v>0</v>
      </c>
      <c r="V121" s="652">
        <f t="shared" si="64"/>
        <v>0</v>
      </c>
      <c r="W121" s="652">
        <f t="shared" si="64"/>
        <v>0</v>
      </c>
      <c r="X121" s="652">
        <f t="shared" si="64"/>
        <v>0</v>
      </c>
      <c r="Y121" s="652">
        <f t="shared" si="64"/>
        <v>655000000</v>
      </c>
      <c r="Z121" s="652">
        <f t="shared" si="64"/>
        <v>544014835</v>
      </c>
      <c r="AA121" s="652">
        <f t="shared" ref="AA121:AB123" si="65">+AA122</f>
        <v>477240510</v>
      </c>
      <c r="AB121" s="652">
        <f t="shared" si="65"/>
        <v>463713083</v>
      </c>
      <c r="AC121" s="36"/>
    </row>
    <row r="122" spans="1:29" ht="16.5" thickTop="1" thickBot="1">
      <c r="A122" s="57">
        <v>3</v>
      </c>
      <c r="B122" s="57" t="s">
        <v>139</v>
      </c>
      <c r="C122" s="57" t="s">
        <v>183</v>
      </c>
      <c r="D122" s="57" t="s">
        <v>129</v>
      </c>
      <c r="E122" s="57" t="s">
        <v>129</v>
      </c>
      <c r="F122" s="57"/>
      <c r="G122" s="57"/>
      <c r="H122" s="69" t="s">
        <v>319</v>
      </c>
      <c r="I122" s="652">
        <f>+I123</f>
        <v>655000000</v>
      </c>
      <c r="J122" s="652">
        <f t="shared" si="64"/>
        <v>544014835</v>
      </c>
      <c r="K122" s="652">
        <f t="shared" si="64"/>
        <v>477240510</v>
      </c>
      <c r="L122" s="652">
        <f t="shared" si="64"/>
        <v>463713083</v>
      </c>
      <c r="M122" s="652">
        <f t="shared" si="64"/>
        <v>0</v>
      </c>
      <c r="N122" s="652">
        <f t="shared" si="64"/>
        <v>0</v>
      </c>
      <c r="O122" s="652">
        <f t="shared" si="64"/>
        <v>0</v>
      </c>
      <c r="P122" s="652">
        <f t="shared" si="64"/>
        <v>0</v>
      </c>
      <c r="Q122" s="652">
        <f t="shared" si="64"/>
        <v>0</v>
      </c>
      <c r="R122" s="652">
        <f t="shared" si="64"/>
        <v>0</v>
      </c>
      <c r="S122" s="652">
        <f t="shared" si="64"/>
        <v>0</v>
      </c>
      <c r="T122" s="652">
        <f t="shared" si="64"/>
        <v>0</v>
      </c>
      <c r="U122" s="652">
        <f t="shared" si="64"/>
        <v>0</v>
      </c>
      <c r="V122" s="652">
        <f t="shared" si="64"/>
        <v>0</v>
      </c>
      <c r="W122" s="652">
        <f t="shared" si="64"/>
        <v>0</v>
      </c>
      <c r="X122" s="652">
        <f t="shared" si="64"/>
        <v>0</v>
      </c>
      <c r="Y122" s="652">
        <f t="shared" si="64"/>
        <v>655000000</v>
      </c>
      <c r="Z122" s="652">
        <f t="shared" si="64"/>
        <v>544014835</v>
      </c>
      <c r="AA122" s="652">
        <f t="shared" si="65"/>
        <v>477240510</v>
      </c>
      <c r="AB122" s="652">
        <f t="shared" si="65"/>
        <v>463713083</v>
      </c>
      <c r="AC122" s="36"/>
    </row>
    <row r="123" spans="1:29" ht="16.5" thickTop="1" thickBot="1">
      <c r="A123" s="42">
        <v>2</v>
      </c>
      <c r="B123" s="42" t="s">
        <v>139</v>
      </c>
      <c r="C123" s="43" t="s">
        <v>183</v>
      </c>
      <c r="D123" s="43" t="s">
        <v>129</v>
      </c>
      <c r="E123" s="43" t="s">
        <v>129</v>
      </c>
      <c r="F123" s="43" t="s">
        <v>129</v>
      </c>
      <c r="G123" s="42"/>
      <c r="H123" s="70" t="s">
        <v>320</v>
      </c>
      <c r="I123" s="646">
        <f>+I124</f>
        <v>655000000</v>
      </c>
      <c r="J123" s="646">
        <f t="shared" si="64"/>
        <v>544014835</v>
      </c>
      <c r="K123" s="646">
        <f t="shared" si="64"/>
        <v>477240510</v>
      </c>
      <c r="L123" s="646">
        <f t="shared" si="64"/>
        <v>463713083</v>
      </c>
      <c r="M123" s="646">
        <f t="shared" si="64"/>
        <v>0</v>
      </c>
      <c r="N123" s="646">
        <f t="shared" si="64"/>
        <v>0</v>
      </c>
      <c r="O123" s="646">
        <f t="shared" si="64"/>
        <v>0</v>
      </c>
      <c r="P123" s="646">
        <f t="shared" si="64"/>
        <v>0</v>
      </c>
      <c r="Q123" s="646">
        <f t="shared" si="64"/>
        <v>0</v>
      </c>
      <c r="R123" s="646">
        <f t="shared" si="64"/>
        <v>0</v>
      </c>
      <c r="S123" s="646">
        <f t="shared" si="64"/>
        <v>0</v>
      </c>
      <c r="T123" s="646">
        <f t="shared" si="64"/>
        <v>0</v>
      </c>
      <c r="U123" s="646">
        <f t="shared" si="64"/>
        <v>0</v>
      </c>
      <c r="V123" s="646">
        <f t="shared" si="64"/>
        <v>0</v>
      </c>
      <c r="W123" s="646">
        <f t="shared" si="64"/>
        <v>0</v>
      </c>
      <c r="X123" s="646">
        <f t="shared" si="64"/>
        <v>0</v>
      </c>
      <c r="Y123" s="646">
        <f t="shared" si="64"/>
        <v>655000000</v>
      </c>
      <c r="Z123" s="646">
        <f t="shared" si="64"/>
        <v>544014835</v>
      </c>
      <c r="AA123" s="646">
        <f t="shared" si="65"/>
        <v>477240510</v>
      </c>
      <c r="AB123" s="646">
        <f t="shared" si="65"/>
        <v>463713083</v>
      </c>
      <c r="AC123" s="36"/>
    </row>
    <row r="124" spans="1:29" ht="16.5" thickTop="1" thickBot="1">
      <c r="A124" s="42">
        <v>2</v>
      </c>
      <c r="B124" s="42" t="s">
        <v>139</v>
      </c>
      <c r="C124" s="42" t="s">
        <v>183</v>
      </c>
      <c r="D124" s="42" t="s">
        <v>129</v>
      </c>
      <c r="E124" s="43" t="s">
        <v>129</v>
      </c>
      <c r="F124" s="43" t="s">
        <v>129</v>
      </c>
      <c r="G124" s="43" t="s">
        <v>129</v>
      </c>
      <c r="H124" s="70" t="s">
        <v>321</v>
      </c>
      <c r="I124" s="646">
        <v>655000000</v>
      </c>
      <c r="J124" s="646">
        <v>544014835</v>
      </c>
      <c r="K124" s="646">
        <v>477240510</v>
      </c>
      <c r="L124" s="646">
        <v>463713083</v>
      </c>
      <c r="M124" s="646"/>
      <c r="N124" s="646"/>
      <c r="O124" s="646"/>
      <c r="P124" s="646"/>
      <c r="Q124" s="646"/>
      <c r="R124" s="646"/>
      <c r="S124" s="646"/>
      <c r="T124" s="646"/>
      <c r="U124" s="646"/>
      <c r="V124" s="646"/>
      <c r="W124" s="646"/>
      <c r="X124" s="646"/>
      <c r="Y124" s="646">
        <f t="shared" ref="Y124:AB124" si="66">+I124+M124+Q124+U124</f>
        <v>655000000</v>
      </c>
      <c r="Z124" s="646">
        <f t="shared" si="66"/>
        <v>544014835</v>
      </c>
      <c r="AA124" s="646">
        <f t="shared" si="66"/>
        <v>477240510</v>
      </c>
      <c r="AB124" s="646">
        <f t="shared" si="66"/>
        <v>463713083</v>
      </c>
      <c r="AC124" s="36"/>
    </row>
    <row r="125" spans="1:29" ht="16.5" thickTop="1" thickBot="1">
      <c r="A125" s="57">
        <v>2</v>
      </c>
      <c r="B125" s="57" t="s">
        <v>139</v>
      </c>
      <c r="C125" s="57" t="s">
        <v>183</v>
      </c>
      <c r="D125" s="57" t="s">
        <v>134</v>
      </c>
      <c r="E125" s="57"/>
      <c r="F125" s="57"/>
      <c r="G125" s="57"/>
      <c r="H125" s="69" t="s">
        <v>1324</v>
      </c>
      <c r="I125" s="652">
        <f>+I126</f>
        <v>355000000</v>
      </c>
      <c r="J125" s="652">
        <f t="shared" ref="J125:AB127" si="67">+J126</f>
        <v>354408889</v>
      </c>
      <c r="K125" s="652">
        <f t="shared" si="67"/>
        <v>344918056</v>
      </c>
      <c r="L125" s="652">
        <f t="shared" si="67"/>
        <v>343798026</v>
      </c>
      <c r="M125" s="652">
        <f t="shared" si="67"/>
        <v>0</v>
      </c>
      <c r="N125" s="652">
        <f t="shared" si="67"/>
        <v>0</v>
      </c>
      <c r="O125" s="652">
        <f t="shared" si="67"/>
        <v>0</v>
      </c>
      <c r="P125" s="652">
        <f t="shared" si="67"/>
        <v>0</v>
      </c>
      <c r="Q125" s="652">
        <f t="shared" si="67"/>
        <v>0</v>
      </c>
      <c r="R125" s="652">
        <f t="shared" si="67"/>
        <v>0</v>
      </c>
      <c r="S125" s="652">
        <f t="shared" si="67"/>
        <v>0</v>
      </c>
      <c r="T125" s="652">
        <f t="shared" si="67"/>
        <v>0</v>
      </c>
      <c r="U125" s="652">
        <f t="shared" si="67"/>
        <v>0</v>
      </c>
      <c r="V125" s="652">
        <f t="shared" si="67"/>
        <v>0</v>
      </c>
      <c r="W125" s="652">
        <f t="shared" si="67"/>
        <v>0</v>
      </c>
      <c r="X125" s="652">
        <f t="shared" si="67"/>
        <v>0</v>
      </c>
      <c r="Y125" s="652">
        <f t="shared" si="67"/>
        <v>355000000</v>
      </c>
      <c r="Z125" s="652">
        <f t="shared" si="67"/>
        <v>354408889</v>
      </c>
      <c r="AA125" s="652">
        <f t="shared" si="67"/>
        <v>344918056</v>
      </c>
      <c r="AB125" s="652">
        <f t="shared" si="67"/>
        <v>343798026</v>
      </c>
      <c r="AC125" s="36"/>
    </row>
    <row r="126" spans="1:29" ht="16.5" thickTop="1" thickBot="1">
      <c r="A126" s="57">
        <v>3</v>
      </c>
      <c r="B126" s="57" t="s">
        <v>139</v>
      </c>
      <c r="C126" s="57" t="s">
        <v>183</v>
      </c>
      <c r="D126" s="57" t="s">
        <v>134</v>
      </c>
      <c r="E126" s="57" t="s">
        <v>129</v>
      </c>
      <c r="F126" s="57"/>
      <c r="G126" s="57"/>
      <c r="H126" s="69" t="s">
        <v>319</v>
      </c>
      <c r="I126" s="652">
        <f>+I127</f>
        <v>355000000</v>
      </c>
      <c r="J126" s="652">
        <f t="shared" si="67"/>
        <v>354408889</v>
      </c>
      <c r="K126" s="652">
        <f t="shared" si="67"/>
        <v>344918056</v>
      </c>
      <c r="L126" s="652">
        <f t="shared" si="67"/>
        <v>343798026</v>
      </c>
      <c r="M126" s="652">
        <f t="shared" si="67"/>
        <v>0</v>
      </c>
      <c r="N126" s="652">
        <f t="shared" si="67"/>
        <v>0</v>
      </c>
      <c r="O126" s="652">
        <f t="shared" si="67"/>
        <v>0</v>
      </c>
      <c r="P126" s="652">
        <f t="shared" si="67"/>
        <v>0</v>
      </c>
      <c r="Q126" s="652">
        <f t="shared" si="67"/>
        <v>0</v>
      </c>
      <c r="R126" s="652">
        <f t="shared" si="67"/>
        <v>0</v>
      </c>
      <c r="S126" s="652">
        <f t="shared" si="67"/>
        <v>0</v>
      </c>
      <c r="T126" s="652">
        <f t="shared" si="67"/>
        <v>0</v>
      </c>
      <c r="U126" s="652">
        <f t="shared" si="67"/>
        <v>0</v>
      </c>
      <c r="V126" s="652">
        <f t="shared" si="67"/>
        <v>0</v>
      </c>
      <c r="W126" s="652">
        <f t="shared" si="67"/>
        <v>0</v>
      </c>
      <c r="X126" s="652">
        <f t="shared" si="67"/>
        <v>0</v>
      </c>
      <c r="Y126" s="652">
        <f t="shared" si="67"/>
        <v>355000000</v>
      </c>
      <c r="Z126" s="652">
        <f t="shared" si="67"/>
        <v>354408889</v>
      </c>
      <c r="AA126" s="652">
        <f t="shared" si="67"/>
        <v>344918056</v>
      </c>
      <c r="AB126" s="652">
        <f t="shared" si="67"/>
        <v>343798026</v>
      </c>
      <c r="AC126" s="36"/>
    </row>
    <row r="127" spans="1:29" ht="16.5" thickTop="1" thickBot="1">
      <c r="A127" s="42">
        <v>2</v>
      </c>
      <c r="B127" s="42" t="s">
        <v>139</v>
      </c>
      <c r="C127" s="43" t="s">
        <v>183</v>
      </c>
      <c r="D127" s="43" t="s">
        <v>134</v>
      </c>
      <c r="E127" s="43" t="s">
        <v>129</v>
      </c>
      <c r="F127" s="43" t="s">
        <v>129</v>
      </c>
      <c r="G127" s="42"/>
      <c r="H127" s="70" t="s">
        <v>320</v>
      </c>
      <c r="I127" s="646">
        <f>+I128</f>
        <v>355000000</v>
      </c>
      <c r="J127" s="646">
        <f t="shared" si="67"/>
        <v>354408889</v>
      </c>
      <c r="K127" s="646">
        <f t="shared" si="67"/>
        <v>344918056</v>
      </c>
      <c r="L127" s="646">
        <f t="shared" si="67"/>
        <v>343798026</v>
      </c>
      <c r="M127" s="646">
        <f t="shared" si="67"/>
        <v>0</v>
      </c>
      <c r="N127" s="646">
        <f t="shared" si="67"/>
        <v>0</v>
      </c>
      <c r="O127" s="646">
        <f t="shared" si="67"/>
        <v>0</v>
      </c>
      <c r="P127" s="646">
        <f t="shared" si="67"/>
        <v>0</v>
      </c>
      <c r="Q127" s="646">
        <f t="shared" si="67"/>
        <v>0</v>
      </c>
      <c r="R127" s="646">
        <f t="shared" si="67"/>
        <v>0</v>
      </c>
      <c r="S127" s="646">
        <f t="shared" si="67"/>
        <v>0</v>
      </c>
      <c r="T127" s="646">
        <f t="shared" si="67"/>
        <v>0</v>
      </c>
      <c r="U127" s="646">
        <f t="shared" si="67"/>
        <v>0</v>
      </c>
      <c r="V127" s="646">
        <f t="shared" si="67"/>
        <v>0</v>
      </c>
      <c r="W127" s="646">
        <f t="shared" si="67"/>
        <v>0</v>
      </c>
      <c r="X127" s="646">
        <f t="shared" si="67"/>
        <v>0</v>
      </c>
      <c r="Y127" s="646">
        <f t="shared" si="67"/>
        <v>355000000</v>
      </c>
      <c r="Z127" s="646">
        <f t="shared" si="67"/>
        <v>354408889</v>
      </c>
      <c r="AA127" s="646">
        <f t="shared" si="67"/>
        <v>344918056</v>
      </c>
      <c r="AB127" s="646">
        <f t="shared" si="67"/>
        <v>343798026</v>
      </c>
      <c r="AC127" s="36"/>
    </row>
    <row r="128" spans="1:29" ht="16.5" thickTop="1" thickBot="1">
      <c r="A128" s="42">
        <v>2</v>
      </c>
      <c r="B128" s="42" t="s">
        <v>139</v>
      </c>
      <c r="C128" s="43" t="s">
        <v>183</v>
      </c>
      <c r="D128" s="43" t="s">
        <v>134</v>
      </c>
      <c r="E128" s="43" t="s">
        <v>129</v>
      </c>
      <c r="F128" s="43" t="s">
        <v>129</v>
      </c>
      <c r="G128" s="43" t="s">
        <v>129</v>
      </c>
      <c r="H128" s="70" t="s">
        <v>321</v>
      </c>
      <c r="I128" s="646">
        <v>355000000</v>
      </c>
      <c r="J128" s="646">
        <v>354408889</v>
      </c>
      <c r="K128" s="646">
        <v>344918056</v>
      </c>
      <c r="L128" s="646">
        <v>343798026</v>
      </c>
      <c r="M128" s="646"/>
      <c r="N128" s="646"/>
      <c r="O128" s="646"/>
      <c r="P128" s="646"/>
      <c r="Q128" s="646"/>
      <c r="R128" s="646"/>
      <c r="S128" s="646"/>
      <c r="T128" s="646"/>
      <c r="U128" s="646"/>
      <c r="V128" s="646"/>
      <c r="W128" s="646"/>
      <c r="X128" s="646"/>
      <c r="Y128" s="646">
        <f t="shared" ref="Y128:AB128" si="68">+I128+M128+Q128+U128</f>
        <v>355000000</v>
      </c>
      <c r="Z128" s="646">
        <f t="shared" si="68"/>
        <v>354408889</v>
      </c>
      <c r="AA128" s="646">
        <f t="shared" si="68"/>
        <v>344918056</v>
      </c>
      <c r="AB128" s="646">
        <f t="shared" si="68"/>
        <v>343798026</v>
      </c>
      <c r="AC128" s="36"/>
    </row>
    <row r="129" spans="1:29" ht="16.5" thickTop="1" thickBot="1">
      <c r="A129" s="57">
        <v>2</v>
      </c>
      <c r="B129" s="57" t="s">
        <v>139</v>
      </c>
      <c r="C129" s="57" t="s">
        <v>183</v>
      </c>
      <c r="D129" s="57" t="s">
        <v>139</v>
      </c>
      <c r="E129" s="57"/>
      <c r="F129" s="57"/>
      <c r="G129" s="57"/>
      <c r="H129" s="69" t="s">
        <v>1325</v>
      </c>
      <c r="I129" s="652">
        <f>+I130</f>
        <v>910000000</v>
      </c>
      <c r="J129" s="652">
        <f t="shared" ref="J129:AB131" si="69">+J130</f>
        <v>909529462</v>
      </c>
      <c r="K129" s="652">
        <f t="shared" si="69"/>
        <v>753471385</v>
      </c>
      <c r="L129" s="652">
        <f t="shared" si="69"/>
        <v>748530895</v>
      </c>
      <c r="M129" s="652">
        <f t="shared" si="69"/>
        <v>0</v>
      </c>
      <c r="N129" s="652">
        <f t="shared" si="69"/>
        <v>0</v>
      </c>
      <c r="O129" s="652">
        <f t="shared" si="69"/>
        <v>0</v>
      </c>
      <c r="P129" s="652">
        <f t="shared" si="69"/>
        <v>0</v>
      </c>
      <c r="Q129" s="652">
        <f t="shared" si="69"/>
        <v>0</v>
      </c>
      <c r="R129" s="652">
        <f t="shared" si="69"/>
        <v>0</v>
      </c>
      <c r="S129" s="652">
        <f t="shared" si="69"/>
        <v>0</v>
      </c>
      <c r="T129" s="652">
        <f t="shared" si="69"/>
        <v>0</v>
      </c>
      <c r="U129" s="652">
        <f t="shared" si="69"/>
        <v>0</v>
      </c>
      <c r="V129" s="652">
        <f t="shared" si="69"/>
        <v>0</v>
      </c>
      <c r="W129" s="652">
        <f t="shared" si="69"/>
        <v>0</v>
      </c>
      <c r="X129" s="652">
        <f t="shared" si="69"/>
        <v>0</v>
      </c>
      <c r="Y129" s="652">
        <f t="shared" si="69"/>
        <v>910000000</v>
      </c>
      <c r="Z129" s="652">
        <f t="shared" si="69"/>
        <v>909529462</v>
      </c>
      <c r="AA129" s="652">
        <f t="shared" si="69"/>
        <v>753471385</v>
      </c>
      <c r="AB129" s="652">
        <f t="shared" si="69"/>
        <v>748530895</v>
      </c>
      <c r="AC129" s="36"/>
    </row>
    <row r="130" spans="1:29" ht="16.5" thickTop="1" thickBot="1">
      <c r="A130" s="57">
        <v>3</v>
      </c>
      <c r="B130" s="57" t="s">
        <v>139</v>
      </c>
      <c r="C130" s="57" t="s">
        <v>183</v>
      </c>
      <c r="D130" s="57" t="s">
        <v>139</v>
      </c>
      <c r="E130" s="57" t="s">
        <v>129</v>
      </c>
      <c r="F130" s="57"/>
      <c r="G130" s="57"/>
      <c r="H130" s="69" t="s">
        <v>319</v>
      </c>
      <c r="I130" s="652">
        <f>+I131</f>
        <v>910000000</v>
      </c>
      <c r="J130" s="652">
        <f t="shared" si="69"/>
        <v>909529462</v>
      </c>
      <c r="K130" s="652">
        <f t="shared" si="69"/>
        <v>753471385</v>
      </c>
      <c r="L130" s="652">
        <f t="shared" si="69"/>
        <v>748530895</v>
      </c>
      <c r="M130" s="652">
        <f t="shared" si="69"/>
        <v>0</v>
      </c>
      <c r="N130" s="652">
        <f t="shared" si="69"/>
        <v>0</v>
      </c>
      <c r="O130" s="652">
        <f t="shared" si="69"/>
        <v>0</v>
      </c>
      <c r="P130" s="652">
        <f t="shared" si="69"/>
        <v>0</v>
      </c>
      <c r="Q130" s="652">
        <f t="shared" si="69"/>
        <v>0</v>
      </c>
      <c r="R130" s="652">
        <f t="shared" si="69"/>
        <v>0</v>
      </c>
      <c r="S130" s="652">
        <f t="shared" si="69"/>
        <v>0</v>
      </c>
      <c r="T130" s="652">
        <f t="shared" si="69"/>
        <v>0</v>
      </c>
      <c r="U130" s="652">
        <f t="shared" si="69"/>
        <v>0</v>
      </c>
      <c r="V130" s="652">
        <f t="shared" si="69"/>
        <v>0</v>
      </c>
      <c r="W130" s="652">
        <f t="shared" si="69"/>
        <v>0</v>
      </c>
      <c r="X130" s="652">
        <f t="shared" si="69"/>
        <v>0</v>
      </c>
      <c r="Y130" s="652">
        <f t="shared" si="69"/>
        <v>910000000</v>
      </c>
      <c r="Z130" s="652">
        <f t="shared" si="69"/>
        <v>909529462</v>
      </c>
      <c r="AA130" s="652">
        <f t="shared" si="69"/>
        <v>753471385</v>
      </c>
      <c r="AB130" s="652">
        <f t="shared" si="69"/>
        <v>748530895</v>
      </c>
      <c r="AC130" s="36"/>
    </row>
    <row r="131" spans="1:29" ht="16.5" thickTop="1" thickBot="1">
      <c r="A131" s="42">
        <v>2</v>
      </c>
      <c r="B131" s="42" t="s">
        <v>139</v>
      </c>
      <c r="C131" s="43" t="s">
        <v>183</v>
      </c>
      <c r="D131" s="43" t="s">
        <v>139</v>
      </c>
      <c r="E131" s="43" t="s">
        <v>129</v>
      </c>
      <c r="F131" s="43" t="s">
        <v>129</v>
      </c>
      <c r="G131" s="42"/>
      <c r="H131" s="70" t="s">
        <v>320</v>
      </c>
      <c r="I131" s="646">
        <f>+I132</f>
        <v>910000000</v>
      </c>
      <c r="J131" s="646">
        <f t="shared" si="69"/>
        <v>909529462</v>
      </c>
      <c r="K131" s="646">
        <f t="shared" si="69"/>
        <v>753471385</v>
      </c>
      <c r="L131" s="646">
        <f t="shared" si="69"/>
        <v>748530895</v>
      </c>
      <c r="M131" s="646">
        <f t="shared" si="69"/>
        <v>0</v>
      </c>
      <c r="N131" s="646">
        <f t="shared" si="69"/>
        <v>0</v>
      </c>
      <c r="O131" s="646">
        <f t="shared" si="69"/>
        <v>0</v>
      </c>
      <c r="P131" s="646">
        <f t="shared" si="69"/>
        <v>0</v>
      </c>
      <c r="Q131" s="646">
        <f t="shared" si="69"/>
        <v>0</v>
      </c>
      <c r="R131" s="646">
        <f t="shared" si="69"/>
        <v>0</v>
      </c>
      <c r="S131" s="646">
        <f t="shared" si="69"/>
        <v>0</v>
      </c>
      <c r="T131" s="646">
        <f t="shared" si="69"/>
        <v>0</v>
      </c>
      <c r="U131" s="646">
        <f t="shared" si="69"/>
        <v>0</v>
      </c>
      <c r="V131" s="646">
        <f t="shared" si="69"/>
        <v>0</v>
      </c>
      <c r="W131" s="646">
        <f t="shared" si="69"/>
        <v>0</v>
      </c>
      <c r="X131" s="646">
        <f t="shared" si="69"/>
        <v>0</v>
      </c>
      <c r="Y131" s="646">
        <f t="shared" si="69"/>
        <v>910000000</v>
      </c>
      <c r="Z131" s="646">
        <f t="shared" si="69"/>
        <v>909529462</v>
      </c>
      <c r="AA131" s="646">
        <f t="shared" si="69"/>
        <v>753471385</v>
      </c>
      <c r="AB131" s="646">
        <f t="shared" si="69"/>
        <v>748530895</v>
      </c>
      <c r="AC131" s="36"/>
    </row>
    <row r="132" spans="1:29" ht="16.5" thickTop="1" thickBot="1">
      <c r="A132" s="42">
        <v>2</v>
      </c>
      <c r="B132" s="42" t="s">
        <v>139</v>
      </c>
      <c r="C132" s="43" t="s">
        <v>183</v>
      </c>
      <c r="D132" s="43" t="s">
        <v>139</v>
      </c>
      <c r="E132" s="43" t="s">
        <v>129</v>
      </c>
      <c r="F132" s="43" t="s">
        <v>129</v>
      </c>
      <c r="G132" s="43" t="s">
        <v>129</v>
      </c>
      <c r="H132" s="70" t="s">
        <v>321</v>
      </c>
      <c r="I132" s="646">
        <v>910000000</v>
      </c>
      <c r="J132" s="646">
        <v>909529462</v>
      </c>
      <c r="K132" s="646">
        <v>753471385</v>
      </c>
      <c r="L132" s="646">
        <v>748530895</v>
      </c>
      <c r="M132" s="646"/>
      <c r="N132" s="646"/>
      <c r="O132" s="646"/>
      <c r="P132" s="646"/>
      <c r="Q132" s="646"/>
      <c r="R132" s="646"/>
      <c r="S132" s="646"/>
      <c r="T132" s="646"/>
      <c r="U132" s="646"/>
      <c r="V132" s="646"/>
      <c r="W132" s="646"/>
      <c r="X132" s="646"/>
      <c r="Y132" s="646">
        <f t="shared" ref="Y132:AB132" si="70">+I132+M132+Q132+U132</f>
        <v>910000000</v>
      </c>
      <c r="Z132" s="646">
        <f t="shared" si="70"/>
        <v>909529462</v>
      </c>
      <c r="AA132" s="646">
        <f t="shared" si="70"/>
        <v>753471385</v>
      </c>
      <c r="AB132" s="646">
        <f t="shared" si="70"/>
        <v>748530895</v>
      </c>
      <c r="AC132" s="36"/>
    </row>
    <row r="133" spans="1:29" ht="16.5" thickTop="1" thickBot="1">
      <c r="A133" s="57">
        <v>2</v>
      </c>
      <c r="B133" s="57" t="s">
        <v>139</v>
      </c>
      <c r="C133" s="57" t="s">
        <v>183</v>
      </c>
      <c r="D133" s="57" t="s">
        <v>140</v>
      </c>
      <c r="E133" s="57"/>
      <c r="F133" s="57"/>
      <c r="G133" s="57"/>
      <c r="H133" s="69" t="s">
        <v>1326</v>
      </c>
      <c r="I133" s="652">
        <f>+I134</f>
        <v>400000000</v>
      </c>
      <c r="J133" s="652">
        <f t="shared" ref="J133:AB135" si="71">+J134</f>
        <v>399742322</v>
      </c>
      <c r="K133" s="652">
        <f t="shared" si="71"/>
        <v>392140930</v>
      </c>
      <c r="L133" s="652">
        <f t="shared" si="71"/>
        <v>377156927</v>
      </c>
      <c r="M133" s="652">
        <f t="shared" si="71"/>
        <v>0</v>
      </c>
      <c r="N133" s="652">
        <f t="shared" si="71"/>
        <v>0</v>
      </c>
      <c r="O133" s="652">
        <f t="shared" si="71"/>
        <v>0</v>
      </c>
      <c r="P133" s="652">
        <f t="shared" si="71"/>
        <v>0</v>
      </c>
      <c r="Q133" s="652">
        <f t="shared" si="71"/>
        <v>0</v>
      </c>
      <c r="R133" s="652">
        <f t="shared" si="71"/>
        <v>0</v>
      </c>
      <c r="S133" s="652">
        <f t="shared" si="71"/>
        <v>0</v>
      </c>
      <c r="T133" s="652">
        <f t="shared" si="71"/>
        <v>0</v>
      </c>
      <c r="U133" s="652">
        <f t="shared" si="71"/>
        <v>0</v>
      </c>
      <c r="V133" s="652">
        <f t="shared" si="71"/>
        <v>0</v>
      </c>
      <c r="W133" s="652">
        <f t="shared" si="71"/>
        <v>0</v>
      </c>
      <c r="X133" s="652">
        <f t="shared" si="71"/>
        <v>0</v>
      </c>
      <c r="Y133" s="652">
        <f t="shared" si="71"/>
        <v>400000000</v>
      </c>
      <c r="Z133" s="652">
        <f t="shared" si="71"/>
        <v>399742322</v>
      </c>
      <c r="AA133" s="652">
        <f t="shared" si="71"/>
        <v>392140930</v>
      </c>
      <c r="AB133" s="652">
        <f t="shared" si="71"/>
        <v>377156927</v>
      </c>
      <c r="AC133" s="36"/>
    </row>
    <row r="134" spans="1:29" ht="16.5" thickTop="1" thickBot="1">
      <c r="A134" s="57">
        <v>3</v>
      </c>
      <c r="B134" s="57" t="s">
        <v>139</v>
      </c>
      <c r="C134" s="57" t="s">
        <v>183</v>
      </c>
      <c r="D134" s="57" t="s">
        <v>140</v>
      </c>
      <c r="E134" s="57" t="s">
        <v>129</v>
      </c>
      <c r="F134" s="57"/>
      <c r="G134" s="57"/>
      <c r="H134" s="69" t="s">
        <v>319</v>
      </c>
      <c r="I134" s="652">
        <f>+I135</f>
        <v>400000000</v>
      </c>
      <c r="J134" s="652">
        <f t="shared" si="71"/>
        <v>399742322</v>
      </c>
      <c r="K134" s="652">
        <f t="shared" si="71"/>
        <v>392140930</v>
      </c>
      <c r="L134" s="652">
        <f t="shared" si="71"/>
        <v>377156927</v>
      </c>
      <c r="M134" s="652">
        <f t="shared" si="71"/>
        <v>0</v>
      </c>
      <c r="N134" s="652">
        <f t="shared" si="71"/>
        <v>0</v>
      </c>
      <c r="O134" s="652">
        <f t="shared" si="71"/>
        <v>0</v>
      </c>
      <c r="P134" s="652">
        <f t="shared" si="71"/>
        <v>0</v>
      </c>
      <c r="Q134" s="652">
        <f t="shared" si="71"/>
        <v>0</v>
      </c>
      <c r="R134" s="652">
        <f t="shared" si="71"/>
        <v>0</v>
      </c>
      <c r="S134" s="652">
        <f t="shared" si="71"/>
        <v>0</v>
      </c>
      <c r="T134" s="652">
        <f t="shared" si="71"/>
        <v>0</v>
      </c>
      <c r="U134" s="652">
        <f t="shared" si="71"/>
        <v>0</v>
      </c>
      <c r="V134" s="652">
        <f t="shared" si="71"/>
        <v>0</v>
      </c>
      <c r="W134" s="652">
        <f t="shared" si="71"/>
        <v>0</v>
      </c>
      <c r="X134" s="652">
        <f t="shared" si="71"/>
        <v>0</v>
      </c>
      <c r="Y134" s="652">
        <f t="shared" si="71"/>
        <v>400000000</v>
      </c>
      <c r="Z134" s="652">
        <f t="shared" si="71"/>
        <v>399742322</v>
      </c>
      <c r="AA134" s="652">
        <f t="shared" si="71"/>
        <v>392140930</v>
      </c>
      <c r="AB134" s="652">
        <f t="shared" si="71"/>
        <v>377156927</v>
      </c>
      <c r="AC134" s="36"/>
    </row>
    <row r="135" spans="1:29" ht="16.5" thickTop="1" thickBot="1">
      <c r="A135" s="42">
        <v>2</v>
      </c>
      <c r="B135" s="42" t="s">
        <v>139</v>
      </c>
      <c r="C135" s="43" t="s">
        <v>183</v>
      </c>
      <c r="D135" s="43" t="s">
        <v>140</v>
      </c>
      <c r="E135" s="43" t="s">
        <v>129</v>
      </c>
      <c r="F135" s="43" t="s">
        <v>129</v>
      </c>
      <c r="G135" s="42"/>
      <c r="H135" s="70" t="s">
        <v>320</v>
      </c>
      <c r="I135" s="646">
        <f>+I136</f>
        <v>400000000</v>
      </c>
      <c r="J135" s="646">
        <f t="shared" si="71"/>
        <v>399742322</v>
      </c>
      <c r="K135" s="646">
        <f t="shared" si="71"/>
        <v>392140930</v>
      </c>
      <c r="L135" s="646">
        <f t="shared" si="71"/>
        <v>377156927</v>
      </c>
      <c r="M135" s="646">
        <f t="shared" si="71"/>
        <v>0</v>
      </c>
      <c r="N135" s="646">
        <f t="shared" si="71"/>
        <v>0</v>
      </c>
      <c r="O135" s="646">
        <f t="shared" si="71"/>
        <v>0</v>
      </c>
      <c r="P135" s="646">
        <f t="shared" si="71"/>
        <v>0</v>
      </c>
      <c r="Q135" s="646">
        <f t="shared" si="71"/>
        <v>0</v>
      </c>
      <c r="R135" s="646">
        <f t="shared" si="71"/>
        <v>0</v>
      </c>
      <c r="S135" s="646">
        <f t="shared" si="71"/>
        <v>0</v>
      </c>
      <c r="T135" s="646">
        <f t="shared" si="71"/>
        <v>0</v>
      </c>
      <c r="U135" s="646">
        <f t="shared" si="71"/>
        <v>0</v>
      </c>
      <c r="V135" s="646">
        <f t="shared" si="71"/>
        <v>0</v>
      </c>
      <c r="W135" s="646">
        <f t="shared" si="71"/>
        <v>0</v>
      </c>
      <c r="X135" s="646">
        <f t="shared" si="71"/>
        <v>0</v>
      </c>
      <c r="Y135" s="646">
        <f t="shared" si="71"/>
        <v>400000000</v>
      </c>
      <c r="Z135" s="646">
        <f t="shared" si="71"/>
        <v>399742322</v>
      </c>
      <c r="AA135" s="646">
        <f t="shared" si="71"/>
        <v>392140930</v>
      </c>
      <c r="AB135" s="646">
        <f t="shared" si="71"/>
        <v>377156927</v>
      </c>
      <c r="AC135" s="36"/>
    </row>
    <row r="136" spans="1:29" ht="16.5" thickTop="1" thickBot="1">
      <c r="A136" s="42">
        <v>2</v>
      </c>
      <c r="B136" s="42" t="s">
        <v>139</v>
      </c>
      <c r="C136" s="43" t="s">
        <v>183</v>
      </c>
      <c r="D136" s="43" t="s">
        <v>140</v>
      </c>
      <c r="E136" s="43" t="s">
        <v>129</v>
      </c>
      <c r="F136" s="43" t="s">
        <v>129</v>
      </c>
      <c r="G136" s="43" t="s">
        <v>129</v>
      </c>
      <c r="H136" s="70" t="s">
        <v>321</v>
      </c>
      <c r="I136" s="646">
        <v>400000000</v>
      </c>
      <c r="J136" s="646">
        <v>399742322</v>
      </c>
      <c r="K136" s="646">
        <v>392140930</v>
      </c>
      <c r="L136" s="646">
        <v>377156927</v>
      </c>
      <c r="M136" s="646"/>
      <c r="N136" s="646"/>
      <c r="O136" s="646"/>
      <c r="P136" s="646"/>
      <c r="Q136" s="646"/>
      <c r="R136" s="646"/>
      <c r="S136" s="646"/>
      <c r="T136" s="646"/>
      <c r="U136" s="646"/>
      <c r="V136" s="646"/>
      <c r="W136" s="646"/>
      <c r="X136" s="646"/>
      <c r="Y136" s="646">
        <f t="shared" ref="Y136:AB136" si="72">+I136+M136+Q136+U136</f>
        <v>400000000</v>
      </c>
      <c r="Z136" s="646">
        <f t="shared" si="72"/>
        <v>399742322</v>
      </c>
      <c r="AA136" s="646">
        <f t="shared" si="72"/>
        <v>392140930</v>
      </c>
      <c r="AB136" s="646">
        <f t="shared" si="72"/>
        <v>377156927</v>
      </c>
      <c r="AC136" s="36"/>
    </row>
    <row r="137" spans="1:29" ht="16.5" thickTop="1" thickBot="1">
      <c r="A137" s="57">
        <v>2</v>
      </c>
      <c r="B137" s="57" t="s">
        <v>139</v>
      </c>
      <c r="C137" s="57" t="s">
        <v>183</v>
      </c>
      <c r="D137" s="57" t="s">
        <v>144</v>
      </c>
      <c r="E137" s="57"/>
      <c r="F137" s="57"/>
      <c r="G137" s="57"/>
      <c r="H137" s="69" t="s">
        <v>1327</v>
      </c>
      <c r="I137" s="652">
        <f>+I138</f>
        <v>212500000</v>
      </c>
      <c r="J137" s="652">
        <f t="shared" ref="J137:AB139" si="73">+J138</f>
        <v>211140172</v>
      </c>
      <c r="K137" s="652">
        <f t="shared" si="73"/>
        <v>207806687</v>
      </c>
      <c r="L137" s="652">
        <f t="shared" si="73"/>
        <v>207555519</v>
      </c>
      <c r="M137" s="652">
        <f t="shared" si="73"/>
        <v>0</v>
      </c>
      <c r="N137" s="652">
        <f t="shared" si="73"/>
        <v>0</v>
      </c>
      <c r="O137" s="652">
        <f t="shared" si="73"/>
        <v>0</v>
      </c>
      <c r="P137" s="652">
        <f t="shared" si="73"/>
        <v>0</v>
      </c>
      <c r="Q137" s="652">
        <f t="shared" si="73"/>
        <v>0</v>
      </c>
      <c r="R137" s="652">
        <f t="shared" si="73"/>
        <v>0</v>
      </c>
      <c r="S137" s="652">
        <f t="shared" si="73"/>
        <v>0</v>
      </c>
      <c r="T137" s="652">
        <f t="shared" si="73"/>
        <v>0</v>
      </c>
      <c r="U137" s="652">
        <f t="shared" si="73"/>
        <v>0</v>
      </c>
      <c r="V137" s="652">
        <f t="shared" si="73"/>
        <v>0</v>
      </c>
      <c r="W137" s="652">
        <f t="shared" si="73"/>
        <v>0</v>
      </c>
      <c r="X137" s="652">
        <f t="shared" si="73"/>
        <v>0</v>
      </c>
      <c r="Y137" s="652">
        <f t="shared" si="73"/>
        <v>212500000</v>
      </c>
      <c r="Z137" s="652">
        <f t="shared" si="73"/>
        <v>211140172</v>
      </c>
      <c r="AA137" s="652">
        <f t="shared" si="73"/>
        <v>207806687</v>
      </c>
      <c r="AB137" s="652">
        <f t="shared" si="73"/>
        <v>207555519</v>
      </c>
      <c r="AC137" s="36"/>
    </row>
    <row r="138" spans="1:29" ht="16.5" thickTop="1" thickBot="1">
      <c r="A138" s="57">
        <v>3</v>
      </c>
      <c r="B138" s="57" t="s">
        <v>139</v>
      </c>
      <c r="C138" s="57" t="s">
        <v>183</v>
      </c>
      <c r="D138" s="57" t="s">
        <v>144</v>
      </c>
      <c r="E138" s="57" t="s">
        <v>129</v>
      </c>
      <c r="F138" s="57"/>
      <c r="G138" s="57"/>
      <c r="H138" s="69" t="s">
        <v>319</v>
      </c>
      <c r="I138" s="652">
        <f>+I139</f>
        <v>212500000</v>
      </c>
      <c r="J138" s="652">
        <f t="shared" si="73"/>
        <v>211140172</v>
      </c>
      <c r="K138" s="652">
        <f t="shared" si="73"/>
        <v>207806687</v>
      </c>
      <c r="L138" s="652">
        <f t="shared" si="73"/>
        <v>207555519</v>
      </c>
      <c r="M138" s="652">
        <f t="shared" si="73"/>
        <v>0</v>
      </c>
      <c r="N138" s="652">
        <f t="shared" si="73"/>
        <v>0</v>
      </c>
      <c r="O138" s="652">
        <f t="shared" si="73"/>
        <v>0</v>
      </c>
      <c r="P138" s="652">
        <f t="shared" si="73"/>
        <v>0</v>
      </c>
      <c r="Q138" s="652">
        <f t="shared" si="73"/>
        <v>0</v>
      </c>
      <c r="R138" s="652">
        <f t="shared" si="73"/>
        <v>0</v>
      </c>
      <c r="S138" s="652">
        <f t="shared" si="73"/>
        <v>0</v>
      </c>
      <c r="T138" s="652">
        <f t="shared" si="73"/>
        <v>0</v>
      </c>
      <c r="U138" s="652">
        <f t="shared" si="73"/>
        <v>0</v>
      </c>
      <c r="V138" s="652">
        <f t="shared" si="73"/>
        <v>0</v>
      </c>
      <c r="W138" s="652">
        <f t="shared" si="73"/>
        <v>0</v>
      </c>
      <c r="X138" s="652">
        <f t="shared" si="73"/>
        <v>0</v>
      </c>
      <c r="Y138" s="652">
        <f t="shared" si="73"/>
        <v>212500000</v>
      </c>
      <c r="Z138" s="652">
        <f t="shared" si="73"/>
        <v>211140172</v>
      </c>
      <c r="AA138" s="652">
        <f t="shared" si="73"/>
        <v>207806687</v>
      </c>
      <c r="AB138" s="652">
        <f t="shared" si="73"/>
        <v>207555519</v>
      </c>
      <c r="AC138" s="36"/>
    </row>
    <row r="139" spans="1:29" ht="16.5" thickTop="1" thickBot="1">
      <c r="A139" s="42">
        <v>2</v>
      </c>
      <c r="B139" s="42" t="s">
        <v>139</v>
      </c>
      <c r="C139" s="43" t="s">
        <v>183</v>
      </c>
      <c r="D139" s="43" t="s">
        <v>144</v>
      </c>
      <c r="E139" s="43" t="s">
        <v>129</v>
      </c>
      <c r="F139" s="43" t="s">
        <v>129</v>
      </c>
      <c r="G139" s="42"/>
      <c r="H139" s="70" t="s">
        <v>320</v>
      </c>
      <c r="I139" s="646">
        <f>+I140</f>
        <v>212500000</v>
      </c>
      <c r="J139" s="646">
        <f t="shared" si="73"/>
        <v>211140172</v>
      </c>
      <c r="K139" s="646">
        <f t="shared" si="73"/>
        <v>207806687</v>
      </c>
      <c r="L139" s="646">
        <f t="shared" si="73"/>
        <v>207555519</v>
      </c>
      <c r="M139" s="646">
        <f t="shared" si="73"/>
        <v>0</v>
      </c>
      <c r="N139" s="646">
        <f t="shared" si="73"/>
        <v>0</v>
      </c>
      <c r="O139" s="646">
        <f t="shared" si="73"/>
        <v>0</v>
      </c>
      <c r="P139" s="646">
        <f t="shared" si="73"/>
        <v>0</v>
      </c>
      <c r="Q139" s="646">
        <f t="shared" si="73"/>
        <v>0</v>
      </c>
      <c r="R139" s="646">
        <f t="shared" si="73"/>
        <v>0</v>
      </c>
      <c r="S139" s="646">
        <f t="shared" si="73"/>
        <v>0</v>
      </c>
      <c r="T139" s="646">
        <f t="shared" si="73"/>
        <v>0</v>
      </c>
      <c r="U139" s="646">
        <f t="shared" si="73"/>
        <v>0</v>
      </c>
      <c r="V139" s="646">
        <f t="shared" si="73"/>
        <v>0</v>
      </c>
      <c r="W139" s="646">
        <f t="shared" si="73"/>
        <v>0</v>
      </c>
      <c r="X139" s="646">
        <f t="shared" si="73"/>
        <v>0</v>
      </c>
      <c r="Y139" s="646">
        <f t="shared" si="73"/>
        <v>212500000</v>
      </c>
      <c r="Z139" s="646">
        <f t="shared" si="73"/>
        <v>211140172</v>
      </c>
      <c r="AA139" s="646">
        <f t="shared" si="73"/>
        <v>207806687</v>
      </c>
      <c r="AB139" s="646">
        <f t="shared" si="73"/>
        <v>207555519</v>
      </c>
      <c r="AC139" s="36"/>
    </row>
    <row r="140" spans="1:29" ht="16.5" thickTop="1" thickBot="1">
      <c r="A140" s="42">
        <v>2</v>
      </c>
      <c r="B140" s="42" t="s">
        <v>139</v>
      </c>
      <c r="C140" s="43" t="s">
        <v>183</v>
      </c>
      <c r="D140" s="43" t="s">
        <v>144</v>
      </c>
      <c r="E140" s="43" t="s">
        <v>129</v>
      </c>
      <c r="F140" s="43" t="s">
        <v>129</v>
      </c>
      <c r="G140" s="43" t="s">
        <v>129</v>
      </c>
      <c r="H140" s="70" t="s">
        <v>321</v>
      </c>
      <c r="I140" s="646">
        <v>212500000</v>
      </c>
      <c r="J140" s="646">
        <v>211140172</v>
      </c>
      <c r="K140" s="646">
        <v>207806687</v>
      </c>
      <c r="L140" s="646">
        <v>207555519</v>
      </c>
      <c r="M140" s="646"/>
      <c r="N140" s="646"/>
      <c r="O140" s="646"/>
      <c r="P140" s="646"/>
      <c r="Q140" s="646"/>
      <c r="R140" s="646"/>
      <c r="S140" s="646"/>
      <c r="T140" s="646"/>
      <c r="U140" s="646"/>
      <c r="V140" s="646"/>
      <c r="W140" s="646"/>
      <c r="X140" s="646"/>
      <c r="Y140" s="646">
        <f t="shared" ref="Y140:AB140" si="74">+I140+M140+Q140+U140</f>
        <v>212500000</v>
      </c>
      <c r="Z140" s="646">
        <f t="shared" si="74"/>
        <v>211140172</v>
      </c>
      <c r="AA140" s="646">
        <f t="shared" si="74"/>
        <v>207806687</v>
      </c>
      <c r="AB140" s="646">
        <f t="shared" si="74"/>
        <v>207555519</v>
      </c>
      <c r="AC140" s="36"/>
    </row>
    <row r="141" spans="1:29" ht="16.5" thickTop="1" thickBot="1">
      <c r="A141" s="57">
        <v>2</v>
      </c>
      <c r="B141" s="57" t="s">
        <v>139</v>
      </c>
      <c r="C141" s="57" t="s">
        <v>183</v>
      </c>
      <c r="D141" s="57" t="s">
        <v>145</v>
      </c>
      <c r="E141" s="57"/>
      <c r="F141" s="57"/>
      <c r="G141" s="57"/>
      <c r="H141" s="69" t="s">
        <v>1328</v>
      </c>
      <c r="I141" s="652">
        <f>+I142</f>
        <v>736500000</v>
      </c>
      <c r="J141" s="652">
        <f t="shared" ref="J141:AB143" si="75">+J142</f>
        <v>735078520</v>
      </c>
      <c r="K141" s="652">
        <f t="shared" si="75"/>
        <v>679719104</v>
      </c>
      <c r="L141" s="652">
        <f t="shared" si="75"/>
        <v>631475588</v>
      </c>
      <c r="M141" s="652">
        <f t="shared" si="75"/>
        <v>0</v>
      </c>
      <c r="N141" s="652">
        <f t="shared" si="75"/>
        <v>0</v>
      </c>
      <c r="O141" s="652">
        <f t="shared" si="75"/>
        <v>0</v>
      </c>
      <c r="P141" s="652">
        <f t="shared" si="75"/>
        <v>0</v>
      </c>
      <c r="Q141" s="652">
        <f t="shared" si="75"/>
        <v>0</v>
      </c>
      <c r="R141" s="652">
        <f t="shared" si="75"/>
        <v>0</v>
      </c>
      <c r="S141" s="652">
        <f t="shared" si="75"/>
        <v>0</v>
      </c>
      <c r="T141" s="652">
        <f t="shared" si="75"/>
        <v>0</v>
      </c>
      <c r="U141" s="652">
        <f t="shared" si="75"/>
        <v>0</v>
      </c>
      <c r="V141" s="652">
        <f t="shared" si="75"/>
        <v>0</v>
      </c>
      <c r="W141" s="652">
        <f t="shared" si="75"/>
        <v>0</v>
      </c>
      <c r="X141" s="652">
        <f t="shared" si="75"/>
        <v>0</v>
      </c>
      <c r="Y141" s="652">
        <f t="shared" si="75"/>
        <v>736500000</v>
      </c>
      <c r="Z141" s="652">
        <f t="shared" si="75"/>
        <v>735078520</v>
      </c>
      <c r="AA141" s="652">
        <f t="shared" si="75"/>
        <v>679719104</v>
      </c>
      <c r="AB141" s="652">
        <f t="shared" si="75"/>
        <v>631475588</v>
      </c>
      <c r="AC141" s="36"/>
    </row>
    <row r="142" spans="1:29" ht="16.5" thickTop="1" thickBot="1">
      <c r="A142" s="57">
        <v>3</v>
      </c>
      <c r="B142" s="57" t="s">
        <v>139</v>
      </c>
      <c r="C142" s="57" t="s">
        <v>183</v>
      </c>
      <c r="D142" s="57" t="s">
        <v>145</v>
      </c>
      <c r="E142" s="57" t="s">
        <v>129</v>
      </c>
      <c r="F142" s="57"/>
      <c r="G142" s="57"/>
      <c r="H142" s="69" t="s">
        <v>319</v>
      </c>
      <c r="I142" s="652">
        <f>+I143</f>
        <v>736500000</v>
      </c>
      <c r="J142" s="652">
        <f t="shared" si="75"/>
        <v>735078520</v>
      </c>
      <c r="K142" s="652">
        <f t="shared" si="75"/>
        <v>679719104</v>
      </c>
      <c r="L142" s="652">
        <f t="shared" si="75"/>
        <v>631475588</v>
      </c>
      <c r="M142" s="652">
        <f t="shared" si="75"/>
        <v>0</v>
      </c>
      <c r="N142" s="652">
        <f t="shared" si="75"/>
        <v>0</v>
      </c>
      <c r="O142" s="652">
        <f t="shared" si="75"/>
        <v>0</v>
      </c>
      <c r="P142" s="652">
        <f t="shared" si="75"/>
        <v>0</v>
      </c>
      <c r="Q142" s="652">
        <f t="shared" si="75"/>
        <v>0</v>
      </c>
      <c r="R142" s="652">
        <f t="shared" si="75"/>
        <v>0</v>
      </c>
      <c r="S142" s="652">
        <f t="shared" si="75"/>
        <v>0</v>
      </c>
      <c r="T142" s="652">
        <f t="shared" si="75"/>
        <v>0</v>
      </c>
      <c r="U142" s="652">
        <f t="shared" si="75"/>
        <v>0</v>
      </c>
      <c r="V142" s="652">
        <f t="shared" si="75"/>
        <v>0</v>
      </c>
      <c r="W142" s="652">
        <f t="shared" si="75"/>
        <v>0</v>
      </c>
      <c r="X142" s="652">
        <f t="shared" si="75"/>
        <v>0</v>
      </c>
      <c r="Y142" s="652">
        <f t="shared" si="75"/>
        <v>736500000</v>
      </c>
      <c r="Z142" s="652">
        <f t="shared" si="75"/>
        <v>735078520</v>
      </c>
      <c r="AA142" s="652">
        <f t="shared" si="75"/>
        <v>679719104</v>
      </c>
      <c r="AB142" s="652">
        <f t="shared" si="75"/>
        <v>631475588</v>
      </c>
      <c r="AC142" s="36"/>
    </row>
    <row r="143" spans="1:29" ht="16.5" thickTop="1" thickBot="1">
      <c r="A143" s="42">
        <v>2</v>
      </c>
      <c r="B143" s="42" t="s">
        <v>139</v>
      </c>
      <c r="C143" s="43" t="s">
        <v>183</v>
      </c>
      <c r="D143" s="43" t="s">
        <v>145</v>
      </c>
      <c r="E143" s="43" t="s">
        <v>129</v>
      </c>
      <c r="F143" s="43" t="s">
        <v>129</v>
      </c>
      <c r="G143" s="42"/>
      <c r="H143" s="70" t="s">
        <v>320</v>
      </c>
      <c r="I143" s="646">
        <f>+I144</f>
        <v>736500000</v>
      </c>
      <c r="J143" s="646">
        <f t="shared" si="75"/>
        <v>735078520</v>
      </c>
      <c r="K143" s="646">
        <f t="shared" si="75"/>
        <v>679719104</v>
      </c>
      <c r="L143" s="646">
        <f t="shared" si="75"/>
        <v>631475588</v>
      </c>
      <c r="M143" s="646">
        <f t="shared" si="75"/>
        <v>0</v>
      </c>
      <c r="N143" s="646">
        <f t="shared" si="75"/>
        <v>0</v>
      </c>
      <c r="O143" s="646">
        <f t="shared" si="75"/>
        <v>0</v>
      </c>
      <c r="P143" s="646">
        <f t="shared" si="75"/>
        <v>0</v>
      </c>
      <c r="Q143" s="646">
        <f t="shared" si="75"/>
        <v>0</v>
      </c>
      <c r="R143" s="646">
        <f t="shared" si="75"/>
        <v>0</v>
      </c>
      <c r="S143" s="646">
        <f t="shared" si="75"/>
        <v>0</v>
      </c>
      <c r="T143" s="646">
        <f t="shared" si="75"/>
        <v>0</v>
      </c>
      <c r="U143" s="646">
        <f t="shared" si="75"/>
        <v>0</v>
      </c>
      <c r="V143" s="646">
        <f t="shared" si="75"/>
        <v>0</v>
      </c>
      <c r="W143" s="646">
        <f t="shared" si="75"/>
        <v>0</v>
      </c>
      <c r="X143" s="646">
        <f t="shared" si="75"/>
        <v>0</v>
      </c>
      <c r="Y143" s="646">
        <f t="shared" si="75"/>
        <v>736500000</v>
      </c>
      <c r="Z143" s="646">
        <f t="shared" si="75"/>
        <v>735078520</v>
      </c>
      <c r="AA143" s="646">
        <f t="shared" si="75"/>
        <v>679719104</v>
      </c>
      <c r="AB143" s="646">
        <f t="shared" si="75"/>
        <v>631475588</v>
      </c>
      <c r="AC143" s="36"/>
    </row>
    <row r="144" spans="1:29" ht="16.5" thickTop="1" thickBot="1">
      <c r="A144" s="42">
        <v>2</v>
      </c>
      <c r="B144" s="42" t="s">
        <v>139</v>
      </c>
      <c r="C144" s="43" t="s">
        <v>183</v>
      </c>
      <c r="D144" s="43" t="s">
        <v>145</v>
      </c>
      <c r="E144" s="43" t="s">
        <v>129</v>
      </c>
      <c r="F144" s="43" t="s">
        <v>129</v>
      </c>
      <c r="G144" s="43" t="s">
        <v>129</v>
      </c>
      <c r="H144" s="70" t="s">
        <v>321</v>
      </c>
      <c r="I144" s="646">
        <v>736500000</v>
      </c>
      <c r="J144" s="646">
        <v>735078520</v>
      </c>
      <c r="K144" s="646">
        <v>679719104</v>
      </c>
      <c r="L144" s="646">
        <v>631475588</v>
      </c>
      <c r="M144" s="646"/>
      <c r="N144" s="646"/>
      <c r="O144" s="646"/>
      <c r="P144" s="646"/>
      <c r="Q144" s="646"/>
      <c r="R144" s="646"/>
      <c r="S144" s="646"/>
      <c r="T144" s="646"/>
      <c r="U144" s="646"/>
      <c r="V144" s="646"/>
      <c r="W144" s="646"/>
      <c r="X144" s="646"/>
      <c r="Y144" s="646">
        <f t="shared" ref="Y144:AB144" si="76">+I144+M144+Q144+U144</f>
        <v>736500000</v>
      </c>
      <c r="Z144" s="646">
        <f t="shared" si="76"/>
        <v>735078520</v>
      </c>
      <c r="AA144" s="646">
        <f t="shared" si="76"/>
        <v>679719104</v>
      </c>
      <c r="AB144" s="646">
        <f t="shared" si="76"/>
        <v>631475588</v>
      </c>
      <c r="AC144" s="36"/>
    </row>
    <row r="145" spans="1:29" ht="16.5" thickTop="1" thickBot="1">
      <c r="A145" s="57">
        <v>2</v>
      </c>
      <c r="B145" s="57" t="s">
        <v>139</v>
      </c>
      <c r="C145" s="57" t="s">
        <v>183</v>
      </c>
      <c r="D145" s="57" t="s">
        <v>146</v>
      </c>
      <c r="E145" s="57"/>
      <c r="F145" s="57"/>
      <c r="G145" s="57"/>
      <c r="H145" s="69" t="s">
        <v>1329</v>
      </c>
      <c r="I145" s="652">
        <f>+I146</f>
        <v>410000000</v>
      </c>
      <c r="J145" s="652">
        <f t="shared" ref="J145:AB147" si="77">+J146</f>
        <v>406467635</v>
      </c>
      <c r="K145" s="652">
        <f t="shared" si="77"/>
        <v>362624430</v>
      </c>
      <c r="L145" s="652">
        <f t="shared" si="77"/>
        <v>352801879</v>
      </c>
      <c r="M145" s="652">
        <f t="shared" si="77"/>
        <v>0</v>
      </c>
      <c r="N145" s="652">
        <f t="shared" si="77"/>
        <v>0</v>
      </c>
      <c r="O145" s="652">
        <f t="shared" si="77"/>
        <v>0</v>
      </c>
      <c r="P145" s="652">
        <f t="shared" si="77"/>
        <v>0</v>
      </c>
      <c r="Q145" s="652">
        <f t="shared" si="77"/>
        <v>0</v>
      </c>
      <c r="R145" s="652">
        <f t="shared" si="77"/>
        <v>0</v>
      </c>
      <c r="S145" s="652">
        <f t="shared" si="77"/>
        <v>0</v>
      </c>
      <c r="T145" s="652">
        <f t="shared" si="77"/>
        <v>0</v>
      </c>
      <c r="U145" s="652">
        <f t="shared" si="77"/>
        <v>0</v>
      </c>
      <c r="V145" s="652">
        <f t="shared" si="77"/>
        <v>0</v>
      </c>
      <c r="W145" s="652">
        <f t="shared" si="77"/>
        <v>0</v>
      </c>
      <c r="X145" s="652">
        <f t="shared" si="77"/>
        <v>0</v>
      </c>
      <c r="Y145" s="652">
        <f t="shared" si="77"/>
        <v>410000000</v>
      </c>
      <c r="Z145" s="652">
        <f t="shared" si="77"/>
        <v>406467635</v>
      </c>
      <c r="AA145" s="652">
        <f t="shared" si="77"/>
        <v>362624430</v>
      </c>
      <c r="AB145" s="652">
        <f t="shared" si="77"/>
        <v>352801879</v>
      </c>
      <c r="AC145" s="36"/>
    </row>
    <row r="146" spans="1:29" ht="16.5" thickTop="1" thickBot="1">
      <c r="A146" s="57">
        <v>3</v>
      </c>
      <c r="B146" s="57" t="s">
        <v>139</v>
      </c>
      <c r="C146" s="57" t="s">
        <v>183</v>
      </c>
      <c r="D146" s="57" t="s">
        <v>146</v>
      </c>
      <c r="E146" s="57" t="s">
        <v>129</v>
      </c>
      <c r="F146" s="57"/>
      <c r="G146" s="57"/>
      <c r="H146" s="69" t="s">
        <v>319</v>
      </c>
      <c r="I146" s="652">
        <f>+I147</f>
        <v>410000000</v>
      </c>
      <c r="J146" s="652">
        <f t="shared" si="77"/>
        <v>406467635</v>
      </c>
      <c r="K146" s="652">
        <f t="shared" si="77"/>
        <v>362624430</v>
      </c>
      <c r="L146" s="652">
        <f t="shared" si="77"/>
        <v>352801879</v>
      </c>
      <c r="M146" s="652">
        <f t="shared" si="77"/>
        <v>0</v>
      </c>
      <c r="N146" s="652">
        <f t="shared" si="77"/>
        <v>0</v>
      </c>
      <c r="O146" s="652">
        <f t="shared" si="77"/>
        <v>0</v>
      </c>
      <c r="P146" s="652">
        <f t="shared" si="77"/>
        <v>0</v>
      </c>
      <c r="Q146" s="652">
        <f t="shared" si="77"/>
        <v>0</v>
      </c>
      <c r="R146" s="652">
        <f t="shared" si="77"/>
        <v>0</v>
      </c>
      <c r="S146" s="652">
        <f t="shared" si="77"/>
        <v>0</v>
      </c>
      <c r="T146" s="652">
        <f t="shared" si="77"/>
        <v>0</v>
      </c>
      <c r="U146" s="652">
        <f t="shared" si="77"/>
        <v>0</v>
      </c>
      <c r="V146" s="652">
        <f t="shared" si="77"/>
        <v>0</v>
      </c>
      <c r="W146" s="652">
        <f t="shared" si="77"/>
        <v>0</v>
      </c>
      <c r="X146" s="652">
        <f t="shared" si="77"/>
        <v>0</v>
      </c>
      <c r="Y146" s="652">
        <f t="shared" si="77"/>
        <v>410000000</v>
      </c>
      <c r="Z146" s="652">
        <f t="shared" si="77"/>
        <v>406467635</v>
      </c>
      <c r="AA146" s="652">
        <f t="shared" si="77"/>
        <v>362624430</v>
      </c>
      <c r="AB146" s="652">
        <f t="shared" si="77"/>
        <v>352801879</v>
      </c>
      <c r="AC146" s="36"/>
    </row>
    <row r="147" spans="1:29" ht="16.5" thickTop="1" thickBot="1">
      <c r="A147" s="42">
        <v>2</v>
      </c>
      <c r="B147" s="42" t="s">
        <v>139</v>
      </c>
      <c r="C147" s="43" t="s">
        <v>183</v>
      </c>
      <c r="D147" s="43" t="s">
        <v>146</v>
      </c>
      <c r="E147" s="43" t="s">
        <v>129</v>
      </c>
      <c r="F147" s="43" t="s">
        <v>129</v>
      </c>
      <c r="G147" s="42"/>
      <c r="H147" s="70" t="s">
        <v>320</v>
      </c>
      <c r="I147" s="646">
        <f>+I148</f>
        <v>410000000</v>
      </c>
      <c r="J147" s="646">
        <f t="shared" si="77"/>
        <v>406467635</v>
      </c>
      <c r="K147" s="646">
        <f t="shared" si="77"/>
        <v>362624430</v>
      </c>
      <c r="L147" s="646">
        <f t="shared" si="77"/>
        <v>352801879</v>
      </c>
      <c r="M147" s="646">
        <f t="shared" si="77"/>
        <v>0</v>
      </c>
      <c r="N147" s="646">
        <f t="shared" si="77"/>
        <v>0</v>
      </c>
      <c r="O147" s="646">
        <f t="shared" si="77"/>
        <v>0</v>
      </c>
      <c r="P147" s="646">
        <f t="shared" si="77"/>
        <v>0</v>
      </c>
      <c r="Q147" s="646">
        <f t="shared" si="77"/>
        <v>0</v>
      </c>
      <c r="R147" s="646">
        <f t="shared" si="77"/>
        <v>0</v>
      </c>
      <c r="S147" s="646">
        <f t="shared" si="77"/>
        <v>0</v>
      </c>
      <c r="T147" s="646">
        <f t="shared" si="77"/>
        <v>0</v>
      </c>
      <c r="U147" s="646">
        <f t="shared" si="77"/>
        <v>0</v>
      </c>
      <c r="V147" s="646">
        <f t="shared" si="77"/>
        <v>0</v>
      </c>
      <c r="W147" s="646">
        <f t="shared" si="77"/>
        <v>0</v>
      </c>
      <c r="X147" s="646">
        <f t="shared" si="77"/>
        <v>0</v>
      </c>
      <c r="Y147" s="646">
        <f t="shared" si="77"/>
        <v>410000000</v>
      </c>
      <c r="Z147" s="646">
        <f t="shared" si="77"/>
        <v>406467635</v>
      </c>
      <c r="AA147" s="646">
        <f t="shared" si="77"/>
        <v>362624430</v>
      </c>
      <c r="AB147" s="646">
        <f t="shared" si="77"/>
        <v>352801879</v>
      </c>
      <c r="AC147" s="36"/>
    </row>
    <row r="148" spans="1:29" ht="16.5" thickTop="1" thickBot="1">
      <c r="A148" s="42">
        <v>2</v>
      </c>
      <c r="B148" s="42" t="s">
        <v>139</v>
      </c>
      <c r="C148" s="43" t="s">
        <v>183</v>
      </c>
      <c r="D148" s="43" t="s">
        <v>146</v>
      </c>
      <c r="E148" s="43" t="s">
        <v>129</v>
      </c>
      <c r="F148" s="43" t="s">
        <v>129</v>
      </c>
      <c r="G148" s="43" t="s">
        <v>129</v>
      </c>
      <c r="H148" s="70" t="s">
        <v>321</v>
      </c>
      <c r="I148" s="646">
        <v>410000000</v>
      </c>
      <c r="J148" s="646">
        <v>406467635</v>
      </c>
      <c r="K148" s="646">
        <v>362624430</v>
      </c>
      <c r="L148" s="646">
        <v>352801879</v>
      </c>
      <c r="M148" s="646"/>
      <c r="N148" s="646"/>
      <c r="O148" s="646"/>
      <c r="P148" s="646"/>
      <c r="Q148" s="646"/>
      <c r="R148" s="646"/>
      <c r="S148" s="646"/>
      <c r="T148" s="646"/>
      <c r="U148" s="646"/>
      <c r="V148" s="646"/>
      <c r="W148" s="646"/>
      <c r="X148" s="646"/>
      <c r="Y148" s="646">
        <f t="shared" ref="Y148:AB148" si="78">+I148+M148+Q148+U148</f>
        <v>410000000</v>
      </c>
      <c r="Z148" s="646">
        <f t="shared" si="78"/>
        <v>406467635</v>
      </c>
      <c r="AA148" s="646">
        <f t="shared" si="78"/>
        <v>362624430</v>
      </c>
      <c r="AB148" s="646">
        <f t="shared" si="78"/>
        <v>352801879</v>
      </c>
      <c r="AC148" s="36"/>
    </row>
    <row r="149" spans="1:29" ht="16.5" thickTop="1" thickBot="1">
      <c r="A149" s="57">
        <v>2</v>
      </c>
      <c r="B149" s="57" t="s">
        <v>139</v>
      </c>
      <c r="C149" s="57" t="s">
        <v>183</v>
      </c>
      <c r="D149" s="57" t="s">
        <v>147</v>
      </c>
      <c r="E149" s="57"/>
      <c r="F149" s="57"/>
      <c r="G149" s="57"/>
      <c r="H149" s="69" t="s">
        <v>1330</v>
      </c>
      <c r="I149" s="652">
        <f>+I150</f>
        <v>720000000</v>
      </c>
      <c r="J149" s="652">
        <f t="shared" ref="J149:AB151" si="79">+J150</f>
        <v>714962042</v>
      </c>
      <c r="K149" s="652">
        <f t="shared" si="79"/>
        <v>684579237</v>
      </c>
      <c r="L149" s="652">
        <f t="shared" si="79"/>
        <v>676601557</v>
      </c>
      <c r="M149" s="652">
        <f t="shared" si="79"/>
        <v>0</v>
      </c>
      <c r="N149" s="652">
        <f t="shared" si="79"/>
        <v>0</v>
      </c>
      <c r="O149" s="652">
        <f t="shared" si="79"/>
        <v>0</v>
      </c>
      <c r="P149" s="652">
        <f t="shared" si="79"/>
        <v>0</v>
      </c>
      <c r="Q149" s="652">
        <f t="shared" si="79"/>
        <v>0</v>
      </c>
      <c r="R149" s="652">
        <f t="shared" si="79"/>
        <v>0</v>
      </c>
      <c r="S149" s="652">
        <f t="shared" si="79"/>
        <v>0</v>
      </c>
      <c r="T149" s="652">
        <f t="shared" si="79"/>
        <v>0</v>
      </c>
      <c r="U149" s="652">
        <f t="shared" si="79"/>
        <v>0</v>
      </c>
      <c r="V149" s="652">
        <f t="shared" si="79"/>
        <v>0</v>
      </c>
      <c r="W149" s="652">
        <f t="shared" si="79"/>
        <v>0</v>
      </c>
      <c r="X149" s="652">
        <f t="shared" si="79"/>
        <v>0</v>
      </c>
      <c r="Y149" s="652">
        <f t="shared" si="79"/>
        <v>720000000</v>
      </c>
      <c r="Z149" s="652">
        <f t="shared" si="79"/>
        <v>714962042</v>
      </c>
      <c r="AA149" s="652">
        <f t="shared" si="79"/>
        <v>684579237</v>
      </c>
      <c r="AB149" s="652">
        <f t="shared" si="79"/>
        <v>676601557</v>
      </c>
      <c r="AC149" s="36"/>
    </row>
    <row r="150" spans="1:29" ht="16.5" thickTop="1" thickBot="1">
      <c r="A150" s="57">
        <v>3</v>
      </c>
      <c r="B150" s="57" t="s">
        <v>139</v>
      </c>
      <c r="C150" s="57" t="s">
        <v>183</v>
      </c>
      <c r="D150" s="57" t="s">
        <v>147</v>
      </c>
      <c r="E150" s="57" t="s">
        <v>129</v>
      </c>
      <c r="F150" s="57"/>
      <c r="G150" s="57"/>
      <c r="H150" s="69" t="s">
        <v>319</v>
      </c>
      <c r="I150" s="652">
        <f>+I151</f>
        <v>720000000</v>
      </c>
      <c r="J150" s="652">
        <f t="shared" si="79"/>
        <v>714962042</v>
      </c>
      <c r="K150" s="652">
        <f t="shared" si="79"/>
        <v>684579237</v>
      </c>
      <c r="L150" s="652">
        <f t="shared" si="79"/>
        <v>676601557</v>
      </c>
      <c r="M150" s="652">
        <f t="shared" si="79"/>
        <v>0</v>
      </c>
      <c r="N150" s="652">
        <f t="shared" si="79"/>
        <v>0</v>
      </c>
      <c r="O150" s="652">
        <f t="shared" si="79"/>
        <v>0</v>
      </c>
      <c r="P150" s="652">
        <f t="shared" si="79"/>
        <v>0</v>
      </c>
      <c r="Q150" s="652">
        <f t="shared" si="79"/>
        <v>0</v>
      </c>
      <c r="R150" s="652">
        <f t="shared" si="79"/>
        <v>0</v>
      </c>
      <c r="S150" s="652">
        <f t="shared" si="79"/>
        <v>0</v>
      </c>
      <c r="T150" s="652">
        <f t="shared" si="79"/>
        <v>0</v>
      </c>
      <c r="U150" s="652">
        <f t="shared" si="79"/>
        <v>0</v>
      </c>
      <c r="V150" s="652">
        <f t="shared" si="79"/>
        <v>0</v>
      </c>
      <c r="W150" s="652">
        <f t="shared" si="79"/>
        <v>0</v>
      </c>
      <c r="X150" s="652">
        <f t="shared" si="79"/>
        <v>0</v>
      </c>
      <c r="Y150" s="652">
        <f t="shared" si="79"/>
        <v>720000000</v>
      </c>
      <c r="Z150" s="652">
        <f t="shared" si="79"/>
        <v>714962042</v>
      </c>
      <c r="AA150" s="652">
        <f t="shared" si="79"/>
        <v>684579237</v>
      </c>
      <c r="AB150" s="652">
        <f t="shared" si="79"/>
        <v>676601557</v>
      </c>
      <c r="AC150" s="36"/>
    </row>
    <row r="151" spans="1:29" ht="16.5" thickTop="1" thickBot="1">
      <c r="A151" s="42">
        <v>2</v>
      </c>
      <c r="B151" s="42" t="s">
        <v>139</v>
      </c>
      <c r="C151" s="43" t="s">
        <v>183</v>
      </c>
      <c r="D151" s="43" t="s">
        <v>147</v>
      </c>
      <c r="E151" s="43" t="s">
        <v>129</v>
      </c>
      <c r="F151" s="43" t="s">
        <v>129</v>
      </c>
      <c r="G151" s="42"/>
      <c r="H151" s="70" t="s">
        <v>320</v>
      </c>
      <c r="I151" s="646">
        <f>+I152</f>
        <v>720000000</v>
      </c>
      <c r="J151" s="646">
        <f t="shared" si="79"/>
        <v>714962042</v>
      </c>
      <c r="K151" s="646">
        <f t="shared" si="79"/>
        <v>684579237</v>
      </c>
      <c r="L151" s="646">
        <f t="shared" si="79"/>
        <v>676601557</v>
      </c>
      <c r="M151" s="646">
        <f t="shared" si="79"/>
        <v>0</v>
      </c>
      <c r="N151" s="646">
        <f t="shared" si="79"/>
        <v>0</v>
      </c>
      <c r="O151" s="646">
        <f t="shared" si="79"/>
        <v>0</v>
      </c>
      <c r="P151" s="646">
        <f t="shared" si="79"/>
        <v>0</v>
      </c>
      <c r="Q151" s="646">
        <f t="shared" si="79"/>
        <v>0</v>
      </c>
      <c r="R151" s="646">
        <f t="shared" si="79"/>
        <v>0</v>
      </c>
      <c r="S151" s="646">
        <f t="shared" si="79"/>
        <v>0</v>
      </c>
      <c r="T151" s="646">
        <f t="shared" si="79"/>
        <v>0</v>
      </c>
      <c r="U151" s="646">
        <f t="shared" si="79"/>
        <v>0</v>
      </c>
      <c r="V151" s="646">
        <f t="shared" si="79"/>
        <v>0</v>
      </c>
      <c r="W151" s="646">
        <f t="shared" si="79"/>
        <v>0</v>
      </c>
      <c r="X151" s="646">
        <f t="shared" si="79"/>
        <v>0</v>
      </c>
      <c r="Y151" s="646">
        <f t="shared" si="79"/>
        <v>720000000</v>
      </c>
      <c r="Z151" s="646">
        <f t="shared" si="79"/>
        <v>714962042</v>
      </c>
      <c r="AA151" s="646">
        <f t="shared" si="79"/>
        <v>684579237</v>
      </c>
      <c r="AB151" s="646">
        <f t="shared" si="79"/>
        <v>676601557</v>
      </c>
      <c r="AC151" s="36"/>
    </row>
    <row r="152" spans="1:29" ht="16.5" thickTop="1" thickBot="1">
      <c r="A152" s="42">
        <v>2</v>
      </c>
      <c r="B152" s="42" t="s">
        <v>139</v>
      </c>
      <c r="C152" s="43" t="s">
        <v>183</v>
      </c>
      <c r="D152" s="43" t="s">
        <v>147</v>
      </c>
      <c r="E152" s="43" t="s">
        <v>129</v>
      </c>
      <c r="F152" s="43" t="s">
        <v>129</v>
      </c>
      <c r="G152" s="43" t="s">
        <v>129</v>
      </c>
      <c r="H152" s="70" t="s">
        <v>321</v>
      </c>
      <c r="I152" s="646">
        <v>720000000</v>
      </c>
      <c r="J152" s="646">
        <v>714962042</v>
      </c>
      <c r="K152" s="646">
        <v>684579237</v>
      </c>
      <c r="L152" s="646">
        <v>676601557</v>
      </c>
      <c r="M152" s="646"/>
      <c r="N152" s="646"/>
      <c r="O152" s="646"/>
      <c r="P152" s="646"/>
      <c r="Q152" s="646"/>
      <c r="R152" s="646"/>
      <c r="S152" s="646"/>
      <c r="T152" s="646"/>
      <c r="U152" s="646"/>
      <c r="V152" s="646"/>
      <c r="W152" s="646"/>
      <c r="X152" s="646"/>
      <c r="Y152" s="646">
        <f t="shared" ref="Y152:AB152" si="80">+I152+M152+Q152+U152</f>
        <v>720000000</v>
      </c>
      <c r="Z152" s="646">
        <f t="shared" si="80"/>
        <v>714962042</v>
      </c>
      <c r="AA152" s="646">
        <f t="shared" si="80"/>
        <v>684579237</v>
      </c>
      <c r="AB152" s="646">
        <f t="shared" si="80"/>
        <v>676601557</v>
      </c>
      <c r="AC152" s="36"/>
    </row>
    <row r="153" spans="1:29" ht="16.5" thickTop="1" thickBot="1">
      <c r="A153" s="57">
        <v>2</v>
      </c>
      <c r="B153" s="57" t="s">
        <v>139</v>
      </c>
      <c r="C153" s="57" t="s">
        <v>183</v>
      </c>
      <c r="D153" s="57" t="s">
        <v>180</v>
      </c>
      <c r="E153" s="57"/>
      <c r="F153" s="57"/>
      <c r="G153" s="57"/>
      <c r="H153" s="69" t="s">
        <v>1331</v>
      </c>
      <c r="I153" s="652">
        <f>+I154</f>
        <v>705000000</v>
      </c>
      <c r="J153" s="652">
        <f t="shared" ref="J153:AB155" si="81">+J154</f>
        <v>704630138</v>
      </c>
      <c r="K153" s="652">
        <f t="shared" si="81"/>
        <v>693090185</v>
      </c>
      <c r="L153" s="652">
        <f t="shared" si="81"/>
        <v>691084432</v>
      </c>
      <c r="M153" s="652">
        <f t="shared" si="81"/>
        <v>0</v>
      </c>
      <c r="N153" s="652">
        <f t="shared" si="81"/>
        <v>0</v>
      </c>
      <c r="O153" s="652">
        <f t="shared" si="81"/>
        <v>0</v>
      </c>
      <c r="P153" s="652">
        <f t="shared" si="81"/>
        <v>0</v>
      </c>
      <c r="Q153" s="652">
        <f t="shared" si="81"/>
        <v>0</v>
      </c>
      <c r="R153" s="652">
        <f t="shared" si="81"/>
        <v>0</v>
      </c>
      <c r="S153" s="652">
        <f t="shared" si="81"/>
        <v>0</v>
      </c>
      <c r="T153" s="652">
        <f t="shared" si="81"/>
        <v>0</v>
      </c>
      <c r="U153" s="652">
        <f t="shared" si="81"/>
        <v>0</v>
      </c>
      <c r="V153" s="652">
        <f t="shared" si="81"/>
        <v>0</v>
      </c>
      <c r="W153" s="652">
        <f t="shared" si="81"/>
        <v>0</v>
      </c>
      <c r="X153" s="652">
        <f t="shared" si="81"/>
        <v>0</v>
      </c>
      <c r="Y153" s="652">
        <f t="shared" si="81"/>
        <v>705000000</v>
      </c>
      <c r="Z153" s="652">
        <f t="shared" si="81"/>
        <v>704630138</v>
      </c>
      <c r="AA153" s="652">
        <f t="shared" si="81"/>
        <v>693090185</v>
      </c>
      <c r="AB153" s="652">
        <f t="shared" si="81"/>
        <v>691084432</v>
      </c>
      <c r="AC153" s="36"/>
    </row>
    <row r="154" spans="1:29" ht="16.5" thickTop="1" thickBot="1">
      <c r="A154" s="57">
        <v>3</v>
      </c>
      <c r="B154" s="57" t="s">
        <v>139</v>
      </c>
      <c r="C154" s="57" t="s">
        <v>183</v>
      </c>
      <c r="D154" s="57" t="s">
        <v>180</v>
      </c>
      <c r="E154" s="57" t="s">
        <v>129</v>
      </c>
      <c r="F154" s="57"/>
      <c r="G154" s="57"/>
      <c r="H154" s="69" t="s">
        <v>319</v>
      </c>
      <c r="I154" s="652">
        <f>+I155</f>
        <v>705000000</v>
      </c>
      <c r="J154" s="652">
        <f t="shared" si="81"/>
        <v>704630138</v>
      </c>
      <c r="K154" s="652">
        <f t="shared" si="81"/>
        <v>693090185</v>
      </c>
      <c r="L154" s="652">
        <f t="shared" si="81"/>
        <v>691084432</v>
      </c>
      <c r="M154" s="652">
        <f t="shared" si="81"/>
        <v>0</v>
      </c>
      <c r="N154" s="652">
        <f t="shared" si="81"/>
        <v>0</v>
      </c>
      <c r="O154" s="652">
        <f t="shared" si="81"/>
        <v>0</v>
      </c>
      <c r="P154" s="652">
        <f t="shared" si="81"/>
        <v>0</v>
      </c>
      <c r="Q154" s="652">
        <f t="shared" si="81"/>
        <v>0</v>
      </c>
      <c r="R154" s="652">
        <f t="shared" si="81"/>
        <v>0</v>
      </c>
      <c r="S154" s="652">
        <f t="shared" si="81"/>
        <v>0</v>
      </c>
      <c r="T154" s="652">
        <f t="shared" si="81"/>
        <v>0</v>
      </c>
      <c r="U154" s="652">
        <f t="shared" si="81"/>
        <v>0</v>
      </c>
      <c r="V154" s="652">
        <f t="shared" si="81"/>
        <v>0</v>
      </c>
      <c r="W154" s="652">
        <f t="shared" si="81"/>
        <v>0</v>
      </c>
      <c r="X154" s="652">
        <f t="shared" si="81"/>
        <v>0</v>
      </c>
      <c r="Y154" s="652">
        <f t="shared" si="81"/>
        <v>705000000</v>
      </c>
      <c r="Z154" s="652">
        <f t="shared" si="81"/>
        <v>704630138</v>
      </c>
      <c r="AA154" s="652">
        <f t="shared" si="81"/>
        <v>693090185</v>
      </c>
      <c r="AB154" s="652">
        <f t="shared" si="81"/>
        <v>691084432</v>
      </c>
      <c r="AC154" s="36"/>
    </row>
    <row r="155" spans="1:29" ht="16.5" thickTop="1" thickBot="1">
      <c r="A155" s="42">
        <v>2</v>
      </c>
      <c r="B155" s="42" t="s">
        <v>139</v>
      </c>
      <c r="C155" s="43" t="s">
        <v>183</v>
      </c>
      <c r="D155" s="43" t="s">
        <v>180</v>
      </c>
      <c r="E155" s="43" t="s">
        <v>129</v>
      </c>
      <c r="F155" s="43" t="s">
        <v>129</v>
      </c>
      <c r="G155" s="42"/>
      <c r="H155" s="70" t="s">
        <v>320</v>
      </c>
      <c r="I155" s="646">
        <f>+I156</f>
        <v>705000000</v>
      </c>
      <c r="J155" s="646">
        <f t="shared" si="81"/>
        <v>704630138</v>
      </c>
      <c r="K155" s="646">
        <f t="shared" si="81"/>
        <v>693090185</v>
      </c>
      <c r="L155" s="646">
        <f t="shared" si="81"/>
        <v>691084432</v>
      </c>
      <c r="M155" s="646">
        <f t="shared" si="81"/>
        <v>0</v>
      </c>
      <c r="N155" s="646">
        <f t="shared" si="81"/>
        <v>0</v>
      </c>
      <c r="O155" s="646">
        <f t="shared" si="81"/>
        <v>0</v>
      </c>
      <c r="P155" s="646">
        <f t="shared" si="81"/>
        <v>0</v>
      </c>
      <c r="Q155" s="646">
        <f t="shared" si="81"/>
        <v>0</v>
      </c>
      <c r="R155" s="646">
        <f t="shared" si="81"/>
        <v>0</v>
      </c>
      <c r="S155" s="646">
        <f t="shared" si="81"/>
        <v>0</v>
      </c>
      <c r="T155" s="646">
        <f t="shared" si="81"/>
        <v>0</v>
      </c>
      <c r="U155" s="646">
        <f t="shared" si="81"/>
        <v>0</v>
      </c>
      <c r="V155" s="646">
        <f t="shared" si="81"/>
        <v>0</v>
      </c>
      <c r="W155" s="646">
        <f t="shared" si="81"/>
        <v>0</v>
      </c>
      <c r="X155" s="646">
        <f t="shared" si="81"/>
        <v>0</v>
      </c>
      <c r="Y155" s="646">
        <f t="shared" si="81"/>
        <v>705000000</v>
      </c>
      <c r="Z155" s="646">
        <f t="shared" si="81"/>
        <v>704630138</v>
      </c>
      <c r="AA155" s="646">
        <f t="shared" si="81"/>
        <v>693090185</v>
      </c>
      <c r="AB155" s="646">
        <f t="shared" si="81"/>
        <v>691084432</v>
      </c>
      <c r="AC155" s="36"/>
    </row>
    <row r="156" spans="1:29" ht="16.5" thickTop="1" thickBot="1">
      <c r="A156" s="42">
        <v>2</v>
      </c>
      <c r="B156" s="42" t="s">
        <v>139</v>
      </c>
      <c r="C156" s="43" t="s">
        <v>183</v>
      </c>
      <c r="D156" s="43" t="s">
        <v>180</v>
      </c>
      <c r="E156" s="43" t="s">
        <v>129</v>
      </c>
      <c r="F156" s="43" t="s">
        <v>129</v>
      </c>
      <c r="G156" s="43" t="s">
        <v>129</v>
      </c>
      <c r="H156" s="70" t="s">
        <v>321</v>
      </c>
      <c r="I156" s="646">
        <v>705000000</v>
      </c>
      <c r="J156" s="646">
        <v>704630138</v>
      </c>
      <c r="K156" s="646">
        <v>693090185</v>
      </c>
      <c r="L156" s="646">
        <v>691084432</v>
      </c>
      <c r="M156" s="646"/>
      <c r="N156" s="646"/>
      <c r="O156" s="646"/>
      <c r="P156" s="646"/>
      <c r="Q156" s="646"/>
      <c r="R156" s="646"/>
      <c r="S156" s="646"/>
      <c r="T156" s="646"/>
      <c r="U156" s="646"/>
      <c r="V156" s="646"/>
      <c r="W156" s="646"/>
      <c r="X156" s="646"/>
      <c r="Y156" s="646">
        <f t="shared" ref="Y156:AB156" si="82">+I156+M156+Q156+U156</f>
        <v>705000000</v>
      </c>
      <c r="Z156" s="646">
        <f t="shared" si="82"/>
        <v>704630138</v>
      </c>
      <c r="AA156" s="646">
        <f t="shared" si="82"/>
        <v>693090185</v>
      </c>
      <c r="AB156" s="646">
        <f t="shared" si="82"/>
        <v>691084432</v>
      </c>
      <c r="AC156" s="36"/>
    </row>
    <row r="157" spans="1:29" ht="16.5" thickTop="1" thickBot="1">
      <c r="A157" s="57">
        <v>2</v>
      </c>
      <c r="B157" s="57" t="s">
        <v>139</v>
      </c>
      <c r="C157" s="57" t="s">
        <v>183</v>
      </c>
      <c r="D157" s="57">
        <v>10</v>
      </c>
      <c r="E157" s="57"/>
      <c r="F157" s="57"/>
      <c r="G157" s="57"/>
      <c r="H157" s="69" t="s">
        <v>1332</v>
      </c>
      <c r="I157" s="652">
        <f>+I158</f>
        <v>1196990838</v>
      </c>
      <c r="J157" s="652">
        <f t="shared" ref="J157:AB159" si="83">+J158</f>
        <v>1194059195</v>
      </c>
      <c r="K157" s="652">
        <f t="shared" si="83"/>
        <v>1145881108</v>
      </c>
      <c r="L157" s="652">
        <f t="shared" si="83"/>
        <v>1130892156</v>
      </c>
      <c r="M157" s="652">
        <f t="shared" si="83"/>
        <v>0</v>
      </c>
      <c r="N157" s="652">
        <f t="shared" si="83"/>
        <v>0</v>
      </c>
      <c r="O157" s="652">
        <f t="shared" si="83"/>
        <v>0</v>
      </c>
      <c r="P157" s="652">
        <f t="shared" si="83"/>
        <v>0</v>
      </c>
      <c r="Q157" s="652">
        <f t="shared" si="83"/>
        <v>0</v>
      </c>
      <c r="R157" s="652">
        <f t="shared" si="83"/>
        <v>0</v>
      </c>
      <c r="S157" s="652">
        <f t="shared" si="83"/>
        <v>0</v>
      </c>
      <c r="T157" s="652">
        <f t="shared" si="83"/>
        <v>0</v>
      </c>
      <c r="U157" s="652">
        <f t="shared" si="83"/>
        <v>0</v>
      </c>
      <c r="V157" s="652">
        <f t="shared" si="83"/>
        <v>0</v>
      </c>
      <c r="W157" s="652">
        <f t="shared" si="83"/>
        <v>0</v>
      </c>
      <c r="X157" s="652">
        <f t="shared" si="83"/>
        <v>0</v>
      </c>
      <c r="Y157" s="652">
        <f t="shared" si="83"/>
        <v>1196990838</v>
      </c>
      <c r="Z157" s="652">
        <f t="shared" si="83"/>
        <v>1194059195</v>
      </c>
      <c r="AA157" s="652">
        <f t="shared" si="83"/>
        <v>1145881108</v>
      </c>
      <c r="AB157" s="652">
        <f t="shared" si="83"/>
        <v>1130892156</v>
      </c>
      <c r="AC157" s="36"/>
    </row>
    <row r="158" spans="1:29" ht="16.5" thickTop="1" thickBot="1">
      <c r="A158" s="57">
        <v>3</v>
      </c>
      <c r="B158" s="57" t="s">
        <v>139</v>
      </c>
      <c r="C158" s="57" t="s">
        <v>183</v>
      </c>
      <c r="D158" s="57">
        <v>10</v>
      </c>
      <c r="E158" s="57" t="s">
        <v>129</v>
      </c>
      <c r="F158" s="57"/>
      <c r="G158" s="57"/>
      <c r="H158" s="69" t="s">
        <v>319</v>
      </c>
      <c r="I158" s="652">
        <f>+I159</f>
        <v>1196990838</v>
      </c>
      <c r="J158" s="652">
        <f t="shared" si="83"/>
        <v>1194059195</v>
      </c>
      <c r="K158" s="652">
        <f t="shared" si="83"/>
        <v>1145881108</v>
      </c>
      <c r="L158" s="652">
        <f t="shared" si="83"/>
        <v>1130892156</v>
      </c>
      <c r="M158" s="652">
        <f t="shared" si="83"/>
        <v>0</v>
      </c>
      <c r="N158" s="652">
        <f t="shared" si="83"/>
        <v>0</v>
      </c>
      <c r="O158" s="652">
        <f t="shared" si="83"/>
        <v>0</v>
      </c>
      <c r="P158" s="652">
        <f t="shared" si="83"/>
        <v>0</v>
      </c>
      <c r="Q158" s="652">
        <f t="shared" si="83"/>
        <v>0</v>
      </c>
      <c r="R158" s="652">
        <f t="shared" si="83"/>
        <v>0</v>
      </c>
      <c r="S158" s="652">
        <f t="shared" si="83"/>
        <v>0</v>
      </c>
      <c r="T158" s="652">
        <f t="shared" si="83"/>
        <v>0</v>
      </c>
      <c r="U158" s="652">
        <f t="shared" si="83"/>
        <v>0</v>
      </c>
      <c r="V158" s="652">
        <f t="shared" si="83"/>
        <v>0</v>
      </c>
      <c r="W158" s="652">
        <f t="shared" si="83"/>
        <v>0</v>
      </c>
      <c r="X158" s="652">
        <f t="shared" si="83"/>
        <v>0</v>
      </c>
      <c r="Y158" s="652">
        <f t="shared" si="83"/>
        <v>1196990838</v>
      </c>
      <c r="Z158" s="652">
        <f t="shared" si="83"/>
        <v>1194059195</v>
      </c>
      <c r="AA158" s="652">
        <f t="shared" si="83"/>
        <v>1145881108</v>
      </c>
      <c r="AB158" s="652">
        <f t="shared" si="83"/>
        <v>1130892156</v>
      </c>
      <c r="AC158" s="36"/>
    </row>
    <row r="159" spans="1:29" ht="16.5" thickTop="1" thickBot="1">
      <c r="A159" s="42">
        <v>2</v>
      </c>
      <c r="B159" s="42" t="s">
        <v>139</v>
      </c>
      <c r="C159" s="43" t="s">
        <v>183</v>
      </c>
      <c r="D159" s="43" t="s">
        <v>181</v>
      </c>
      <c r="E159" s="43" t="s">
        <v>129</v>
      </c>
      <c r="F159" s="43" t="s">
        <v>129</v>
      </c>
      <c r="G159" s="42"/>
      <c r="H159" s="70" t="s">
        <v>320</v>
      </c>
      <c r="I159" s="646">
        <f>+I160</f>
        <v>1196990838</v>
      </c>
      <c r="J159" s="646">
        <f t="shared" si="83"/>
        <v>1194059195</v>
      </c>
      <c r="K159" s="646">
        <f t="shared" si="83"/>
        <v>1145881108</v>
      </c>
      <c r="L159" s="646">
        <f t="shared" si="83"/>
        <v>1130892156</v>
      </c>
      <c r="M159" s="646">
        <f t="shared" si="83"/>
        <v>0</v>
      </c>
      <c r="N159" s="646">
        <f t="shared" si="83"/>
        <v>0</v>
      </c>
      <c r="O159" s="646">
        <f t="shared" si="83"/>
        <v>0</v>
      </c>
      <c r="P159" s="646">
        <f t="shared" si="83"/>
        <v>0</v>
      </c>
      <c r="Q159" s="646">
        <f t="shared" si="83"/>
        <v>0</v>
      </c>
      <c r="R159" s="646">
        <f t="shared" si="83"/>
        <v>0</v>
      </c>
      <c r="S159" s="646">
        <f t="shared" si="83"/>
        <v>0</v>
      </c>
      <c r="T159" s="646">
        <f t="shared" si="83"/>
        <v>0</v>
      </c>
      <c r="U159" s="646">
        <f t="shared" si="83"/>
        <v>0</v>
      </c>
      <c r="V159" s="646">
        <f t="shared" si="83"/>
        <v>0</v>
      </c>
      <c r="W159" s="646">
        <f t="shared" si="83"/>
        <v>0</v>
      </c>
      <c r="X159" s="646">
        <f t="shared" si="83"/>
        <v>0</v>
      </c>
      <c r="Y159" s="646">
        <f t="shared" si="83"/>
        <v>1196990838</v>
      </c>
      <c r="Z159" s="646">
        <f t="shared" si="83"/>
        <v>1194059195</v>
      </c>
      <c r="AA159" s="646">
        <f t="shared" si="83"/>
        <v>1145881108</v>
      </c>
      <c r="AB159" s="646">
        <f t="shared" si="83"/>
        <v>1130892156</v>
      </c>
      <c r="AC159" s="36"/>
    </row>
    <row r="160" spans="1:29" ht="16.5" thickTop="1" thickBot="1">
      <c r="A160" s="42">
        <v>2</v>
      </c>
      <c r="B160" s="42" t="s">
        <v>139</v>
      </c>
      <c r="C160" s="43" t="s">
        <v>183</v>
      </c>
      <c r="D160" s="43" t="s">
        <v>181</v>
      </c>
      <c r="E160" s="43" t="s">
        <v>129</v>
      </c>
      <c r="F160" s="43" t="s">
        <v>129</v>
      </c>
      <c r="G160" s="43" t="s">
        <v>129</v>
      </c>
      <c r="H160" s="70" t="s">
        <v>321</v>
      </c>
      <c r="I160" s="646">
        <v>1196990838</v>
      </c>
      <c r="J160" s="646">
        <v>1194059195</v>
      </c>
      <c r="K160" s="646">
        <v>1145881108</v>
      </c>
      <c r="L160" s="646">
        <v>1130892156</v>
      </c>
      <c r="M160" s="646"/>
      <c r="N160" s="646"/>
      <c r="O160" s="646"/>
      <c r="P160" s="646"/>
      <c r="Q160" s="646"/>
      <c r="R160" s="646"/>
      <c r="S160" s="646"/>
      <c r="T160" s="646"/>
      <c r="U160" s="646"/>
      <c r="V160" s="646"/>
      <c r="W160" s="646"/>
      <c r="X160" s="646"/>
      <c r="Y160" s="646">
        <f t="shared" ref="Y160:AB160" si="84">+I160+M160+Q160+U160</f>
        <v>1196990838</v>
      </c>
      <c r="Z160" s="646">
        <f t="shared" si="84"/>
        <v>1194059195</v>
      </c>
      <c r="AA160" s="646">
        <f t="shared" si="84"/>
        <v>1145881108</v>
      </c>
      <c r="AB160" s="646">
        <f t="shared" si="84"/>
        <v>1130892156</v>
      </c>
      <c r="AC160" s="36"/>
    </row>
    <row r="161" spans="1:29" ht="16.5" thickTop="1" thickBot="1">
      <c r="A161" s="67">
        <v>2</v>
      </c>
      <c r="B161" s="37" t="s">
        <v>139</v>
      </c>
      <c r="C161" s="37" t="s">
        <v>193</v>
      </c>
      <c r="D161" s="37"/>
      <c r="E161" s="67"/>
      <c r="F161" s="67"/>
      <c r="G161" s="67"/>
      <c r="H161" s="68" t="s">
        <v>940</v>
      </c>
      <c r="I161" s="651">
        <f>+I162</f>
        <v>24223450000</v>
      </c>
      <c r="J161" s="651">
        <f t="shared" ref="J161:AB164" si="85">+J162</f>
        <v>23747240643</v>
      </c>
      <c r="K161" s="651">
        <f t="shared" si="85"/>
        <v>20520865554</v>
      </c>
      <c r="L161" s="651">
        <f t="shared" si="85"/>
        <v>20260887206</v>
      </c>
      <c r="M161" s="651">
        <f t="shared" si="85"/>
        <v>0</v>
      </c>
      <c r="N161" s="651">
        <f t="shared" si="85"/>
        <v>0</v>
      </c>
      <c r="O161" s="651">
        <f t="shared" si="85"/>
        <v>0</v>
      </c>
      <c r="P161" s="651">
        <f t="shared" si="85"/>
        <v>0</v>
      </c>
      <c r="Q161" s="651">
        <f t="shared" si="85"/>
        <v>0</v>
      </c>
      <c r="R161" s="651">
        <f t="shared" si="85"/>
        <v>0</v>
      </c>
      <c r="S161" s="651">
        <f t="shared" si="85"/>
        <v>0</v>
      </c>
      <c r="T161" s="651">
        <f t="shared" si="85"/>
        <v>0</v>
      </c>
      <c r="U161" s="651">
        <f t="shared" si="85"/>
        <v>0</v>
      </c>
      <c r="V161" s="651">
        <f t="shared" si="85"/>
        <v>0</v>
      </c>
      <c r="W161" s="651">
        <f t="shared" si="85"/>
        <v>0</v>
      </c>
      <c r="X161" s="651">
        <f t="shared" si="85"/>
        <v>0</v>
      </c>
      <c r="Y161" s="651">
        <f t="shared" si="85"/>
        <v>24223450000</v>
      </c>
      <c r="Z161" s="651">
        <f t="shared" si="85"/>
        <v>23747240643</v>
      </c>
      <c r="AA161" s="651">
        <f t="shared" si="85"/>
        <v>20520865554</v>
      </c>
      <c r="AB161" s="651">
        <f t="shared" si="85"/>
        <v>20260887206</v>
      </c>
      <c r="AC161" s="36"/>
    </row>
    <row r="162" spans="1:29" ht="16.5" thickTop="1" thickBot="1">
      <c r="A162" s="57">
        <v>2</v>
      </c>
      <c r="B162" s="57" t="s">
        <v>139</v>
      </c>
      <c r="C162" s="57">
        <v>13</v>
      </c>
      <c r="D162" s="57" t="s">
        <v>129</v>
      </c>
      <c r="E162" s="57"/>
      <c r="F162" s="57"/>
      <c r="G162" s="57"/>
      <c r="H162" s="69" t="s">
        <v>1333</v>
      </c>
      <c r="I162" s="652">
        <f>+I163</f>
        <v>24223450000</v>
      </c>
      <c r="J162" s="652">
        <f t="shared" si="85"/>
        <v>23747240643</v>
      </c>
      <c r="K162" s="652">
        <f t="shared" si="85"/>
        <v>20520865554</v>
      </c>
      <c r="L162" s="652">
        <f t="shared" si="85"/>
        <v>20260887206</v>
      </c>
      <c r="M162" s="652">
        <f t="shared" si="85"/>
        <v>0</v>
      </c>
      <c r="N162" s="652">
        <f t="shared" si="85"/>
        <v>0</v>
      </c>
      <c r="O162" s="652">
        <f t="shared" si="85"/>
        <v>0</v>
      </c>
      <c r="P162" s="652">
        <f t="shared" si="85"/>
        <v>0</v>
      </c>
      <c r="Q162" s="652">
        <f t="shared" si="85"/>
        <v>0</v>
      </c>
      <c r="R162" s="652">
        <f t="shared" si="85"/>
        <v>0</v>
      </c>
      <c r="S162" s="652">
        <f t="shared" si="85"/>
        <v>0</v>
      </c>
      <c r="T162" s="652">
        <f t="shared" si="85"/>
        <v>0</v>
      </c>
      <c r="U162" s="652">
        <f t="shared" si="85"/>
        <v>0</v>
      </c>
      <c r="V162" s="652">
        <f t="shared" si="85"/>
        <v>0</v>
      </c>
      <c r="W162" s="652">
        <f t="shared" si="85"/>
        <v>0</v>
      </c>
      <c r="X162" s="652">
        <f t="shared" si="85"/>
        <v>0</v>
      </c>
      <c r="Y162" s="652">
        <f t="shared" si="85"/>
        <v>24223450000</v>
      </c>
      <c r="Z162" s="652">
        <f t="shared" si="85"/>
        <v>23747240643</v>
      </c>
      <c r="AA162" s="652">
        <f t="shared" si="85"/>
        <v>20520865554</v>
      </c>
      <c r="AB162" s="652">
        <f t="shared" si="85"/>
        <v>20260887206</v>
      </c>
      <c r="AC162" s="36"/>
    </row>
    <row r="163" spans="1:29" ht="16.5" thickTop="1" thickBot="1">
      <c r="A163" s="57">
        <v>3</v>
      </c>
      <c r="B163" s="57" t="s">
        <v>139</v>
      </c>
      <c r="C163" s="57">
        <v>13</v>
      </c>
      <c r="D163" s="57" t="s">
        <v>129</v>
      </c>
      <c r="E163" s="57" t="s">
        <v>129</v>
      </c>
      <c r="F163" s="57"/>
      <c r="G163" s="57"/>
      <c r="H163" s="69" t="s">
        <v>319</v>
      </c>
      <c r="I163" s="652">
        <f>+I164</f>
        <v>24223450000</v>
      </c>
      <c r="J163" s="652">
        <f t="shared" si="85"/>
        <v>23747240643</v>
      </c>
      <c r="K163" s="652">
        <f t="shared" si="85"/>
        <v>20520865554</v>
      </c>
      <c r="L163" s="652">
        <f t="shared" si="85"/>
        <v>20260887206</v>
      </c>
      <c r="M163" s="652">
        <f t="shared" si="85"/>
        <v>0</v>
      </c>
      <c r="N163" s="652">
        <f t="shared" si="85"/>
        <v>0</v>
      </c>
      <c r="O163" s="652">
        <f t="shared" si="85"/>
        <v>0</v>
      </c>
      <c r="P163" s="652">
        <f t="shared" si="85"/>
        <v>0</v>
      </c>
      <c r="Q163" s="652">
        <f t="shared" si="85"/>
        <v>0</v>
      </c>
      <c r="R163" s="652">
        <f t="shared" si="85"/>
        <v>0</v>
      </c>
      <c r="S163" s="652">
        <f t="shared" si="85"/>
        <v>0</v>
      </c>
      <c r="T163" s="652">
        <f t="shared" si="85"/>
        <v>0</v>
      </c>
      <c r="U163" s="652">
        <f t="shared" si="85"/>
        <v>0</v>
      </c>
      <c r="V163" s="652">
        <f t="shared" si="85"/>
        <v>0</v>
      </c>
      <c r="W163" s="652">
        <f t="shared" si="85"/>
        <v>0</v>
      </c>
      <c r="X163" s="652">
        <f t="shared" si="85"/>
        <v>0</v>
      </c>
      <c r="Y163" s="652">
        <f t="shared" si="85"/>
        <v>24223450000</v>
      </c>
      <c r="Z163" s="652">
        <f t="shared" si="85"/>
        <v>23747240643</v>
      </c>
      <c r="AA163" s="652">
        <f t="shared" si="85"/>
        <v>20520865554</v>
      </c>
      <c r="AB163" s="652">
        <f t="shared" si="85"/>
        <v>20260887206</v>
      </c>
      <c r="AC163" s="36"/>
    </row>
    <row r="164" spans="1:29" ht="16.5" thickTop="1" thickBot="1">
      <c r="A164" s="42">
        <v>2</v>
      </c>
      <c r="B164" s="42" t="s">
        <v>139</v>
      </c>
      <c r="C164" s="43" t="s">
        <v>193</v>
      </c>
      <c r="D164" s="43" t="s">
        <v>129</v>
      </c>
      <c r="E164" s="43" t="s">
        <v>129</v>
      </c>
      <c r="F164" s="43" t="s">
        <v>129</v>
      </c>
      <c r="G164" s="42"/>
      <c r="H164" s="70" t="s">
        <v>320</v>
      </c>
      <c r="I164" s="646">
        <f>+I165</f>
        <v>24223450000</v>
      </c>
      <c r="J164" s="646">
        <f t="shared" si="85"/>
        <v>23747240643</v>
      </c>
      <c r="K164" s="646">
        <f t="shared" si="85"/>
        <v>20520865554</v>
      </c>
      <c r="L164" s="646">
        <f t="shared" si="85"/>
        <v>20260887206</v>
      </c>
      <c r="M164" s="646">
        <f t="shared" si="85"/>
        <v>0</v>
      </c>
      <c r="N164" s="646">
        <f t="shared" si="85"/>
        <v>0</v>
      </c>
      <c r="O164" s="646">
        <f t="shared" si="85"/>
        <v>0</v>
      </c>
      <c r="P164" s="646">
        <f t="shared" si="85"/>
        <v>0</v>
      </c>
      <c r="Q164" s="646">
        <f t="shared" si="85"/>
        <v>0</v>
      </c>
      <c r="R164" s="646">
        <f t="shared" si="85"/>
        <v>0</v>
      </c>
      <c r="S164" s="646">
        <f t="shared" si="85"/>
        <v>0</v>
      </c>
      <c r="T164" s="646">
        <f t="shared" si="85"/>
        <v>0</v>
      </c>
      <c r="U164" s="646">
        <f t="shared" si="85"/>
        <v>0</v>
      </c>
      <c r="V164" s="646">
        <f t="shared" si="85"/>
        <v>0</v>
      </c>
      <c r="W164" s="646">
        <f t="shared" si="85"/>
        <v>0</v>
      </c>
      <c r="X164" s="646">
        <f t="shared" si="85"/>
        <v>0</v>
      </c>
      <c r="Y164" s="646">
        <f t="shared" si="85"/>
        <v>24223450000</v>
      </c>
      <c r="Z164" s="646">
        <f t="shared" si="85"/>
        <v>23747240643</v>
      </c>
      <c r="AA164" s="646">
        <f t="shared" si="85"/>
        <v>20520865554</v>
      </c>
      <c r="AB164" s="646">
        <f t="shared" si="85"/>
        <v>20260887206</v>
      </c>
      <c r="AC164" s="36"/>
    </row>
    <row r="165" spans="1:29" ht="16.5" thickTop="1" thickBot="1">
      <c r="A165" s="42">
        <v>2</v>
      </c>
      <c r="B165" s="42" t="s">
        <v>139</v>
      </c>
      <c r="C165" s="43" t="s">
        <v>193</v>
      </c>
      <c r="D165" s="43" t="s">
        <v>129</v>
      </c>
      <c r="E165" s="43" t="s">
        <v>129</v>
      </c>
      <c r="F165" s="43" t="s">
        <v>129</v>
      </c>
      <c r="G165" s="43" t="s">
        <v>129</v>
      </c>
      <c r="H165" s="70" t="s">
        <v>321</v>
      </c>
      <c r="I165" s="646">
        <v>24223450000</v>
      </c>
      <c r="J165" s="646">
        <v>23747240643</v>
      </c>
      <c r="K165" s="646">
        <v>20520865554</v>
      </c>
      <c r="L165" s="646">
        <v>20260887206</v>
      </c>
      <c r="M165" s="646"/>
      <c r="N165" s="646"/>
      <c r="O165" s="646"/>
      <c r="P165" s="646"/>
      <c r="Q165" s="646"/>
      <c r="R165" s="646"/>
      <c r="S165" s="646"/>
      <c r="T165" s="646"/>
      <c r="U165" s="646"/>
      <c r="V165" s="646"/>
      <c r="W165" s="646"/>
      <c r="X165" s="646"/>
      <c r="Y165" s="646">
        <f t="shared" ref="Y165:AB166" si="86">+I165+M165+Q165+U165</f>
        <v>24223450000</v>
      </c>
      <c r="Z165" s="646">
        <f t="shared" si="86"/>
        <v>23747240643</v>
      </c>
      <c r="AA165" s="646">
        <f t="shared" si="86"/>
        <v>20520865554</v>
      </c>
      <c r="AB165" s="646">
        <f t="shared" si="86"/>
        <v>20260887206</v>
      </c>
      <c r="AC165" s="36"/>
    </row>
    <row r="166" spans="1:29" ht="36" customHeight="1" thickTop="1" thickBot="1">
      <c r="A166" s="653"/>
      <c r="B166" s="653"/>
      <c r="C166" s="654"/>
      <c r="D166" s="654"/>
      <c r="E166" s="654"/>
      <c r="F166" s="654"/>
      <c r="G166" s="654"/>
      <c r="H166" s="655" t="s">
        <v>941</v>
      </c>
      <c r="I166" s="656">
        <f t="shared" ref="I166:X166" si="87">+I47+I37+I4</f>
        <v>168842297434</v>
      </c>
      <c r="J166" s="656">
        <f t="shared" si="87"/>
        <v>163289404270.55002</v>
      </c>
      <c r="K166" s="656">
        <f t="shared" si="87"/>
        <v>131240966401.39</v>
      </c>
      <c r="L166" s="656">
        <f t="shared" si="87"/>
        <v>125557171140.39</v>
      </c>
      <c r="M166" s="656">
        <f t="shared" si="87"/>
        <v>7582906239</v>
      </c>
      <c r="N166" s="656">
        <f t="shared" si="87"/>
        <v>7582906239</v>
      </c>
      <c r="O166" s="656">
        <f t="shared" si="87"/>
        <v>7582906239</v>
      </c>
      <c r="P166" s="656">
        <f t="shared" si="87"/>
        <v>7582906239</v>
      </c>
      <c r="Q166" s="656">
        <f t="shared" si="87"/>
        <v>0</v>
      </c>
      <c r="R166" s="656">
        <f t="shared" si="87"/>
        <v>0</v>
      </c>
      <c r="S166" s="656">
        <f t="shared" si="87"/>
        <v>0</v>
      </c>
      <c r="T166" s="656">
        <f t="shared" si="87"/>
        <v>0</v>
      </c>
      <c r="U166" s="656">
        <f t="shared" si="87"/>
        <v>0</v>
      </c>
      <c r="V166" s="656">
        <f t="shared" si="87"/>
        <v>0</v>
      </c>
      <c r="W166" s="656">
        <f t="shared" si="87"/>
        <v>0</v>
      </c>
      <c r="X166" s="656">
        <f t="shared" si="87"/>
        <v>0</v>
      </c>
      <c r="Y166" s="656">
        <f t="shared" si="86"/>
        <v>176425203673</v>
      </c>
      <c r="Z166" s="656">
        <f t="shared" si="86"/>
        <v>170872310509.55002</v>
      </c>
      <c r="AA166" s="656">
        <f t="shared" si="86"/>
        <v>138823872640.39001</v>
      </c>
      <c r="AB166" s="656">
        <f t="shared" si="86"/>
        <v>133140077379.39</v>
      </c>
      <c r="AC166" s="36"/>
    </row>
    <row r="167" spans="1:29" ht="15.75" thickTop="1"/>
    <row r="168" spans="1:29">
      <c r="I168" s="2159">
        <f>+'Anexo 5.1 INGRESOS VF'!O8</f>
        <v>168842297433.57999</v>
      </c>
      <c r="J168">
        <f>176425203673-174064103673</f>
        <v>2361100000</v>
      </c>
      <c r="M168" s="2158">
        <f>+'Anexo 5.1 INGRESOS VF'!O513+'Anexo 5.1 INGRESOS VF'!O525</f>
        <v>7582906239</v>
      </c>
    </row>
    <row r="170" spans="1:29">
      <c r="L170" s="2036">
        <f>+L161/I161</f>
        <v>0.83641624979100826</v>
      </c>
      <c r="AA170" s="662"/>
      <c r="AB170" s="662"/>
    </row>
  </sheetData>
  <mergeCells count="13">
    <mergeCell ref="U2:X2"/>
    <mergeCell ref="Y2:AB2"/>
    <mergeCell ref="H2:H3"/>
    <mergeCell ref="I2:L2"/>
    <mergeCell ref="A2:A3"/>
    <mergeCell ref="B2:B3"/>
    <mergeCell ref="C2:C3"/>
    <mergeCell ref="D2:D3"/>
    <mergeCell ref="E2:E3"/>
    <mergeCell ref="F2:F3"/>
    <mergeCell ref="G2:G3"/>
    <mergeCell ref="M2:P2"/>
    <mergeCell ref="Q2:T2"/>
  </mergeCells>
  <printOptions horizontalCentered="1" verticalCentered="1"/>
  <pageMargins left="0.78740157480314965" right="0.78740157480314965" top="0.98425196850393704" bottom="0.98425196850393704" header="0" footer="0"/>
  <pageSetup paperSize="9" scale="15"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5</vt:i4>
      </vt:variant>
    </vt:vector>
  </HeadingPairs>
  <TitlesOfParts>
    <vt:vector size="19" baseType="lpstr">
      <vt:lpstr>Datos Generales</vt:lpstr>
      <vt:lpstr>Anexo 1 Matriz Inf Gestión-GD</vt:lpstr>
      <vt:lpstr>Hoja1</vt:lpstr>
      <vt:lpstr>Anexo2 Protocolo Inf Gestión GD</vt:lpstr>
      <vt:lpstr>Anexo 5.1 INGRESOS (2)</vt:lpstr>
      <vt:lpstr>Anexo 1 Matriz Inf Gestión-Rev</vt:lpstr>
      <vt:lpstr>Anexo 5.1 INGRESOS VF</vt:lpstr>
      <vt:lpstr>PROTOCOLO INGRESOS (2)</vt:lpstr>
      <vt:lpstr>Anexo 5.2. informe Gastos</vt:lpstr>
      <vt:lpstr>rezagos 2020 - amarillo</vt:lpstr>
      <vt:lpstr>Anexo 5.2-A.Gastos</vt:lpstr>
      <vt:lpstr>Anexo 5.2.A_REV</vt:lpstr>
      <vt:lpstr>Protocolo Gastos</vt:lpstr>
      <vt:lpstr>Hoja3</vt:lpstr>
      <vt:lpstr>'Anexo 1 Matriz Inf Gestión-GD'!Área_de_impresión</vt:lpstr>
      <vt:lpstr>'Anexo 1 Matriz Inf Gestión-Rev'!Área_de_impresión</vt:lpstr>
      <vt:lpstr>'Anexo2 Protocolo Inf Gestión GD'!Área_de_impresión</vt:lpstr>
      <vt:lpstr>Lista_CAR</vt:lpstr>
      <vt:lpstr>Vigencias</vt:lpstr>
    </vt:vector>
  </TitlesOfParts>
  <Manager>nortiz@claro.net.co</Manager>
  <Company>Derechos protegidos de autor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Material de Capacitación a las CAR</dc:title>
  <dc:creator>Edwin Giovanny Ortiz R.</dc:creator>
  <cp:keywords>Documento No Oficial</cp:keywords>
  <dc:description>Matriz elaborada por Néstor Ortiz Pérez, Consultor GIZ-MADS en el marco de PROMAC</dc:description>
  <cp:lastModifiedBy>Rafael E. Moreno Alvarez</cp:lastModifiedBy>
  <cp:lastPrinted>2016-11-27T02:57:50Z</cp:lastPrinted>
  <dcterms:created xsi:type="dcterms:W3CDTF">2016-11-26T19:57:08Z</dcterms:created>
  <dcterms:modified xsi:type="dcterms:W3CDTF">2023-04-28T14:08:52Z</dcterms:modified>
  <cp:category>Capacitación</cp:category>
  <cp:contentStatus>Preliminar</cp:contentStatus>
</cp:coreProperties>
</file>